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D:\工作\大兴区金业大街4号院2号楼1至5层101等[4]套\"/>
    </mc:Choice>
  </mc:AlternateContent>
  <xr:revisionPtr revIDLastSave="0" documentId="13_ncr:1_{0BBC4251-D32A-42FD-B57F-9838CF573284}" xr6:coauthVersionLast="47" xr6:coauthVersionMax="47" xr10:uidLastSave="{00000000-0000-0000-0000-000000000000}"/>
  <bookViews>
    <workbookView xWindow="-120" yWindow="-120" windowWidth="29040" windowHeight="158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N6" i="1" l="1"/>
  <c r="Y6" i="1" s="1"/>
  <c r="J31" i="80"/>
  <c r="D33" i="43"/>
  <c r="G84" i="43"/>
  <c r="G85" i="43"/>
  <c r="G86" i="43"/>
  <c r="G87" i="43"/>
  <c r="G88" i="43"/>
  <c r="G89" i="43"/>
  <c r="G90" i="43"/>
  <c r="G83" i="43"/>
  <c r="F19" i="6"/>
  <c r="C19" i="6"/>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6" i="79"/>
  <c r="AD35" i="79"/>
  <c r="AD37" i="79"/>
  <c r="AD38" i="79"/>
  <c r="AR40" i="79"/>
  <c r="AR41" i="79" s="1"/>
  <c r="AR42" i="79" s="1"/>
  <c r="AR43" i="79" s="1"/>
  <c r="AR44" i="79" s="1"/>
  <c r="AR45" i="79" s="1"/>
  <c r="AR46" i="79" s="1"/>
  <c r="AR47" i="79" s="1"/>
  <c r="AR48" i="79" s="1"/>
  <c r="AR49" i="79" s="1"/>
  <c r="AR50" i="79" s="1"/>
  <c r="AR51" i="79" s="1"/>
  <c r="AR52" i="79" s="1"/>
  <c r="AR18" i="79"/>
  <c r="AR19" i="79" s="1"/>
  <c r="AR20" i="79" s="1"/>
  <c r="AR21" i="79" s="1"/>
  <c r="AR22" i="79" s="1"/>
  <c r="AR23" i="79" s="1"/>
  <c r="AR24" i="79" s="1"/>
  <c r="T33" i="79"/>
  <c r="T34" i="79"/>
  <c r="T35" i="79"/>
  <c r="S34" i="79"/>
  <c r="AG34" i="79" s="1"/>
  <c r="S35" i="79"/>
  <c r="AG35" i="79" s="1"/>
  <c r="S33" i="79"/>
  <c r="AG33" i="79" s="1"/>
  <c r="W40" i="79"/>
  <c r="AK40" i="79" s="1"/>
  <c r="AH40"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34" i="79"/>
  <c r="AK34" i="79" s="1"/>
  <c r="AH34" i="79"/>
  <c r="W11" i="79"/>
  <c r="AK11" i="79" s="1"/>
  <c r="AH11" i="79"/>
  <c r="W17" i="79"/>
  <c r="AK17" i="79" s="1"/>
  <c r="AH17" i="79"/>
  <c r="W10" i="79"/>
  <c r="AK10" i="79" s="1"/>
  <c r="AH10" i="79"/>
  <c r="W18" i="79"/>
  <c r="AK18" i="79" s="1"/>
  <c r="AH18" i="79"/>
  <c r="W20" i="79"/>
  <c r="AK20" i="79" s="1"/>
  <c r="AH2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68" i="43"/>
  <c r="C29" i="39"/>
  <c r="S25" i="40"/>
  <c r="S21" i="34"/>
  <c r="H25" i="40"/>
  <c r="AB25" i="40" s="1"/>
  <c r="J25" i="40"/>
  <c r="H29" i="39"/>
  <c r="AB29" i="39" s="1"/>
  <c r="J29" i="39"/>
  <c r="AC29" i="39" s="1"/>
  <c r="J18" i="36"/>
  <c r="AC18" i="36" s="1"/>
  <c r="H18" i="35"/>
  <c r="AB18" i="35" s="1"/>
  <c r="J18" i="35"/>
  <c r="H21" i="37"/>
  <c r="F21" i="37"/>
  <c r="AA21" i="37" s="1"/>
  <c r="H21" i="34"/>
  <c r="AB21" i="34" s="1"/>
  <c r="H21" i="33"/>
  <c r="U21" i="33" s="1"/>
  <c r="F21" i="33"/>
  <c r="AA21" i="33" s="1"/>
  <c r="E83" i="21"/>
  <c r="F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A13" i="3" s="1"/>
  <c r="BD13" i="3"/>
  <c r="BE13" i="3"/>
  <c r="BF13" i="3"/>
  <c r="BG13" i="3"/>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A556" i="3" s="1"/>
  <c r="AZ556" i="3" s="1"/>
  <c r="BE556" i="3"/>
  <c r="BF556" i="3"/>
  <c r="BG556" i="3"/>
  <c r="BH556" i="3"/>
  <c r="BI556" i="3"/>
  <c r="BJ556" i="3"/>
  <c r="BK556" i="3"/>
  <c r="BM556" i="3"/>
  <c r="BL556" i="3" s="1"/>
  <c r="BN556" i="3"/>
  <c r="BO556" i="3"/>
  <c r="BP556" i="3"/>
  <c r="BQ556" i="3"/>
  <c r="BR556" i="3"/>
  <c r="BS556" i="3"/>
  <c r="BT556" i="3"/>
  <c r="H557" i="3"/>
  <c r="BB557" i="3"/>
  <c r="BC557" i="3"/>
  <c r="BD557" i="3"/>
  <c r="BE557" i="3"/>
  <c r="BA557" i="3" s="1"/>
  <c r="BF557" i="3"/>
  <c r="BG557" i="3"/>
  <c r="BH557" i="3"/>
  <c r="BI557" i="3"/>
  <c r="BI5" i="3" s="1"/>
  <c r="BJ557" i="3"/>
  <c r="BK557" i="3"/>
  <c r="BM557" i="3"/>
  <c r="BN557" i="3"/>
  <c r="BN5" i="3" s="1"/>
  <c r="BO557" i="3"/>
  <c r="BP557" i="3"/>
  <c r="BR557" i="3"/>
  <c r="BS557" i="3"/>
  <c r="BT557" i="3"/>
  <c r="H558" i="3"/>
  <c r="G558" i="3" s="1"/>
  <c r="AC558" i="3"/>
  <c r="BB558" i="3"/>
  <c r="BA558" i="3" s="1"/>
  <c r="BC558" i="3"/>
  <c r="BD558" i="3"/>
  <c r="BE558" i="3"/>
  <c r="BF558" i="3"/>
  <c r="BF5" i="3" s="1"/>
  <c r="BG558" i="3"/>
  <c r="BH558" i="3"/>
  <c r="BI558" i="3"/>
  <c r="BJ558" i="3"/>
  <c r="BK558" i="3"/>
  <c r="BM558" i="3"/>
  <c r="BN558" i="3"/>
  <c r="BO558" i="3"/>
  <c r="BL558" i="3" s="1"/>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L560" i="3" s="1"/>
  <c r="BQ560" i="3"/>
  <c r="BR560" i="3"/>
  <c r="BS560" i="3"/>
  <c r="BT560" i="3"/>
  <c r="H561" i="3"/>
  <c r="AC561" i="3"/>
  <c r="BB561" i="3"/>
  <c r="BC561" i="3"/>
  <c r="BA561" i="3" s="1"/>
  <c r="BD561" i="3"/>
  <c r="BE561" i="3"/>
  <c r="BF561" i="3"/>
  <c r="BG561" i="3"/>
  <c r="BH561" i="3"/>
  <c r="BI561" i="3"/>
  <c r="BJ561" i="3"/>
  <c r="BK561" i="3"/>
  <c r="BM561" i="3"/>
  <c r="BN561" i="3"/>
  <c r="BO561" i="3"/>
  <c r="BP561" i="3"/>
  <c r="BL561" i="3" s="1"/>
  <c r="AZ561" i="3" s="1"/>
  <c r="BR561" i="3"/>
  <c r="BS561" i="3"/>
  <c r="BT561" i="3"/>
  <c r="H562" i="3"/>
  <c r="AC562" i="3"/>
  <c r="BB562" i="3"/>
  <c r="BC562" i="3"/>
  <c r="BD562" i="3"/>
  <c r="BA562" i="3" s="1"/>
  <c r="BE562" i="3"/>
  <c r="BF562" i="3"/>
  <c r="BG562" i="3"/>
  <c r="BH562" i="3"/>
  <c r="BI562" i="3"/>
  <c r="BJ562" i="3"/>
  <c r="BK562" i="3"/>
  <c r="BM562" i="3"/>
  <c r="BL562" i="3" s="1"/>
  <c r="BN562" i="3"/>
  <c r="BO562" i="3"/>
  <c r="BP562" i="3"/>
  <c r="BQ562" i="3"/>
  <c r="BR562" i="3"/>
  <c r="BS562" i="3"/>
  <c r="BT562" i="3"/>
  <c r="H563" i="3"/>
  <c r="AC563" i="3"/>
  <c r="BB563" i="3"/>
  <c r="BC563" i="3"/>
  <c r="BD563" i="3"/>
  <c r="BE563" i="3"/>
  <c r="BF563" i="3"/>
  <c r="BG563" i="3"/>
  <c r="BH563" i="3"/>
  <c r="BI563" i="3"/>
  <c r="BJ563" i="3"/>
  <c r="BK563" i="3"/>
  <c r="BM563" i="3"/>
  <c r="BL563" i="3" s="1"/>
  <c r="BN563" i="3"/>
  <c r="BO563" i="3"/>
  <c r="BP563" i="3"/>
  <c r="BR563" i="3"/>
  <c r="BR5" i="3" s="1"/>
  <c r="BS563" i="3"/>
  <c r="BT563" i="3"/>
  <c r="H564" i="3"/>
  <c r="AC564" i="3"/>
  <c r="G564" i="3" s="1"/>
  <c r="BB564" i="3"/>
  <c r="BC564" i="3"/>
  <c r="BD564" i="3"/>
  <c r="BE564" i="3"/>
  <c r="BA564" i="3" s="1"/>
  <c r="BF564" i="3"/>
  <c r="BG564" i="3"/>
  <c r="BH564" i="3"/>
  <c r="BI564" i="3"/>
  <c r="BJ564" i="3"/>
  <c r="BK564" i="3"/>
  <c r="BM564" i="3"/>
  <c r="BN564" i="3"/>
  <c r="BL564" i="3" s="1"/>
  <c r="BO564" i="3"/>
  <c r="BP564" i="3"/>
  <c r="BQ564" i="3"/>
  <c r="BR564" i="3"/>
  <c r="BS564" i="3"/>
  <c r="BT564" i="3"/>
  <c r="H565" i="3"/>
  <c r="AC565" i="3"/>
  <c r="G565" i="3" s="1"/>
  <c r="BB565" i="3"/>
  <c r="BC565" i="3"/>
  <c r="BD565" i="3"/>
  <c r="BE565" i="3"/>
  <c r="BA565" i="3" s="1"/>
  <c r="AZ565" i="3" s="1"/>
  <c r="BF565" i="3"/>
  <c r="BG565" i="3"/>
  <c r="BH565" i="3"/>
  <c r="BI565" i="3"/>
  <c r="BJ565" i="3"/>
  <c r="BK565" i="3"/>
  <c r="BM565" i="3"/>
  <c r="BN565" i="3"/>
  <c r="BO565" i="3"/>
  <c r="BP565" i="3"/>
  <c r="BR565" i="3"/>
  <c r="BS565" i="3"/>
  <c r="BT565" i="3"/>
  <c r="H566" i="3"/>
  <c r="AC566" i="3"/>
  <c r="G566" i="3"/>
  <c r="BB566" i="3"/>
  <c r="BC566" i="3"/>
  <c r="BD566" i="3"/>
  <c r="BE566" i="3"/>
  <c r="BA566" i="3" s="1"/>
  <c r="AZ566" i="3" s="1"/>
  <c r="BF566" i="3"/>
  <c r="BG566" i="3"/>
  <c r="BH566" i="3"/>
  <c r="BI566" i="3"/>
  <c r="BJ566" i="3"/>
  <c r="BK566" i="3"/>
  <c r="BM566" i="3"/>
  <c r="BN566" i="3"/>
  <c r="BL566" i="3" s="1"/>
  <c r="BO566" i="3"/>
  <c r="BP566" i="3"/>
  <c r="BQ566" i="3"/>
  <c r="BR566" i="3"/>
  <c r="BS566" i="3"/>
  <c r="BT566" i="3"/>
  <c r="H567" i="3"/>
  <c r="AC567" i="3"/>
  <c r="G567" i="3" s="1"/>
  <c r="BB567" i="3"/>
  <c r="BC567" i="3"/>
  <c r="BD567" i="3"/>
  <c r="BE567" i="3"/>
  <c r="BA567" i="3" s="1"/>
  <c r="BF567" i="3"/>
  <c r="BG567" i="3"/>
  <c r="BH567" i="3"/>
  <c r="BI567" i="3"/>
  <c r="BJ567" i="3"/>
  <c r="BK567" i="3"/>
  <c r="BM567" i="3"/>
  <c r="BN567" i="3"/>
  <c r="BL567" i="3" s="1"/>
  <c r="BO567" i="3"/>
  <c r="BP567" i="3"/>
  <c r="BR567" i="3"/>
  <c r="BS567" i="3"/>
  <c r="BT567" i="3"/>
  <c r="H568" i="3"/>
  <c r="AC568" i="3"/>
  <c r="BB568" i="3"/>
  <c r="BA568" i="3" s="1"/>
  <c r="AZ568" i="3" s="1"/>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AA34" i="37" s="1"/>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E71" i="37" s="1"/>
  <c r="F71" i="37" s="1"/>
  <c r="G71" i="37" s="1"/>
  <c r="H15" i="37"/>
  <c r="AB15" i="37" s="1"/>
  <c r="B68" i="37"/>
  <c r="H14" i="37" s="1"/>
  <c r="AB14" i="37" s="1"/>
  <c r="B66" i="37"/>
  <c r="B64" i="37"/>
  <c r="J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c r="Q27" i="37"/>
  <c r="Z27" i="37" s="1"/>
  <c r="Q26" i="37"/>
  <c r="Z26" i="37" s="1"/>
  <c r="Q25" i="37"/>
  <c r="Z25" i="37"/>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AB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c r="AC24" i="36" s="1"/>
  <c r="B71" i="36"/>
  <c r="H23" i="36" s="1"/>
  <c r="D70" i="36"/>
  <c r="H22" i="36"/>
  <c r="AB22" i="36" s="1"/>
  <c r="D68" i="36"/>
  <c r="E68" i="36" s="1"/>
  <c r="F68" i="36" s="1"/>
  <c r="G68" i="36" s="1"/>
  <c r="D64" i="36"/>
  <c r="E64" i="36" s="1"/>
  <c r="F64" i="36" s="1"/>
  <c r="G64" i="36" s="1"/>
  <c r="J16" i="36"/>
  <c r="W16" i="36" s="1"/>
  <c r="D62" i="36"/>
  <c r="E62" i="36"/>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c r="AB36" i="35" s="1"/>
  <c r="B99" i="35"/>
  <c r="B97" i="35"/>
  <c r="H34" i="35" s="1"/>
  <c r="U34" i="35" s="1"/>
  <c r="B77" i="35"/>
  <c r="B75" i="35"/>
  <c r="J24" i="35" s="1"/>
  <c r="AC24" i="35" s="1"/>
  <c r="B73" i="35"/>
  <c r="J23" i="35" s="1"/>
  <c r="AC23" i="35" s="1"/>
  <c r="H23" i="35"/>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AB34" i="35"/>
  <c r="Q33" i="35"/>
  <c r="Z33" i="35" s="1"/>
  <c r="Q32" i="35"/>
  <c r="Z32" i="35" s="1"/>
  <c r="H32" i="35"/>
  <c r="AB32" i="35" s="1"/>
  <c r="F32" i="35"/>
  <c r="AA32" i="35" s="1"/>
  <c r="Q31" i="35"/>
  <c r="Z31" i="35" s="1"/>
  <c r="AC31" i="35"/>
  <c r="Q30" i="35"/>
  <c r="Z30" i="35" s="1"/>
  <c r="Q29" i="35"/>
  <c r="Z29" i="35" s="1"/>
  <c r="Q28" i="35"/>
  <c r="Z28" i="35" s="1"/>
  <c r="J28" i="35"/>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Q11" i="34"/>
  <c r="Z11" i="34" s="1"/>
  <c r="Q10" i="34"/>
  <c r="Z10" i="34"/>
  <c r="F10" i="34"/>
  <c r="AA10" i="34" s="1"/>
  <c r="Q9" i="34"/>
  <c r="Z9" i="34" s="1"/>
  <c r="H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W45" i="21" s="1"/>
  <c r="B126" i="21"/>
  <c r="B98" i="21"/>
  <c r="H31" i="21"/>
  <c r="B96" i="21"/>
  <c r="F30" i="21" s="1"/>
  <c r="S30" i="21" s="1"/>
  <c r="B94" i="21"/>
  <c r="J29" i="21" s="1"/>
  <c r="AC29" i="21"/>
  <c r="B92" i="21"/>
  <c r="B90" i="21"/>
  <c r="J27" i="21" s="1"/>
  <c r="W27" i="21" s="1"/>
  <c r="B74" i="21"/>
  <c r="B72" i="21"/>
  <c r="H13" i="21" s="1"/>
  <c r="B70" i="21"/>
  <c r="F12" i="21" s="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J35" i="21"/>
  <c r="W35" i="21" s="1"/>
  <c r="Q35" i="21"/>
  <c r="Z35" i="21" s="1"/>
  <c r="Q36" i="21"/>
  <c r="Z36" i="21"/>
  <c r="Q37" i="21"/>
  <c r="Z37" i="21" s="1"/>
  <c r="J38" i="21"/>
  <c r="W38" i="21" s="1"/>
  <c r="Q38" i="21"/>
  <c r="Z38" i="21" s="1"/>
  <c r="J39" i="21"/>
  <c r="AC39" i="21"/>
  <c r="Q39" i="21"/>
  <c r="Z39" i="21" s="1"/>
  <c r="H40" i="21"/>
  <c r="AB40" i="21" s="1"/>
  <c r="Q40" i="21"/>
  <c r="Z40" i="21" s="1"/>
  <c r="Q41" i="21"/>
  <c r="Z41" i="21"/>
  <c r="Q42" i="21"/>
  <c r="Z42" i="21" s="1"/>
  <c r="J43" i="21"/>
  <c r="AC43" i="21" s="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F45" i="39"/>
  <c r="S45" i="39"/>
  <c r="J45" i="39"/>
  <c r="W45" i="39" s="1"/>
  <c r="J44" i="39"/>
  <c r="AC44" i="39"/>
  <c r="F36" i="39"/>
  <c r="S36" i="39" s="1"/>
  <c r="H36" i="39"/>
  <c r="AB36" i="39" s="1"/>
  <c r="J35" i="39"/>
  <c r="AC35" i="39" s="1"/>
  <c r="F35" i="39"/>
  <c r="AA35" i="39"/>
  <c r="U9" i="39"/>
  <c r="W31" i="37"/>
  <c r="E103" i="37"/>
  <c r="F103" i="37"/>
  <c r="G103" i="37" s="1"/>
  <c r="H103" i="37" s="1"/>
  <c r="I103" i="37" s="1"/>
  <c r="J103" i="37" s="1"/>
  <c r="K103" i="37" s="1"/>
  <c r="L103" i="37" s="1"/>
  <c r="M103" i="37" s="1"/>
  <c r="F39" i="37"/>
  <c r="S39" i="37" s="1"/>
  <c r="F29" i="36"/>
  <c r="AA29" i="36" s="1"/>
  <c r="F16" i="36"/>
  <c r="AA16" i="36" s="1"/>
  <c r="W28" i="36"/>
  <c r="H22" i="35"/>
  <c r="AB22" i="35" s="1"/>
  <c r="U31" i="35"/>
  <c r="W22" i="35"/>
  <c r="S31" i="35"/>
  <c r="F36" i="34"/>
  <c r="J35" i="34"/>
  <c r="AC35" i="34" s="1"/>
  <c r="H39" i="33"/>
  <c r="AB39" i="33" s="1"/>
  <c r="U35" i="33"/>
  <c r="W33" i="33"/>
  <c r="W39" i="33"/>
  <c r="H39" i="37"/>
  <c r="AB39" i="37" s="1"/>
  <c r="S27" i="35"/>
  <c r="F11" i="40"/>
  <c r="AA11" i="40"/>
  <c r="H11" i="40"/>
  <c r="AB11" i="40"/>
  <c r="W8" i="40"/>
  <c r="AB39" i="40"/>
  <c r="U9" i="40"/>
  <c r="S34" i="40"/>
  <c r="U34" i="40"/>
  <c r="S38" i="40"/>
  <c r="F42" i="39"/>
  <c r="AA42" i="39" s="1"/>
  <c r="F41" i="39"/>
  <c r="S41" i="39" s="1"/>
  <c r="H40" i="39"/>
  <c r="AB40" i="39" s="1"/>
  <c r="H39" i="39"/>
  <c r="U39" i="39" s="1"/>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H11" i="39"/>
  <c r="AB11" i="39" s="1"/>
  <c r="S40" i="39"/>
  <c r="H32" i="33"/>
  <c r="AB32" i="33"/>
  <c r="H11" i="21"/>
  <c r="U11" i="21" s="1"/>
  <c r="J11" i="21"/>
  <c r="W11" i="21" s="1"/>
  <c r="H37" i="40"/>
  <c r="U37" i="40"/>
  <c r="H36" i="40"/>
  <c r="AB36" i="40" s="1"/>
  <c r="F35" i="40"/>
  <c r="AA35" i="40" s="1"/>
  <c r="H23" i="40"/>
  <c r="AB23" i="40" s="1"/>
  <c r="H17" i="40"/>
  <c r="U17" i="40"/>
  <c r="J15" i="40"/>
  <c r="W15" i="40" s="1"/>
  <c r="J11" i="40"/>
  <c r="W11" i="40" s="1"/>
  <c r="AB8" i="39"/>
  <c r="AC12" i="34"/>
  <c r="AB12" i="35"/>
  <c r="AB12" i="36"/>
  <c r="W32" i="40"/>
  <c r="S44" i="39"/>
  <c r="J34" i="36"/>
  <c r="W34" i="36" s="1"/>
  <c r="U30" i="36"/>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s="1"/>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AB23" i="34" s="1"/>
  <c r="U23" i="34"/>
  <c r="J23" i="34"/>
  <c r="F19" i="34"/>
  <c r="H17" i="34"/>
  <c r="AB17" i="34" s="1"/>
  <c r="U17" i="34"/>
  <c r="F15" i="34"/>
  <c r="AA15" i="34" s="1"/>
  <c r="J15" i="34"/>
  <c r="H15" i="34"/>
  <c r="AB15" i="34" s="1"/>
  <c r="W8" i="34"/>
  <c r="J28" i="34"/>
  <c r="W28" i="34"/>
  <c r="F41" i="33"/>
  <c r="S41" i="33" s="1"/>
  <c r="AA41" i="33"/>
  <c r="S38" i="33"/>
  <c r="E113" i="33"/>
  <c r="F32" i="33"/>
  <c r="AA32" i="33"/>
  <c r="J19" i="33"/>
  <c r="AC19" i="33"/>
  <c r="J15" i="33"/>
  <c r="AC15" i="33"/>
  <c r="F11" i="33"/>
  <c r="AA11" i="33" s="1"/>
  <c r="U40" i="33"/>
  <c r="W40" i="33"/>
  <c r="F37" i="40"/>
  <c r="AA37" i="40"/>
  <c r="F36" i="40"/>
  <c r="AA36" i="40"/>
  <c r="H28" i="40"/>
  <c r="U28" i="40"/>
  <c r="F23" i="40"/>
  <c r="AA23" i="40"/>
  <c r="F17" i="40"/>
  <c r="AA17" i="40" s="1"/>
  <c r="J17" i="40"/>
  <c r="W17" i="40"/>
  <c r="F15" i="40"/>
  <c r="S15" i="40" s="1"/>
  <c r="H15" i="40"/>
  <c r="AB15" i="40"/>
  <c r="S12" i="36"/>
  <c r="AA12" i="36"/>
  <c r="AB30" i="36"/>
  <c r="F29" i="35"/>
  <c r="S29" i="35" s="1"/>
  <c r="H29" i="35"/>
  <c r="AB29" i="35" s="1"/>
  <c r="H33" i="37"/>
  <c r="F33" i="37"/>
  <c r="AA33" i="37" s="1"/>
  <c r="U34" i="37"/>
  <c r="S34" i="37"/>
  <c r="J43" i="34"/>
  <c r="AC43" i="34" s="1"/>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F113" i="33"/>
  <c r="G113" i="33"/>
  <c r="H113" i="33"/>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I123" i="21"/>
  <c r="J123" i="21" s="1"/>
  <c r="K123" i="21" s="1"/>
  <c r="L123" i="21" s="1"/>
  <c r="M123" i="21" s="1"/>
  <c r="J42" i="21"/>
  <c r="AC42" i="21" s="1"/>
  <c r="H42" i="21"/>
  <c r="U42" i="21" s="1"/>
  <c r="J44" i="34"/>
  <c r="F44" i="34"/>
  <c r="AA44" i="34" s="1"/>
  <c r="J10" i="35"/>
  <c r="AC10" i="35" s="1"/>
  <c r="J14" i="21"/>
  <c r="W14" i="21"/>
  <c r="F14" i="21"/>
  <c r="S14" i="21" s="1"/>
  <c r="H14" i="21"/>
  <c r="U14" i="21"/>
  <c r="H28" i="21"/>
  <c r="AB28" i="21" s="1"/>
  <c r="F28" i="21"/>
  <c r="AA28" i="21" s="1"/>
  <c r="J28" i="21"/>
  <c r="J44" i="21"/>
  <c r="AC44" i="21" s="1"/>
  <c r="H44" i="21"/>
  <c r="U44" i="21"/>
  <c r="F44" i="21"/>
  <c r="AA44" i="21" s="1"/>
  <c r="H46" i="21"/>
  <c r="U46" i="21" s="1"/>
  <c r="J46" i="21"/>
  <c r="F46" i="21"/>
  <c r="AA46" i="21" s="1"/>
  <c r="H26" i="33"/>
  <c r="U26" i="33"/>
  <c r="H28" i="33"/>
  <c r="U28" i="33" s="1"/>
  <c r="F28" i="33"/>
  <c r="AA28" i="33"/>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c r="F45" i="21"/>
  <c r="AA45" i="21" s="1"/>
  <c r="F27" i="33"/>
  <c r="AA27" i="33"/>
  <c r="J13" i="33"/>
  <c r="W13" i="33" s="1"/>
  <c r="H13" i="33"/>
  <c r="U13" i="33" s="1"/>
  <c r="F13" i="33"/>
  <c r="S13" i="33"/>
  <c r="J29" i="33"/>
  <c r="H29" i="33"/>
  <c r="U29" i="33" s="1"/>
  <c r="F29" i="33"/>
  <c r="S29" i="33" s="1"/>
  <c r="J31" i="33"/>
  <c r="W31" i="33"/>
  <c r="H31" i="33"/>
  <c r="F31" i="33"/>
  <c r="H45" i="33"/>
  <c r="AB45" i="33" s="1"/>
  <c r="U45" i="33"/>
  <c r="J45" i="33"/>
  <c r="W45" i="33" s="1"/>
  <c r="F45" i="33"/>
  <c r="AA45" i="33"/>
  <c r="J14" i="34"/>
  <c r="W14" i="34" s="1"/>
  <c r="F14" i="34"/>
  <c r="S14" i="34"/>
  <c r="H14" i="34"/>
  <c r="H30" i="34"/>
  <c r="U30" i="34" s="1"/>
  <c r="F30" i="34"/>
  <c r="S30" i="34"/>
  <c r="J30" i="34"/>
  <c r="H32" i="34"/>
  <c r="U32" i="34" s="1"/>
  <c r="F32" i="34"/>
  <c r="J32" i="34"/>
  <c r="W32" i="34" s="1"/>
  <c r="H46" i="34"/>
  <c r="AB46" i="34" s="1"/>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s="1"/>
  <c r="J37" i="37"/>
  <c r="AC37" i="37" s="1"/>
  <c r="H37" i="37"/>
  <c r="U37" i="37"/>
  <c r="H40" i="37"/>
  <c r="U40" i="37" s="1"/>
  <c r="J40" i="37"/>
  <c r="AC40" i="37"/>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c r="F13" i="34"/>
  <c r="AA13" i="34" s="1"/>
  <c r="J29" i="34"/>
  <c r="F29" i="34"/>
  <c r="S29" i="34"/>
  <c r="H29" i="34"/>
  <c r="AB29" i="34" s="1"/>
  <c r="J31" i="34"/>
  <c r="AC31" i="34" s="1"/>
  <c r="H31" i="34"/>
  <c r="F31" i="34"/>
  <c r="S31" i="34" s="1"/>
  <c r="H45" i="34"/>
  <c r="U45" i="34" s="1"/>
  <c r="J45" i="34"/>
  <c r="W45" i="34"/>
  <c r="F45" i="34"/>
  <c r="S45" i="34" s="1"/>
  <c r="H47" i="34"/>
  <c r="U47" i="34"/>
  <c r="F47" i="34"/>
  <c r="S47" i="34" s="1"/>
  <c r="J47" i="34"/>
  <c r="AC47" i="34" s="1"/>
  <c r="F13" i="35"/>
  <c r="J13" i="35"/>
  <c r="AC13" i="35"/>
  <c r="H13" i="35"/>
  <c r="U13" i="35" s="1"/>
  <c r="J25" i="35"/>
  <c r="W25" i="35"/>
  <c r="F25" i="35"/>
  <c r="S25" i="35" s="1"/>
  <c r="H25" i="35"/>
  <c r="AB25" i="35"/>
  <c r="J35" i="35"/>
  <c r="AC35" i="35" s="1"/>
  <c r="F35" i="35"/>
  <c r="AA35" i="35" s="1"/>
  <c r="H35" i="35"/>
  <c r="H25" i="36"/>
  <c r="AB25" i="36" s="1"/>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AA13" i="39" s="1"/>
  <c r="J13" i="39"/>
  <c r="W13" i="39" s="1"/>
  <c r="H13" i="39"/>
  <c r="H14" i="40"/>
  <c r="AB14" i="40"/>
  <c r="J14" i="40"/>
  <c r="W14" i="40" s="1"/>
  <c r="F14" i="40"/>
  <c r="AA14" i="40"/>
  <c r="J14" i="37"/>
  <c r="J27" i="37"/>
  <c r="AC27" i="37" s="1"/>
  <c r="AA14" i="33"/>
  <c r="J36" i="37"/>
  <c r="AC36" i="37"/>
  <c r="J10" i="36"/>
  <c r="AC10" i="36" s="1"/>
  <c r="AB26" i="33"/>
  <c r="W31" i="34"/>
  <c r="S11" i="36"/>
  <c r="AA14" i="34"/>
  <c r="S45" i="33"/>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0" i="3"/>
  <c r="G554" i="3"/>
  <c r="G550" i="3"/>
  <c r="BL584" i="3"/>
  <c r="BL580" i="3"/>
  <c r="BL576" i="3"/>
  <c r="BL572" i="3"/>
  <c r="BL554" i="3"/>
  <c r="BL546" i="3"/>
  <c r="BL542" i="3"/>
  <c r="BL538" i="3"/>
  <c r="BL534" i="3"/>
  <c r="BL530" i="3"/>
  <c r="BL526" i="3"/>
  <c r="BL522" i="3"/>
  <c r="BL516" i="3"/>
  <c r="BL512" i="3"/>
  <c r="BL506" i="3"/>
  <c r="BL502" i="3"/>
  <c r="BL498" i="3"/>
  <c r="AZ498" i="3" s="1"/>
  <c r="BL494" i="3"/>
  <c r="BL582" i="3"/>
  <c r="BL578" i="3"/>
  <c r="BL574" i="3"/>
  <c r="BL570" i="3"/>
  <c r="BL552" i="3"/>
  <c r="BL544" i="3"/>
  <c r="BL540" i="3"/>
  <c r="AZ540" i="3" s="1"/>
  <c r="BL536" i="3"/>
  <c r="G533" i="3"/>
  <c r="BL532" i="3"/>
  <c r="G529" i="3"/>
  <c r="BL528" i="3"/>
  <c r="G525" i="3"/>
  <c r="BL524" i="3"/>
  <c r="BL518" i="3"/>
  <c r="BL514" i="3"/>
  <c r="BL510" i="3"/>
  <c r="BL504" i="3"/>
  <c r="BL500" i="3"/>
  <c r="BL496" i="3"/>
  <c r="G493" i="3"/>
  <c r="BA584" i="3"/>
  <c r="BA582" i="3"/>
  <c r="BA580" i="3"/>
  <c r="AZ580" i="3" s="1"/>
  <c r="BA578" i="3"/>
  <c r="BA576" i="3"/>
  <c r="BA574" i="3"/>
  <c r="BA572" i="3"/>
  <c r="BA570" i="3"/>
  <c r="AZ570" i="3" s="1"/>
  <c r="BA560" i="3"/>
  <c r="BA554" i="3"/>
  <c r="AZ554" i="3" s="1"/>
  <c r="BA552" i="3"/>
  <c r="AZ552" i="3"/>
  <c r="BA548" i="3"/>
  <c r="BA546" i="3"/>
  <c r="AZ546" i="3" s="1"/>
  <c r="BA544" i="3"/>
  <c r="AZ544" i="3"/>
  <c r="BA542" i="3"/>
  <c r="AZ542" i="3" s="1"/>
  <c r="BA540" i="3"/>
  <c r="BA538" i="3"/>
  <c r="AZ538" i="3"/>
  <c r="BA536" i="3"/>
  <c r="BA534" i="3"/>
  <c r="AZ534" i="3"/>
  <c r="BA532" i="3"/>
  <c r="AZ532" i="3" s="1"/>
  <c r="BA530" i="3"/>
  <c r="BA528" i="3"/>
  <c r="BA526" i="3"/>
  <c r="AZ526" i="3" s="1"/>
  <c r="BA524" i="3"/>
  <c r="BA522" i="3"/>
  <c r="BA520" i="3"/>
  <c r="BA518" i="3"/>
  <c r="AZ518" i="3" s="1"/>
  <c r="BA516" i="3"/>
  <c r="BA514" i="3"/>
  <c r="BA512" i="3"/>
  <c r="AZ512" i="3"/>
  <c r="BA510" i="3"/>
  <c r="AZ510" i="3"/>
  <c r="BA508" i="3"/>
  <c r="BA506" i="3"/>
  <c r="BA504" i="3"/>
  <c r="AZ504" i="3"/>
  <c r="BA502" i="3"/>
  <c r="BA500" i="3"/>
  <c r="BA498" i="3"/>
  <c r="BA496" i="3"/>
  <c r="BA494" i="3"/>
  <c r="AZ494" i="3" s="1"/>
  <c r="BA583" i="3"/>
  <c r="BA581" i="3"/>
  <c r="BA579" i="3"/>
  <c r="BA577" i="3"/>
  <c r="BA575" i="3"/>
  <c r="BA573" i="3"/>
  <c r="BA571" i="3"/>
  <c r="BA569" i="3"/>
  <c r="BA559" i="3"/>
  <c r="BA555" i="3"/>
  <c r="BA553" i="3"/>
  <c r="BA549" i="3"/>
  <c r="BA547" i="3"/>
  <c r="BA545" i="3"/>
  <c r="BA543" i="3"/>
  <c r="BA541" i="3"/>
  <c r="BA539" i="3"/>
  <c r="BA537" i="3"/>
  <c r="BA535" i="3"/>
  <c r="BA533" i="3"/>
  <c r="BA531" i="3"/>
  <c r="BA529" i="3"/>
  <c r="BA527" i="3"/>
  <c r="BA525" i="3"/>
  <c r="BA523" i="3"/>
  <c r="BA519" i="3"/>
  <c r="BA517" i="3"/>
  <c r="BA515" i="3"/>
  <c r="BA513" i="3"/>
  <c r="AZ513" i="3" s="1"/>
  <c r="BA511" i="3"/>
  <c r="BA507" i="3"/>
  <c r="BA505" i="3"/>
  <c r="BA503" i="3"/>
  <c r="AZ503" i="3" s="1"/>
  <c r="BA501" i="3"/>
  <c r="BA499" i="3"/>
  <c r="BA497" i="3"/>
  <c r="BA495" i="3"/>
  <c r="BA493" i="3"/>
  <c r="G583" i="3"/>
  <c r="G581" i="3"/>
  <c r="G579" i="3"/>
  <c r="G577" i="3"/>
  <c r="G575" i="3"/>
  <c r="G573" i="3"/>
  <c r="G571" i="3"/>
  <c r="G569" i="3"/>
  <c r="G563" i="3"/>
  <c r="G561" i="3"/>
  <c r="AC557" i="3"/>
  <c r="G557" i="3" s="1"/>
  <c r="BQ557" i="3"/>
  <c r="BQ583" i="3"/>
  <c r="BL583" i="3" s="1"/>
  <c r="BQ581" i="3"/>
  <c r="BL581" i="3"/>
  <c r="BQ579" i="3"/>
  <c r="BL579" i="3" s="1"/>
  <c r="BQ577" i="3"/>
  <c r="BL577" i="3" s="1"/>
  <c r="BQ575" i="3"/>
  <c r="BL575" i="3" s="1"/>
  <c r="BQ573" i="3"/>
  <c r="BL573" i="3" s="1"/>
  <c r="AZ573" i="3" s="1"/>
  <c r="BQ571" i="3"/>
  <c r="BL571" i="3"/>
  <c r="BQ569" i="3"/>
  <c r="BQ567" i="3"/>
  <c r="BQ565" i="3"/>
  <c r="BL565" i="3" s="1"/>
  <c r="BQ563" i="3"/>
  <c r="BQ561" i="3"/>
  <c r="BQ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s="1"/>
  <c r="BQ535" i="3"/>
  <c r="BL535" i="3" s="1"/>
  <c r="AZ535" i="3" s="1"/>
  <c r="BQ533" i="3"/>
  <c r="BL533" i="3" s="1"/>
  <c r="AZ533" i="3" s="1"/>
  <c r="BQ531" i="3"/>
  <c r="BL531" i="3" s="1"/>
  <c r="BQ529" i="3"/>
  <c r="BL529" i="3"/>
  <c r="BQ527" i="3"/>
  <c r="BL527" i="3" s="1"/>
  <c r="AZ527" i="3" s="1"/>
  <c r="BQ525" i="3"/>
  <c r="BL525" i="3"/>
  <c r="AZ525" i="3" s="1"/>
  <c r="BQ523" i="3"/>
  <c r="BL523" i="3" s="1"/>
  <c r="BA521" i="3"/>
  <c r="AC521" i="3"/>
  <c r="G521" i="3"/>
  <c r="BQ521" i="3"/>
  <c r="BL521" i="3" s="1"/>
  <c r="AZ521" i="3" s="1"/>
  <c r="BL520" i="3"/>
  <c r="AZ520" i="3"/>
  <c r="G519" i="3"/>
  <c r="G517" i="3"/>
  <c r="G515" i="3"/>
  <c r="G513" i="3"/>
  <c r="G511" i="3"/>
  <c r="BQ519" i="3"/>
  <c r="BL519" i="3" s="1"/>
  <c r="BQ517" i="3"/>
  <c r="BL517" i="3"/>
  <c r="BQ515" i="3"/>
  <c r="BL515" i="3" s="1"/>
  <c r="BQ513" i="3"/>
  <c r="BL513" i="3"/>
  <c r="BQ511" i="3"/>
  <c r="BL511" i="3" s="1"/>
  <c r="AZ511" i="3" s="1"/>
  <c r="BA509" i="3"/>
  <c r="AC509" i="3"/>
  <c r="BQ509" i="3"/>
  <c r="BL509" i="3"/>
  <c r="AZ509" i="3" s="1"/>
  <c r="BL508" i="3"/>
  <c r="AZ508" i="3" s="1"/>
  <c r="G507" i="3"/>
  <c r="G505" i="3"/>
  <c r="G503" i="3"/>
  <c r="G501" i="3"/>
  <c r="G499" i="3"/>
  <c r="G497" i="3"/>
  <c r="G495" i="3"/>
  <c r="BQ507" i="3"/>
  <c r="BQ505" i="3"/>
  <c r="BL505" i="3"/>
  <c r="AZ505" i="3" s="1"/>
  <c r="BQ503" i="3"/>
  <c r="BL503" i="3" s="1"/>
  <c r="BQ501" i="3"/>
  <c r="BL501" i="3"/>
  <c r="AZ501" i="3" s="1"/>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H42" i="33"/>
  <c r="AB42" i="33" s="1"/>
  <c r="J43" i="33"/>
  <c r="AC43" i="33" s="1"/>
  <c r="S28" i="31"/>
  <c r="S27" i="31"/>
  <c r="S26" i="31"/>
  <c r="U14" i="40"/>
  <c r="W23" i="35"/>
  <c r="U39" i="37"/>
  <c r="U26" i="37"/>
  <c r="W47" i="34"/>
  <c r="AC36" i="34"/>
  <c r="AA13" i="33"/>
  <c r="AC31" i="33"/>
  <c r="AC45" i="33"/>
  <c r="U11" i="33"/>
  <c r="U19" i="21"/>
  <c r="W44" i="21"/>
  <c r="AB38" i="21"/>
  <c r="F43" i="33"/>
  <c r="AA43" i="33"/>
  <c r="W15" i="34"/>
  <c r="AC15" i="34"/>
  <c r="W16" i="35"/>
  <c r="W40" i="37"/>
  <c r="H37" i="21"/>
  <c r="U37" i="21" s="1"/>
  <c r="S42" i="21"/>
  <c r="H19" i="34"/>
  <c r="AB19" i="34" s="1"/>
  <c r="F36" i="35"/>
  <c r="S36" i="35" s="1"/>
  <c r="J9" i="37"/>
  <c r="W9" i="37" s="1"/>
  <c r="H9" i="37"/>
  <c r="U9" i="37" s="1"/>
  <c r="F9" i="37"/>
  <c r="S9" i="37" s="1"/>
  <c r="F12" i="37"/>
  <c r="S12" i="37" s="1"/>
  <c r="F15" i="37"/>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c r="AT6" i="3"/>
  <c r="AA25" i="21"/>
  <c r="H19" i="40"/>
  <c r="U19" i="40" s="1"/>
  <c r="F88" i="40"/>
  <c r="G88" i="40" s="1"/>
  <c r="F19" i="40"/>
  <c r="S19" i="40" s="1"/>
  <c r="S14" i="40"/>
  <c r="AB33" i="40"/>
  <c r="W23" i="39"/>
  <c r="AC43" i="39"/>
  <c r="W43" i="39"/>
  <c r="U45" i="39"/>
  <c r="AB45" i="39"/>
  <c r="AB44" i="39"/>
  <c r="U44" i="39"/>
  <c r="G100" i="39"/>
  <c r="W37" i="39"/>
  <c r="H25" i="39"/>
  <c r="AB25" i="39" s="1"/>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c r="F11" i="39"/>
  <c r="S11" i="39" s="1"/>
  <c r="G4" i="4"/>
  <c r="I4" i="4"/>
  <c r="A2" i="9"/>
  <c r="F61" i="43"/>
  <c r="H64" i="43" s="1"/>
  <c r="AZ497" i="3"/>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168" i="3"/>
  <c r="AZ120" i="3"/>
  <c r="AZ128"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86" i="3"/>
  <c r="AZ500" i="3"/>
  <c r="BA16" i="3"/>
  <c r="BL303" i="3"/>
  <c r="G304" i="3"/>
  <c r="BA306" i="3"/>
  <c r="BL307" i="3"/>
  <c r="G308" i="3"/>
  <c r="BA310" i="3"/>
  <c r="BL311" i="3"/>
  <c r="AZ311" i="3" s="1"/>
  <c r="G312" i="3"/>
  <c r="BA314" i="3"/>
  <c r="BL315" i="3"/>
  <c r="AZ315" i="3" s="1"/>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G342" i="3"/>
  <c r="BL345" i="3"/>
  <c r="AZ345" i="3" s="1"/>
  <c r="G346" i="3"/>
  <c r="BL349" i="3"/>
  <c r="AZ349" i="3" s="1"/>
  <c r="BL352" i="3"/>
  <c r="G353" i="3"/>
  <c r="BA357" i="3"/>
  <c r="BL358" i="3"/>
  <c r="AZ358" i="3"/>
  <c r="G359" i="3"/>
  <c r="BA361" i="3"/>
  <c r="AZ361" i="3"/>
  <c r="BL362" i="3"/>
  <c r="AZ362" i="3" s="1"/>
  <c r="G363" i="3"/>
  <c r="BA365" i="3"/>
  <c r="AZ365" i="3"/>
  <c r="BL366" i="3"/>
  <c r="G367" i="3"/>
  <c r="BA369" i="3"/>
  <c r="AZ369" i="3"/>
  <c r="BL370" i="3"/>
  <c r="G371" i="3"/>
  <c r="BA373" i="3"/>
  <c r="AZ373" i="3"/>
  <c r="BL374" i="3"/>
  <c r="AZ374" i="3" s="1"/>
  <c r="G375" i="3"/>
  <c r="BA377" i="3"/>
  <c r="AZ377" i="3"/>
  <c r="AZ269" i="3"/>
  <c r="BA379" i="3"/>
  <c r="AZ379" i="3" s="1"/>
  <c r="BL380" i="3"/>
  <c r="G381" i="3"/>
  <c r="BA383" i="3"/>
  <c r="AZ383" i="3" s="1"/>
  <c r="BL384" i="3"/>
  <c r="G385" i="3"/>
  <c r="BA387" i="3"/>
  <c r="AZ387" i="3" s="1"/>
  <c r="BL388" i="3"/>
  <c r="AZ388" i="3" s="1"/>
  <c r="G389" i="3"/>
  <c r="BA391" i="3"/>
  <c r="BL392" i="3"/>
  <c r="AZ392" i="3" s="1"/>
  <c r="G393" i="3"/>
  <c r="BJ5" i="3"/>
  <c r="AZ325" i="3"/>
  <c r="AZ506" i="3"/>
  <c r="AZ496" i="3"/>
  <c r="G548" i="3"/>
  <c r="G538" i="3"/>
  <c r="G520" i="3"/>
  <c r="G502" i="3"/>
  <c r="BC5" i="3"/>
  <c r="G17" i="3"/>
  <c r="BA17" i="3"/>
  <c r="AZ356" i="3"/>
  <c r="AZ368" i="3"/>
  <c r="BA15" i="3"/>
  <c r="AZ15" i="3" s="1"/>
  <c r="BB5" i="3"/>
  <c r="G509" i="3"/>
  <c r="BL493" i="3"/>
  <c r="AZ493" i="3" s="1"/>
  <c r="U36" i="40"/>
  <c r="F83" i="43"/>
  <c r="H85" i="43" s="1"/>
  <c r="F50" i="43"/>
  <c r="H54" i="43" s="1"/>
  <c r="F72" i="43"/>
  <c r="H75" i="43" s="1"/>
  <c r="U17" i="39"/>
  <c r="S14" i="35"/>
  <c r="U43" i="21"/>
  <c r="U35" i="21"/>
  <c r="AC35" i="21"/>
  <c r="AC11" i="39"/>
  <c r="W37" i="37"/>
  <c r="W44" i="34"/>
  <c r="AC44" i="34"/>
  <c r="S15" i="37"/>
  <c r="U13" i="37"/>
  <c r="U12" i="40"/>
  <c r="AA12" i="40"/>
  <c r="J37" i="33"/>
  <c r="W37" i="33" s="1"/>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8" i="3"/>
  <c r="AZ259" i="3"/>
  <c r="AZ271" i="3"/>
  <c r="AZ50" i="3"/>
  <c r="AZ77" i="3"/>
  <c r="F23" i="39"/>
  <c r="AA23" i="39"/>
  <c r="H27" i="36"/>
  <c r="U27" i="36" s="1"/>
  <c r="F27" i="36"/>
  <c r="AA27" i="36" s="1"/>
  <c r="H33" i="34"/>
  <c r="U33" i="34"/>
  <c r="F32" i="37"/>
  <c r="AA32" i="37" s="1"/>
  <c r="G96" i="37"/>
  <c r="H96" i="37"/>
  <c r="I96" i="37" s="1"/>
  <c r="J96" i="37" s="1"/>
  <c r="K96" i="37" s="1"/>
  <c r="L96" i="37" s="1"/>
  <c r="M96" i="37" s="1"/>
  <c r="F20" i="36"/>
  <c r="AA20" i="36" s="1"/>
  <c r="J33" i="34"/>
  <c r="AC33" i="34" s="1"/>
  <c r="H23" i="39"/>
  <c r="U23" i="39" s="1"/>
  <c r="D48" i="9"/>
  <c r="M52" i="9" s="1"/>
  <c r="K9" i="1"/>
  <c r="M9" i="1" s="1"/>
  <c r="K6" i="1"/>
  <c r="AP6" i="1" s="1"/>
  <c r="W27" i="34"/>
  <c r="AC27" i="34"/>
  <c r="AC12" i="39"/>
  <c r="W12" i="39"/>
  <c r="AC39" i="40"/>
  <c r="W39" i="40"/>
  <c r="AZ412" i="3"/>
  <c r="AZ433" i="3"/>
  <c r="W12" i="33"/>
  <c r="AC12" i="33"/>
  <c r="AA32" i="36"/>
  <c r="S32" i="36"/>
  <c r="AZ437" i="3"/>
  <c r="BL14" i="3"/>
  <c r="U30" i="33"/>
  <c r="AC13" i="34"/>
  <c r="W28" i="37"/>
  <c r="S19" i="39"/>
  <c r="F12" i="33"/>
  <c r="H12" i="39"/>
  <c r="AB12" i="39"/>
  <c r="F39" i="40"/>
  <c r="AA39" i="40" s="1"/>
  <c r="BA14" i="3"/>
  <c r="AZ250" i="3"/>
  <c r="AZ286" i="3"/>
  <c r="AZ157" i="3"/>
  <c r="B12" i="1"/>
  <c r="E12" i="1" s="1"/>
  <c r="B10" i="1"/>
  <c r="E10" i="1" s="1"/>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AB19" i="40"/>
  <c r="S43"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S23" i="36"/>
  <c r="U13" i="36"/>
  <c r="U26" i="36"/>
  <c r="S33" i="36"/>
  <c r="AA34" i="36"/>
  <c r="AC26" i="36"/>
  <c r="AA22" i="36"/>
  <c r="W14" i="36"/>
  <c r="AB14" i="36"/>
  <c r="U22" i="36"/>
  <c r="S16"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S43" i="33"/>
  <c r="F91" i="33"/>
  <c r="G91" i="33" s="1"/>
  <c r="H91" i="33" s="1"/>
  <c r="I91" i="33" s="1"/>
  <c r="J91" i="33" s="1"/>
  <c r="K91" i="33" s="1"/>
  <c r="L91" i="33" s="1"/>
  <c r="M91" i="33" s="1"/>
  <c r="H27" i="33"/>
  <c r="AB27" i="33" s="1"/>
  <c r="F87" i="33"/>
  <c r="H25" i="33"/>
  <c r="F25" i="33"/>
  <c r="AA25" i="33" s="1"/>
  <c r="J23" i="33"/>
  <c r="AC23" i="33" s="1"/>
  <c r="F85" i="33"/>
  <c r="H23"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G13" i="3"/>
  <c r="BL17" i="3"/>
  <c r="AZ17" i="3"/>
  <c r="BL13" i="3"/>
  <c r="J56" i="9"/>
  <c r="J57" i="9" s="1"/>
  <c r="J59" i="9" s="1"/>
  <c r="J61" i="9" s="1"/>
  <c r="A24" i="51"/>
  <c r="B18" i="72" s="1"/>
  <c r="U29" i="34"/>
  <c r="E32" i="6"/>
  <c r="G1" i="68"/>
  <c r="K1" i="12"/>
  <c r="E19" i="11"/>
  <c r="E1" i="73"/>
  <c r="G22" i="69"/>
  <c r="G22" i="68"/>
  <c r="G26" i="12"/>
  <c r="G22" i="11"/>
  <c r="C6" i="43"/>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AC14" i="40"/>
  <c r="S13" i="40"/>
  <c r="S33" i="40"/>
  <c r="AA15" i="40"/>
  <c r="U11" i="40"/>
  <c r="S31" i="40"/>
  <c r="AB13" i="40"/>
  <c r="U15" i="40"/>
  <c r="AB17" i="40"/>
  <c r="U8" i="40"/>
  <c r="S8" i="40"/>
  <c r="AA39" i="39"/>
  <c r="AC41" i="39"/>
  <c r="U42" i="39"/>
  <c r="W25" i="39"/>
  <c r="AC25" i="39"/>
  <c r="U13" i="39"/>
  <c r="AB13" i="39"/>
  <c r="S13" i="39"/>
  <c r="S14" i="39"/>
  <c r="AA14" i="39"/>
  <c r="U43" i="39"/>
  <c r="AB43" i="39"/>
  <c r="AA27" i="39"/>
  <c r="S27" i="39"/>
  <c r="W17" i="39"/>
  <c r="AC17" i="39"/>
  <c r="W31" i="39"/>
  <c r="AC31" i="39"/>
  <c r="S23" i="39"/>
  <c r="AA45" i="39"/>
  <c r="AB39" i="39"/>
  <c r="W34" i="39"/>
  <c r="U38" i="39"/>
  <c r="S8" i="39"/>
  <c r="S20" i="36"/>
  <c r="U32" i="36"/>
  <c r="W29" i="36"/>
  <c r="AC20" i="36"/>
  <c r="U25" i="36"/>
  <c r="AB28" i="36"/>
  <c r="AA13" i="36"/>
  <c r="W9" i="36"/>
  <c r="W22" i="36"/>
  <c r="W23" i="36"/>
  <c r="AB20" i="35"/>
  <c r="AC25" i="35"/>
  <c r="U25" i="35"/>
  <c r="S24" i="35"/>
  <c r="U24" i="35"/>
  <c r="W35" i="35"/>
  <c r="AA16" i="35"/>
  <c r="AA35" i="37"/>
  <c r="W36" i="37"/>
  <c r="S27" i="37"/>
  <c r="S28" i="37"/>
  <c r="W32" i="37"/>
  <c r="S40" i="37"/>
  <c r="U38" i="37"/>
  <c r="AB37" i="37"/>
  <c r="AC34" i="37"/>
  <c r="AB35" i="37"/>
  <c r="AA31" i="37"/>
  <c r="U19" i="37"/>
  <c r="AA29" i="37"/>
  <c r="U8" i="37"/>
  <c r="AA40" i="34"/>
  <c r="AB40" i="34"/>
  <c r="U19" i="34"/>
  <c r="W19" i="34"/>
  <c r="AB33" i="34"/>
  <c r="AC45" i="34"/>
  <c r="AA30" i="34"/>
  <c r="AB45" i="34"/>
  <c r="AB47" i="34"/>
  <c r="AB36" i="34"/>
  <c r="W33" i="34"/>
  <c r="AC32" i="34"/>
  <c r="AC29" i="34"/>
  <c r="W29" i="34"/>
  <c r="W46" i="34"/>
  <c r="AC46" i="34"/>
  <c r="S32" i="34"/>
  <c r="AA32" i="34"/>
  <c r="S37" i="34"/>
  <c r="AC40" i="34"/>
  <c r="W40" i="34"/>
  <c r="AA19" i="34"/>
  <c r="S19" i="34"/>
  <c r="AA36" i="34"/>
  <c r="S36" i="34"/>
  <c r="AA8" i="34"/>
  <c r="S8" i="34"/>
  <c r="AB9" i="34"/>
  <c r="U9" i="34"/>
  <c r="S46" i="34"/>
  <c r="AA46" i="34"/>
  <c r="U14" i="34"/>
  <c r="AB14" i="34"/>
  <c r="W23" i="34"/>
  <c r="AC23" i="34"/>
  <c r="U12" i="34"/>
  <c r="AB12" i="34"/>
  <c r="AB28" i="33"/>
  <c r="AC37" i="33"/>
  <c r="W46" i="33"/>
  <c r="U39" i="33"/>
  <c r="U38" i="33"/>
  <c r="S33" i="33"/>
  <c r="AB34" i="33"/>
  <c r="U44" i="33"/>
  <c r="AB44" i="33"/>
  <c r="S30" i="33"/>
  <c r="AA30" i="33"/>
  <c r="AC14" i="33"/>
  <c r="W14" i="33"/>
  <c r="AC30" i="33"/>
  <c r="W30" i="33"/>
  <c r="S31" i="33"/>
  <c r="AA31" i="33"/>
  <c r="AC13" i="33"/>
  <c r="U15" i="33"/>
  <c r="S11" i="33"/>
  <c r="U37" i="33"/>
  <c r="AC28" i="33"/>
  <c r="S28" i="33"/>
  <c r="W8" i="33"/>
  <c r="S44" i="21"/>
  <c r="AB42"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c r="AC19" i="21"/>
  <c r="W39" i="21"/>
  <c r="AC14"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AB25" i="21"/>
  <c r="AB44" i="21"/>
  <c r="W13" i="21"/>
  <c r="W42" i="21"/>
  <c r="F10" i="21"/>
  <c r="AA10" i="21" s="1"/>
  <c r="K145" i="21"/>
  <c r="W17" i="21"/>
  <c r="W25" i="21"/>
  <c r="W31" i="21"/>
  <c r="S17" i="21"/>
  <c r="AC26" i="21"/>
  <c r="AB29" i="21"/>
  <c r="S28" i="21"/>
  <c r="AC34" i="21"/>
  <c r="W30" i="40"/>
  <c r="C19" i="39"/>
  <c r="C15" i="40"/>
  <c r="C23" i="40"/>
  <c r="C21" i="40"/>
  <c r="B56" i="43"/>
  <c r="B67" i="43"/>
  <c r="B54" i="43"/>
  <c r="B58" i="43"/>
  <c r="B65" i="43"/>
  <c r="B69" i="43"/>
  <c r="D23" i="15"/>
  <c r="D22" i="15"/>
  <c r="E4" i="4"/>
  <c r="B5" i="62" s="1"/>
  <c r="B73" i="72" s="1"/>
  <c r="C4" i="4"/>
  <c r="S12" i="33"/>
  <c r="AA12" i="33"/>
  <c r="J32" i="39"/>
  <c r="AC32" i="39" s="1"/>
  <c r="H32" i="39"/>
  <c r="AB32" i="39" s="1"/>
  <c r="AA32" i="39"/>
  <c r="S32" i="39"/>
  <c r="AB21" i="39"/>
  <c r="U21" i="39"/>
  <c r="S21" i="39"/>
  <c r="AC17" i="37"/>
  <c r="S17" i="37"/>
  <c r="J19" i="37"/>
  <c r="W19" i="37" s="1"/>
  <c r="G75" i="37"/>
  <c r="AA19" i="37"/>
  <c r="J23" i="37"/>
  <c r="G79"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W32" i="33"/>
  <c r="U27" i="33"/>
  <c r="J27" i="33"/>
  <c r="U25" i="33"/>
  <c r="AB25" i="33"/>
  <c r="S25" i="33"/>
  <c r="G87" i="33"/>
  <c r="H87" i="33"/>
  <c r="I87" i="33" s="1"/>
  <c r="J87" i="33" s="1"/>
  <c r="K87" i="33" s="1"/>
  <c r="L87" i="33" s="1"/>
  <c r="M87" i="33" s="1"/>
  <c r="J25" i="33"/>
  <c r="AB23" i="33"/>
  <c r="U23" i="33"/>
  <c r="F23" i="33"/>
  <c r="G85" i="33"/>
  <c r="H19" i="33"/>
  <c r="U19" i="33" s="1"/>
  <c r="H17" i="33"/>
  <c r="U17" i="33" s="1"/>
  <c r="F17" i="33"/>
  <c r="S17" i="33" s="1"/>
  <c r="W17" i="33"/>
  <c r="AC17" i="33"/>
  <c r="J23" i="21"/>
  <c r="W23" i="21" s="1"/>
  <c r="F85" i="21"/>
  <c r="G85" i="21" s="1"/>
  <c r="H23" i="21"/>
  <c r="S13" i="21"/>
  <c r="AP7" i="1"/>
  <c r="AB45" i="21"/>
  <c r="AB9" i="21"/>
  <c r="U9" i="21"/>
  <c r="S32" i="21"/>
  <c r="W9" i="21"/>
  <c r="AC9" i="21"/>
  <c r="U32" i="21"/>
  <c r="U32" i="39"/>
  <c r="W23" i="37"/>
  <c r="AC23" i="37"/>
  <c r="J11" i="37"/>
  <c r="AC11" i="37" s="1"/>
  <c r="H70" i="34"/>
  <c r="I70" i="34" s="1"/>
  <c r="J70" i="34" s="1"/>
  <c r="K70" i="34" s="1"/>
  <c r="L70" i="34" s="1"/>
  <c r="M70" i="34" s="1"/>
  <c r="J11" i="34"/>
  <c r="W11" i="34" s="1"/>
  <c r="W27" i="33"/>
  <c r="AC27" i="33"/>
  <c r="W25" i="33"/>
  <c r="AC25" i="33"/>
  <c r="U23" i="21"/>
  <c r="AB23" i="21"/>
  <c r="AC23" i="21"/>
  <c r="H109" i="9"/>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5" i="73"/>
  <c r="F26" i="15"/>
  <c r="E8" i="76"/>
  <c r="C76" i="15"/>
  <c r="F16" i="15"/>
  <c r="M28" i="15"/>
  <c r="F7" i="73"/>
  <c r="F9" i="15"/>
  <c r="E11" i="76"/>
  <c r="D6" i="73"/>
  <c r="E9" i="76"/>
  <c r="AO13" i="1"/>
  <c r="M9" i="15"/>
  <c r="F42" i="15"/>
  <c r="M26" i="15"/>
  <c r="F13" i="15"/>
  <c r="B9" i="76"/>
  <c r="F40" i="67"/>
  <c r="L48" i="15"/>
  <c r="M22" i="15"/>
  <c r="F8" i="15"/>
  <c r="F3" i="73"/>
  <c r="F6" i="15"/>
  <c r="E2" i="68"/>
  <c r="L47" i="15"/>
  <c r="M23" i="15"/>
  <c r="B10" i="76"/>
  <c r="B12" i="76"/>
  <c r="F20" i="31"/>
  <c r="F36" i="15"/>
  <c r="F40" i="15"/>
  <c r="M8" i="15"/>
  <c r="E13" i="76"/>
  <c r="B8" i="76"/>
  <c r="F37" i="67"/>
  <c r="E12" i="76"/>
  <c r="F37" i="15"/>
  <c r="M6" i="15"/>
  <c r="F6" i="73"/>
  <c r="M24" i="15"/>
  <c r="L48" i="67"/>
  <c r="B11" i="76"/>
  <c r="B13" i="76"/>
  <c r="F4" i="73"/>
  <c r="B7" i="76"/>
  <c r="F7" i="15"/>
  <c r="M29" i="15"/>
  <c r="J15" i="15"/>
  <c r="E2" i="69"/>
  <c r="L47" i="67"/>
  <c r="E10" i="76"/>
  <c r="E7" i="76"/>
  <c r="F38" i="67"/>
  <c r="F43" i="15"/>
  <c r="F38" i="15"/>
  <c r="F8" i="67"/>
  <c r="M20" i="67" l="1"/>
  <c r="F34" i="15"/>
  <c r="F62" i="15" s="1"/>
  <c r="F34" i="67"/>
  <c r="F62" i="67" s="1"/>
  <c r="B41" i="1"/>
  <c r="D93" i="9"/>
  <c r="F30" i="69"/>
  <c r="F48" i="69" s="1"/>
  <c r="F31" i="12"/>
  <c r="F54" i="9"/>
  <c r="F28" i="15"/>
  <c r="F32" i="67"/>
  <c r="F60" i="67" s="1"/>
  <c r="F28" i="67"/>
  <c r="D68" i="9"/>
  <c r="M18" i="15"/>
  <c r="M18" i="67"/>
  <c r="F30" i="11"/>
  <c r="C48" i="11" s="1"/>
  <c r="C40" i="69"/>
  <c r="E19" i="68"/>
  <c r="BG5" i="3"/>
  <c r="BT5" i="3"/>
  <c r="BS5" i="3"/>
  <c r="H5" i="3"/>
  <c r="BH5" i="3"/>
  <c r="C17" i="40"/>
  <c r="B62" i="43"/>
  <c r="C15" i="39"/>
  <c r="B57" i="43"/>
  <c r="B51" i="43"/>
  <c r="A4" i="52"/>
  <c r="B41" i="72" s="1"/>
  <c r="A118" i="9"/>
  <c r="B19" i="53"/>
  <c r="B37" i="72" s="1"/>
  <c r="W12" i="37"/>
  <c r="AC12" i="37"/>
  <c r="AZ564" i="3"/>
  <c r="AB9" i="33"/>
  <c r="U9" i="33"/>
  <c r="AZ558" i="3"/>
  <c r="AC40" i="39"/>
  <c r="W40" i="39"/>
  <c r="AA38" i="39"/>
  <c r="S38" i="39"/>
  <c r="BA563" i="3"/>
  <c r="AZ563" i="3" s="1"/>
  <c r="AB15" i="21"/>
  <c r="W11" i="35"/>
  <c r="AC11" i="35"/>
  <c r="AB36" i="33"/>
  <c r="AA23" i="21"/>
  <c r="AC15" i="21"/>
  <c r="W35" i="34"/>
  <c r="W43" i="34"/>
  <c r="AB32" i="34"/>
  <c r="AB30" i="34"/>
  <c r="U25" i="34"/>
  <c r="AA31" i="34"/>
  <c r="U36" i="37"/>
  <c r="S35" i="35"/>
  <c r="W37" i="40"/>
  <c r="AC17" i="34"/>
  <c r="BE5" i="3"/>
  <c r="BD5" i="3"/>
  <c r="E10" i="6" s="1"/>
  <c r="BM5" i="3"/>
  <c r="AZ391" i="3"/>
  <c r="AZ364" i="3"/>
  <c r="AZ329" i="3"/>
  <c r="AZ306" i="3"/>
  <c r="U40" i="39"/>
  <c r="AC13" i="40"/>
  <c r="H12" i="37"/>
  <c r="AB12" i="37" s="1"/>
  <c r="AZ577" i="3"/>
  <c r="AZ572" i="3"/>
  <c r="S44" i="34"/>
  <c r="U46" i="33"/>
  <c r="F27" i="21"/>
  <c r="H30" i="21"/>
  <c r="B101" i="43"/>
  <c r="B79" i="43"/>
  <c r="C25" i="39"/>
  <c r="F9" i="34"/>
  <c r="AA9" i="34" s="1"/>
  <c r="J9" i="34"/>
  <c r="AB19" i="33"/>
  <c r="AZ307" i="3"/>
  <c r="AZ560" i="3"/>
  <c r="W32" i="39"/>
  <c r="AA19" i="33"/>
  <c r="S39" i="40"/>
  <c r="AB36" i="21"/>
  <c r="AA17" i="33"/>
  <c r="S37" i="21"/>
  <c r="U30" i="40"/>
  <c r="AC27" i="21"/>
  <c r="AA30" i="21"/>
  <c r="U28" i="21"/>
  <c r="AC14" i="34"/>
  <c r="U11" i="39"/>
  <c r="U41" i="39"/>
  <c r="AB41" i="34"/>
  <c r="AA47" i="34"/>
  <c r="U34" i="36"/>
  <c r="BP5" i="3"/>
  <c r="G29" i="6" s="1"/>
  <c r="AC5" i="3"/>
  <c r="BO5" i="3"/>
  <c r="AZ384" i="3"/>
  <c r="AZ357" i="3"/>
  <c r="AZ322" i="3"/>
  <c r="AZ313" i="3"/>
  <c r="AZ394" i="3"/>
  <c r="W44" i="33"/>
  <c r="AZ519" i="3"/>
  <c r="AZ531" i="3"/>
  <c r="BL559" i="3"/>
  <c r="AZ559" i="3" s="1"/>
  <c r="AZ583" i="3"/>
  <c r="AZ528" i="3"/>
  <c r="AZ574" i="3"/>
  <c r="AZ582" i="3"/>
  <c r="AZ502" i="3"/>
  <c r="AA44" i="33"/>
  <c r="J25" i="36"/>
  <c r="H27" i="21"/>
  <c r="W28" i="21"/>
  <c r="AC28" i="21"/>
  <c r="AC11" i="40"/>
  <c r="F37" i="39"/>
  <c r="AB33" i="33"/>
  <c r="U33" i="33"/>
  <c r="F26" i="33"/>
  <c r="J26" i="33"/>
  <c r="AC28" i="35"/>
  <c r="W28" i="35"/>
  <c r="H33" i="36"/>
  <c r="J33" i="36"/>
  <c r="AC33" i="36" s="1"/>
  <c r="AB31" i="36"/>
  <c r="U31" i="36"/>
  <c r="AC31" i="40"/>
  <c r="W31" i="40"/>
  <c r="F9" i="33"/>
  <c r="AA9" i="33" s="1"/>
  <c r="J9" i="33"/>
  <c r="D6" i="52"/>
  <c r="AA23" i="37"/>
  <c r="AA15" i="21"/>
  <c r="AC45" i="21"/>
  <c r="U38" i="34"/>
  <c r="W27" i="40"/>
  <c r="W43" i="33"/>
  <c r="S42" i="33"/>
  <c r="U32" i="37"/>
  <c r="AB31" i="37"/>
  <c r="AA25" i="36"/>
  <c r="AA26" i="36"/>
  <c r="U21" i="40"/>
  <c r="AZ14" i="3"/>
  <c r="AZ334" i="3"/>
  <c r="AZ347" i="3"/>
  <c r="AZ192" i="3"/>
  <c r="AA11" i="39"/>
  <c r="H37" i="39"/>
  <c r="AZ515" i="3"/>
  <c r="AZ523" i="3"/>
  <c r="AZ547" i="3"/>
  <c r="BL569" i="3"/>
  <c r="AZ569" i="3" s="1"/>
  <c r="BL557" i="3"/>
  <c r="AZ557" i="3" s="1"/>
  <c r="AZ529" i="3"/>
  <c r="AZ537" i="3"/>
  <c r="AZ575" i="3"/>
  <c r="AZ536" i="3"/>
  <c r="AZ576" i="3"/>
  <c r="AA14" i="37"/>
  <c r="J30" i="21"/>
  <c r="BA587" i="3"/>
  <c r="BL585" i="3"/>
  <c r="AZ585" i="3" s="1"/>
  <c r="AZ400" i="3"/>
  <c r="W27" i="35"/>
  <c r="J12" i="36"/>
  <c r="H25" i="37"/>
  <c r="F25" i="37"/>
  <c r="AZ443" i="3"/>
  <c r="G585" i="3"/>
  <c r="BL587" i="3"/>
  <c r="BL586" i="3"/>
  <c r="AZ586" i="3" s="1"/>
  <c r="S34" i="39"/>
  <c r="AA34" i="39"/>
  <c r="AZ402" i="3"/>
  <c r="AZ406" i="3"/>
  <c r="AZ571" i="3"/>
  <c r="AZ579" i="3"/>
  <c r="AZ516" i="3"/>
  <c r="AZ524" i="3"/>
  <c r="U34" i="34"/>
  <c r="F12" i="34"/>
  <c r="S12" i="34" s="1"/>
  <c r="F12" i="35"/>
  <c r="S12" i="35" s="1"/>
  <c r="J12" i="35"/>
  <c r="J25" i="37"/>
  <c r="AB30" i="37"/>
  <c r="U30" i="37"/>
  <c r="S9" i="40"/>
  <c r="AA9" i="40"/>
  <c r="H38" i="40"/>
  <c r="G570" i="3"/>
  <c r="G551" i="3"/>
  <c r="BL550" i="3"/>
  <c r="G542" i="3"/>
  <c r="AZ421" i="3"/>
  <c r="AZ451" i="3"/>
  <c r="AZ454" i="3"/>
  <c r="AZ459" i="3"/>
  <c r="AZ469" i="3"/>
  <c r="AZ483" i="3"/>
  <c r="BL16" i="3"/>
  <c r="AZ16" i="3" s="1"/>
  <c r="BA401" i="3"/>
  <c r="AZ401" i="3" s="1"/>
  <c r="BA403" i="3"/>
  <c r="AZ403" i="3" s="1"/>
  <c r="BA404" i="3"/>
  <c r="AZ404" i="3" s="1"/>
  <c r="BA405" i="3"/>
  <c r="AZ405" i="3" s="1"/>
  <c r="G409" i="3"/>
  <c r="BL410" i="3"/>
  <c r="G412" i="3"/>
  <c r="G418" i="3"/>
  <c r="G419" i="3"/>
  <c r="BA422" i="3"/>
  <c r="G430" i="3"/>
  <c r="BL431" i="3"/>
  <c r="BL434"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G311" i="3"/>
  <c r="BL314" i="3"/>
  <c r="AZ314" i="3" s="1"/>
  <c r="G315" i="3"/>
  <c r="BA332" i="3"/>
  <c r="AZ332" i="3" s="1"/>
  <c r="BL332" i="3"/>
  <c r="G339" i="3"/>
  <c r="BL208" i="3"/>
  <c r="BL224" i="3"/>
  <c r="G587" i="3"/>
  <c r="BA551" i="3"/>
  <c r="AZ551" i="3" s="1"/>
  <c r="BA550" i="3"/>
  <c r="AZ550" i="3" s="1"/>
  <c r="BL548" i="3"/>
  <c r="AZ548" i="3" s="1"/>
  <c r="BL400" i="3"/>
  <c r="BL408" i="3"/>
  <c r="BL411" i="3"/>
  <c r="BL413" i="3"/>
  <c r="AZ413" i="3" s="1"/>
  <c r="BL417" i="3"/>
  <c r="BL418" i="3"/>
  <c r="AZ418" i="3" s="1"/>
  <c r="BL420" i="3"/>
  <c r="BL424" i="3"/>
  <c r="BL428" i="3"/>
  <c r="BL429" i="3"/>
  <c r="BL432" i="3"/>
  <c r="BL435" i="3"/>
  <c r="AZ435" i="3" s="1"/>
  <c r="BL436" i="3"/>
  <c r="BA439" i="3"/>
  <c r="BA440" i="3"/>
  <c r="AZ440" i="3" s="1"/>
  <c r="BA442" i="3"/>
  <c r="BA445" i="3"/>
  <c r="BA447" i="3"/>
  <c r="AZ447" i="3" s="1"/>
  <c r="BA449" i="3"/>
  <c r="AZ449" i="3" s="1"/>
  <c r="BL453" i="3"/>
  <c r="BL454" i="3"/>
  <c r="BL459" i="3"/>
  <c r="BA465" i="3"/>
  <c r="AZ465" i="3" s="1"/>
  <c r="BA467" i="3"/>
  <c r="BA468" i="3"/>
  <c r="BL471" i="3"/>
  <c r="BL475" i="3"/>
  <c r="BA477" i="3"/>
  <c r="BA478" i="3"/>
  <c r="BA481" i="3"/>
  <c r="G484" i="3"/>
  <c r="BA488" i="3"/>
  <c r="AZ488" i="3" s="1"/>
  <c r="BA491" i="3"/>
  <c r="AZ491" i="3" s="1"/>
  <c r="BL324" i="3"/>
  <c r="AZ324" i="3" s="1"/>
  <c r="BL328" i="3"/>
  <c r="AZ328" i="3" s="1"/>
  <c r="BA335" i="3"/>
  <c r="AZ335" i="3" s="1"/>
  <c r="BA339" i="3"/>
  <c r="AZ339" i="3" s="1"/>
  <c r="BL350" i="3"/>
  <c r="BA353" i="3"/>
  <c r="AZ353" i="3" s="1"/>
  <c r="BL353" i="3"/>
  <c r="BL359" i="3"/>
  <c r="AZ359" i="3" s="1"/>
  <c r="BL211" i="3"/>
  <c r="BL398" i="3"/>
  <c r="AZ398" i="3" s="1"/>
  <c r="G402" i="3"/>
  <c r="BL403" i="3"/>
  <c r="G405" i="3"/>
  <c r="G406" i="3"/>
  <c r="BA408" i="3"/>
  <c r="AZ408" i="3" s="1"/>
  <c r="BA409" i="3"/>
  <c r="AZ409" i="3" s="1"/>
  <c r="BA411" i="3"/>
  <c r="BL414" i="3"/>
  <c r="AZ414" i="3" s="1"/>
  <c r="BL415" i="3"/>
  <c r="AZ415" i="3" s="1"/>
  <c r="BA417" i="3"/>
  <c r="AZ417" i="3" s="1"/>
  <c r="BL421" i="3"/>
  <c r="BL422" i="3"/>
  <c r="BL425" i="3"/>
  <c r="AZ425" i="3" s="1"/>
  <c r="BL426" i="3"/>
  <c r="BA428" i="3"/>
  <c r="AZ428" i="3" s="1"/>
  <c r="BA429" i="3"/>
  <c r="AZ429" i="3" s="1"/>
  <c r="BA430" i="3"/>
  <c r="AZ430" i="3" s="1"/>
  <c r="BA432" i="3"/>
  <c r="BA434" i="3"/>
  <c r="BA436" i="3"/>
  <c r="AZ436" i="3" s="1"/>
  <c r="BA438" i="3"/>
  <c r="G442" i="3"/>
  <c r="G443" i="3"/>
  <c r="BA446" i="3"/>
  <c r="AZ446" i="3" s="1"/>
  <c r="BA450" i="3"/>
  <c r="BA453" i="3"/>
  <c r="BA455" i="3"/>
  <c r="AZ455" i="3" s="1"/>
  <c r="BL457" i="3"/>
  <c r="AZ457" i="3" s="1"/>
  <c r="BL460" i="3"/>
  <c r="AZ460" i="3" s="1"/>
  <c r="BL461" i="3"/>
  <c r="AZ461" i="3" s="1"/>
  <c r="BL463" i="3"/>
  <c r="G465" i="3"/>
  <c r="BA471" i="3"/>
  <c r="AZ471" i="3" s="1"/>
  <c r="G486" i="3"/>
  <c r="G488" i="3"/>
  <c r="BL317" i="3"/>
  <c r="G318" i="3"/>
  <c r="BL346" i="3"/>
  <c r="AZ346" i="3" s="1"/>
  <c r="G349" i="3"/>
  <c r="G374" i="3"/>
  <c r="BA384" i="3"/>
  <c r="BA395" i="3"/>
  <c r="AZ395" i="3" s="1"/>
  <c r="BA208" i="3"/>
  <c r="BA211" i="3"/>
  <c r="BL213" i="3"/>
  <c r="BL215" i="3"/>
  <c r="BA222" i="3"/>
  <c r="AZ222" i="3" s="1"/>
  <c r="BA224" i="3"/>
  <c r="BA226" i="3"/>
  <c r="BA237" i="3"/>
  <c r="AZ237" i="3" s="1"/>
  <c r="BL240" i="3"/>
  <c r="AZ240" i="3" s="1"/>
  <c r="BA242" i="3"/>
  <c r="AZ242" i="3" s="1"/>
  <c r="BL245" i="3"/>
  <c r="AZ245" i="3" s="1"/>
  <c r="G247" i="3"/>
  <c r="BL255" i="3"/>
  <c r="G257" i="3"/>
  <c r="BL257" i="3"/>
  <c r="AZ257" i="3" s="1"/>
  <c r="BL258" i="3"/>
  <c r="AZ258" i="3" s="1"/>
  <c r="G259" i="3"/>
  <c r="BA262" i="3"/>
  <c r="AZ262" i="3" s="1"/>
  <c r="G265" i="3"/>
  <c r="BL265" i="3"/>
  <c r="AZ265" i="3" s="1"/>
  <c r="G267" i="3"/>
  <c r="G269" i="3"/>
  <c r="BA273" i="3"/>
  <c r="BA278" i="3"/>
  <c r="AZ278" i="3" s="1"/>
  <c r="BA280" i="3"/>
  <c r="AZ280" i="3" s="1"/>
  <c r="BL283" i="3"/>
  <c r="AZ283" i="3" s="1"/>
  <c r="BL284" i="3"/>
  <c r="G288" i="3"/>
  <c r="BL292" i="3"/>
  <c r="BA294" i="3"/>
  <c r="BL295" i="3"/>
  <c r="BA298" i="3"/>
  <c r="AZ298" i="3" s="1"/>
  <c r="BL301" i="3"/>
  <c r="AZ301" i="3" s="1"/>
  <c r="BL302" i="3"/>
  <c r="BA114" i="3"/>
  <c r="BL123" i="3"/>
  <c r="AZ123" i="3" s="1"/>
  <c r="BL134" i="3"/>
  <c r="BA146" i="3"/>
  <c r="AZ146" i="3" s="1"/>
  <c r="BL154" i="3"/>
  <c r="AZ62" i="3"/>
  <c r="BA367" i="3"/>
  <c r="AZ367" i="3" s="1"/>
  <c r="BA370" i="3"/>
  <c r="AZ370" i="3" s="1"/>
  <c r="BA386" i="3"/>
  <c r="AZ386" i="3" s="1"/>
  <c r="BA216" i="3"/>
  <c r="AZ216" i="3" s="1"/>
  <c r="BA218" i="3"/>
  <c r="AZ218" i="3" s="1"/>
  <c r="BL218" i="3"/>
  <c r="BL220" i="3"/>
  <c r="BL221" i="3"/>
  <c r="BL223" i="3"/>
  <c r="AZ223" i="3" s="1"/>
  <c r="BA227" i="3"/>
  <c r="AZ227" i="3" s="1"/>
  <c r="BA229" i="3"/>
  <c r="BL229" i="3"/>
  <c r="BL231" i="3"/>
  <c r="BL233" i="3"/>
  <c r="AZ233" i="3" s="1"/>
  <c r="BL235" i="3"/>
  <c r="AZ235" i="3" s="1"/>
  <c r="BL236" i="3"/>
  <c r="AZ236" i="3" s="1"/>
  <c r="BL238" i="3"/>
  <c r="AZ238" i="3" s="1"/>
  <c r="BL243" i="3"/>
  <c r="AZ243" i="3" s="1"/>
  <c r="BA247" i="3"/>
  <c r="BL247" i="3"/>
  <c r="BA249" i="3"/>
  <c r="AZ249" i="3" s="1"/>
  <c r="BL249" i="3"/>
  <c r="BA251" i="3"/>
  <c r="BL251" i="3"/>
  <c r="BA253" i="3"/>
  <c r="BL260" i="3"/>
  <c r="BL263" i="3"/>
  <c r="AZ263" i="3" s="1"/>
  <c r="BL270" i="3"/>
  <c r="AZ270" i="3" s="1"/>
  <c r="BA272" i="3"/>
  <c r="AZ272" i="3" s="1"/>
  <c r="BL275" i="3"/>
  <c r="AZ275" i="3" s="1"/>
  <c r="G277" i="3"/>
  <c r="G280" i="3"/>
  <c r="G282" i="3"/>
  <c r="BL285" i="3"/>
  <c r="BL287" i="3"/>
  <c r="BA290" i="3"/>
  <c r="AZ290" i="3" s="1"/>
  <c r="G297" i="3"/>
  <c r="BL299" i="3"/>
  <c r="G300" i="3"/>
  <c r="BL113" i="3"/>
  <c r="BL115" i="3"/>
  <c r="AZ115" i="3" s="1"/>
  <c r="BA118" i="3"/>
  <c r="AZ118" i="3" s="1"/>
  <c r="BL118" i="3"/>
  <c r="BA122" i="3"/>
  <c r="AZ122" i="3" s="1"/>
  <c r="BL125" i="3"/>
  <c r="BL126" i="3"/>
  <c r="G130"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AZ226" i="3" s="1"/>
  <c r="G227" i="3"/>
  <c r="BA239" i="3"/>
  <c r="AZ239" i="3" s="1"/>
  <c r="BL239" i="3"/>
  <c r="BA241" i="3"/>
  <c r="AZ241" i="3" s="1"/>
  <c r="BL241" i="3"/>
  <c r="BA244" i="3"/>
  <c r="AZ244" i="3" s="1"/>
  <c r="BL244" i="3"/>
  <c r="BA246" i="3"/>
  <c r="BA252" i="3"/>
  <c r="AZ252" i="3" s="1"/>
  <c r="BA254" i="3"/>
  <c r="AZ254" i="3" s="1"/>
  <c r="BA256" i="3"/>
  <c r="BL256" i="3"/>
  <c r="BA258" i="3"/>
  <c r="BL264" i="3"/>
  <c r="BL266" i="3"/>
  <c r="BA268" i="3"/>
  <c r="BL273" i="3"/>
  <c r="G274" i="3"/>
  <c r="BA277" i="3"/>
  <c r="BL277" i="3"/>
  <c r="BA282" i="3"/>
  <c r="AZ282" i="3" s="1"/>
  <c r="BL282" i="3"/>
  <c r="BA284" i="3"/>
  <c r="AZ284" i="3" s="1"/>
  <c r="BL290" i="3"/>
  <c r="BL291" i="3"/>
  <c r="AZ291" i="3" s="1"/>
  <c r="BL293" i="3"/>
  <c r="BL294" i="3"/>
  <c r="BA297" i="3"/>
  <c r="AZ297" i="3" s="1"/>
  <c r="BL297" i="3"/>
  <c r="BL300" i="3"/>
  <c r="BA302" i="3"/>
  <c r="AZ302" i="3" s="1"/>
  <c r="AZ125" i="3"/>
  <c r="BA130" i="3"/>
  <c r="AZ130" i="3" s="1"/>
  <c r="BL130" i="3"/>
  <c r="BA137" i="3"/>
  <c r="AZ137" i="3" s="1"/>
  <c r="BL138" i="3"/>
  <c r="BA140" i="3"/>
  <c r="AZ140" i="3" s="1"/>
  <c r="BA150" i="3"/>
  <c r="BL161" i="3"/>
  <c r="AZ65" i="3"/>
  <c r="BA116" i="3"/>
  <c r="AZ116" i="3" s="1"/>
  <c r="BA121" i="3"/>
  <c r="AZ121" i="3" s="1"/>
  <c r="BL121" i="3"/>
  <c r="BA124" i="3"/>
  <c r="AZ124" i="3" s="1"/>
  <c r="BA126" i="3"/>
  <c r="AZ126" i="3" s="1"/>
  <c r="BA129" i="3"/>
  <c r="BL133" i="3"/>
  <c r="AZ133" i="3" s="1"/>
  <c r="BL139" i="3"/>
  <c r="AZ139" i="3" s="1"/>
  <c r="G140" i="3"/>
  <c r="BL141" i="3"/>
  <c r="BL143" i="3"/>
  <c r="AZ143" i="3" s="1"/>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BL197" i="3"/>
  <c r="AZ197" i="3" s="1"/>
  <c r="G198" i="3"/>
  <c r="BL199" i="3"/>
  <c r="AZ199" i="3" s="1"/>
  <c r="BA200" i="3"/>
  <c r="AZ200" i="3" s="1"/>
  <c r="BA202" i="3"/>
  <c r="BL207" i="3"/>
  <c r="BL18" i="3"/>
  <c r="BL19" i="3"/>
  <c r="BA20" i="3"/>
  <c r="BL25" i="3"/>
  <c r="BL27" i="3"/>
  <c r="BA28" i="3"/>
  <c r="BA31" i="3"/>
  <c r="BA32" i="3"/>
  <c r="G38" i="3"/>
  <c r="BA38" i="3"/>
  <c r="BA41" i="3"/>
  <c r="BA42" i="3"/>
  <c r="BL48" i="3"/>
  <c r="BL54" i="3"/>
  <c r="BL55" i="3"/>
  <c r="AZ55" i="3" s="1"/>
  <c r="BA59" i="3"/>
  <c r="AZ59" i="3" s="1"/>
  <c r="BL61" i="3"/>
  <c r="BA64" i="3"/>
  <c r="AZ64" i="3" s="1"/>
  <c r="G67" i="3"/>
  <c r="BL68" i="3"/>
  <c r="AZ68" i="3" s="1"/>
  <c r="BA70" i="3"/>
  <c r="AZ70" i="3" s="1"/>
  <c r="BL81" i="3"/>
  <c r="BA82" i="3"/>
  <c r="AZ82" i="3" s="1"/>
  <c r="BL83" i="3"/>
  <c r="G88" i="3"/>
  <c r="BA92" i="3"/>
  <c r="C44" i="71"/>
  <c r="D43" i="71"/>
  <c r="C52" i="71"/>
  <c r="D51" i="7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G22" i="3"/>
  <c r="G24" i="3"/>
  <c r="G25" i="3"/>
  <c r="G27" i="3"/>
  <c r="BA27" i="3"/>
  <c r="G30" i="3"/>
  <c r="BL30" i="3"/>
  <c r="BL31" i="3"/>
  <c r="G35" i="3"/>
  <c r="G36" i="3"/>
  <c r="G37" i="3"/>
  <c r="G40" i="3"/>
  <c r="BL40" i="3"/>
  <c r="AZ40" i="3" s="1"/>
  <c r="BL41" i="3"/>
  <c r="G45" i="3"/>
  <c r="BL45" i="3"/>
  <c r="AZ45" i="3" s="1"/>
  <c r="BA48" i="3"/>
  <c r="BA49" i="3"/>
  <c r="AZ49" i="3" s="1"/>
  <c r="BA51" i="3"/>
  <c r="AZ51" i="3" s="1"/>
  <c r="G54" i="3"/>
  <c r="G55" i="3"/>
  <c r="BL56" i="3"/>
  <c r="BA58" i="3"/>
  <c r="AZ58" i="3" s="1"/>
  <c r="BL59" i="3"/>
  <c r="BL60" i="3"/>
  <c r="BA61" i="3"/>
  <c r="AZ61" i="3" s="1"/>
  <c r="BA68" i="3"/>
  <c r="BA71" i="3"/>
  <c r="AZ71" i="3" s="1"/>
  <c r="BL72" i="3"/>
  <c r="AZ72" i="3" s="1"/>
  <c r="BL75" i="3"/>
  <c r="BL91" i="3"/>
  <c r="BL96" i="3"/>
  <c r="C47" i="71"/>
  <c r="D47" i="71" s="1"/>
  <c r="D46" i="71"/>
  <c r="V24" i="71"/>
  <c r="E23" i="71"/>
  <c r="E22" i="71" s="1"/>
  <c r="E21" i="71" s="1"/>
  <c r="E20" i="71" s="1"/>
  <c r="AZ57" i="3"/>
  <c r="D31" i="71"/>
  <c r="C32" i="71"/>
  <c r="C55" i="71"/>
  <c r="D54" i="71"/>
  <c r="N67" i="71"/>
  <c r="B66" i="71"/>
  <c r="F66" i="71"/>
  <c r="Q67" i="71"/>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G49" i="3"/>
  <c r="G50" i="3"/>
  <c r="G52" i="3"/>
  <c r="BA52" i="3"/>
  <c r="AZ52" i="3" s="1"/>
  <c r="BA53" i="3"/>
  <c r="AZ53" i="3" s="1"/>
  <c r="BA54" i="3"/>
  <c r="BL57" i="3"/>
  <c r="G59" i="3"/>
  <c r="G62" i="3"/>
  <c r="BL62" i="3"/>
  <c r="BL63" i="3"/>
  <c r="AZ63" i="3" s="1"/>
  <c r="G65" i="3"/>
  <c r="BL65" i="3"/>
  <c r="BL66" i="3"/>
  <c r="AZ66" i="3" s="1"/>
  <c r="BL67" i="3"/>
  <c r="AZ67" i="3" s="1"/>
  <c r="BA73" i="3"/>
  <c r="BA79" i="3"/>
  <c r="AZ79" i="3" s="1"/>
  <c r="BA84" i="3"/>
  <c r="AZ84" i="3" s="1"/>
  <c r="BL88" i="3"/>
  <c r="AZ88" i="3" s="1"/>
  <c r="BL90" i="3"/>
  <c r="AZ90" i="3" s="1"/>
  <c r="BA94" i="3"/>
  <c r="BA69" i="3"/>
  <c r="AZ69" i="3" s="1"/>
  <c r="G72" i="3"/>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3"/>
  <c r="S21" i="37"/>
  <c r="W29" i="39"/>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AZ103" i="3"/>
  <c r="BA106" i="3"/>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101" i="3"/>
  <c r="BA101" i="3"/>
  <c r="AZ101" i="3" s="1"/>
  <c r="G109" i="3"/>
  <c r="BL112" i="3"/>
  <c r="BA90" i="3"/>
  <c r="BL94" i="3"/>
  <c r="BA100" i="3"/>
  <c r="AZ100" i="3" s="1"/>
  <c r="BA102" i="3"/>
  <c r="AZ102" i="3" s="1"/>
  <c r="BL105" i="3"/>
  <c r="AZ105" i="3" s="1"/>
  <c r="BL107" i="3"/>
  <c r="BA111" i="3"/>
  <c r="AZ111" i="3" s="1"/>
  <c r="K13" i="1"/>
  <c r="M13" i="1" s="1"/>
  <c r="O13" i="1" s="1"/>
  <c r="P13" i="1" s="1"/>
  <c r="S18" i="36"/>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AB35" i="35"/>
  <c r="U35" i="35"/>
  <c r="S13" i="35"/>
  <c r="AA13" i="35"/>
  <c r="AB31" i="34"/>
  <c r="U31" i="34"/>
  <c r="S12" i="21"/>
  <c r="AA12" i="21"/>
  <c r="AA12" i="35"/>
  <c r="AC45" i="39"/>
  <c r="AA12" i="34"/>
  <c r="S34" i="21"/>
  <c r="J34" i="35"/>
  <c r="F34" i="35"/>
  <c r="J26" i="37"/>
  <c r="F26" i="37"/>
  <c r="F40" i="40"/>
  <c r="G578" i="3"/>
  <c r="AZ410" i="3"/>
  <c r="AZ431" i="3"/>
  <c r="AZ439" i="3"/>
  <c r="AZ442" i="3"/>
  <c r="AZ445" i="3"/>
  <c r="AZ452" i="3"/>
  <c r="AZ456" i="3"/>
  <c r="AZ467" i="3"/>
  <c r="AZ468" i="3"/>
  <c r="AZ470" i="3"/>
  <c r="W35" i="39"/>
  <c r="F27" i="34"/>
  <c r="C21" i="39"/>
  <c r="U9" i="36"/>
  <c r="U14" i="37"/>
  <c r="H12" i="21"/>
  <c r="G526" i="3"/>
  <c r="AZ420" i="3"/>
  <c r="AZ424" i="3"/>
  <c r="AZ434" i="3"/>
  <c r="AZ438"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60" i="3"/>
  <c r="BL268" i="3"/>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BL253" i="3"/>
  <c r="AZ253" i="3" s="1"/>
  <c r="BA261" i="3"/>
  <c r="AZ261" i="3" s="1"/>
  <c r="BA264" i="3"/>
  <c r="AZ264" i="3" s="1"/>
  <c r="BA266" i="3"/>
  <c r="AZ266" i="3" s="1"/>
  <c r="G272" i="3"/>
  <c r="G275" i="3"/>
  <c r="BL276" i="3"/>
  <c r="AZ276" i="3" s="1"/>
  <c r="BL279" i="3"/>
  <c r="AZ279" i="3" s="1"/>
  <c r="BL281" i="3"/>
  <c r="AZ281" i="3" s="1"/>
  <c r="BA285" i="3"/>
  <c r="AZ285" i="3" s="1"/>
  <c r="BA287" i="3"/>
  <c r="AZ287" i="3" s="1"/>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G168" i="3"/>
  <c r="BA170" i="3"/>
  <c r="AZ170" i="3" s="1"/>
  <c r="BL174" i="3"/>
  <c r="AZ174" i="3" s="1"/>
  <c r="AZ185" i="3"/>
  <c r="AZ193" i="3"/>
  <c r="BL202" i="3"/>
  <c r="AZ202" i="3" s="1"/>
  <c r="AZ30" i="3"/>
  <c r="BL36" i="3"/>
  <c r="AZ36" i="3" s="1"/>
  <c r="AZ4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C31" i="12" s="1"/>
  <c r="E14" i="6"/>
  <c r="E63" i="39" s="1"/>
  <c r="I4" i="6"/>
  <c r="G3" i="43" s="1"/>
  <c r="J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3" i="6"/>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F64" i="15"/>
  <c r="C27" i="15"/>
  <c r="F65" i="15"/>
  <c r="N59" i="67"/>
  <c r="L59" i="67"/>
  <c r="L58" i="67"/>
  <c r="M59" i="67"/>
  <c r="B13" i="70"/>
  <c r="F68" i="67"/>
  <c r="F68" i="15"/>
  <c r="C36" i="68"/>
  <c r="D9" i="69"/>
  <c r="C36" i="69"/>
  <c r="D9" i="68"/>
  <c r="F42" i="67"/>
  <c r="M9" i="67"/>
  <c r="F16" i="67"/>
  <c r="M24" i="67"/>
  <c r="C16" i="15"/>
  <c r="F13" i="67"/>
  <c r="F7" i="67"/>
  <c r="F43" i="67"/>
  <c r="M6" i="67"/>
  <c r="M8" i="67"/>
  <c r="M28" i="67"/>
  <c r="F9" i="67"/>
  <c r="M23" i="67"/>
  <c r="F26" i="67"/>
  <c r="J15" i="67"/>
  <c r="F6" i="67"/>
  <c r="D3" i="73"/>
  <c r="D5" i="73"/>
  <c r="D7" i="73"/>
  <c r="M22" i="67"/>
  <c r="F36" i="67"/>
  <c r="D4" i="73"/>
  <c r="M26" i="67"/>
  <c r="M29" i="67"/>
  <c r="C76" i="67"/>
  <c r="C30" i="69" l="1"/>
  <c r="F48" i="9"/>
  <c r="O52" i="9" s="1"/>
  <c r="F32" i="15"/>
  <c r="F60" i="15" s="1"/>
  <c r="F30" i="68"/>
  <c r="F52" i="9"/>
  <c r="Q16" i="1"/>
  <c r="F27" i="69" s="1"/>
  <c r="C47" i="69" s="1"/>
  <c r="D45" i="69" s="1"/>
  <c r="F28" i="6"/>
  <c r="E28" i="6" s="1"/>
  <c r="K14" i="1" s="1"/>
  <c r="F26" i="43"/>
  <c r="E59" i="40"/>
  <c r="G30" i="6"/>
  <c r="G31" i="6" s="1"/>
  <c r="N370" i="46"/>
  <c r="G26" i="43"/>
  <c r="M7" i="67"/>
  <c r="J6" i="67" s="1"/>
  <c r="J18" i="67" s="1"/>
  <c r="F50" i="67"/>
  <c r="C49" i="67" s="1"/>
  <c r="F64" i="67"/>
  <c r="C27" i="67"/>
  <c r="F71" i="67"/>
  <c r="Q71" i="67"/>
  <c r="F31" i="67"/>
  <c r="C6" i="67"/>
  <c r="C32" i="67" s="1"/>
  <c r="E26" i="43"/>
  <c r="H26" i="43"/>
  <c r="AZ138" i="3"/>
  <c r="C40" i="71"/>
  <c r="D39" i="71"/>
  <c r="AZ94" i="3"/>
  <c r="AZ25" i="3"/>
  <c r="AZ5" i="3" s="1"/>
  <c r="AZ182" i="3"/>
  <c r="T52" i="71"/>
  <c r="D52" i="71"/>
  <c r="AZ27" i="3"/>
  <c r="AZ208" i="3"/>
  <c r="W12" i="35"/>
  <c r="AC12" i="35"/>
  <c r="AC30" i="21"/>
  <c r="W30" i="21"/>
  <c r="AC26" i="33"/>
  <c r="W26" i="33"/>
  <c r="AA37" i="39"/>
  <c r="S37" i="39"/>
  <c r="AB27" i="21"/>
  <c r="U27" i="21"/>
  <c r="AC9" i="34"/>
  <c r="W9" i="34"/>
  <c r="F29" i="6"/>
  <c r="G5" i="3"/>
  <c r="B3" i="3" s="1"/>
  <c r="E575" i="3" s="1"/>
  <c r="C70" i="71"/>
  <c r="D70" i="71" s="1"/>
  <c r="D71" i="71"/>
  <c r="C36" i="71"/>
  <c r="D35" i="71"/>
  <c r="AZ422" i="3"/>
  <c r="AA25" i="37"/>
  <c r="S25" i="37"/>
  <c r="AB37" i="39"/>
  <c r="U37" i="39"/>
  <c r="AC9" i="33"/>
  <c r="W9" i="33"/>
  <c r="U33" i="36"/>
  <c r="AB33" i="36"/>
  <c r="S26" i="33"/>
  <c r="AA26" i="33"/>
  <c r="W25" i="36"/>
  <c r="AC25" i="36"/>
  <c r="AB30" i="21"/>
  <c r="U30" i="21"/>
  <c r="N94" i="46"/>
  <c r="P6" i="1"/>
  <c r="C13" i="12" s="1"/>
  <c r="AZ107" i="3"/>
  <c r="AZ165" i="3"/>
  <c r="AZ246" i="3"/>
  <c r="AZ268" i="3"/>
  <c r="G16" i="1"/>
  <c r="F10" i="39" s="1"/>
  <c r="AA10" i="39" s="1"/>
  <c r="T28" i="71"/>
  <c r="D28" i="71"/>
  <c r="U28" i="71" s="1"/>
  <c r="C27" i="71"/>
  <c r="D79" i="71"/>
  <c r="C78" i="71"/>
  <c r="D78" i="71" s="1"/>
  <c r="C56" i="71"/>
  <c r="D55" i="71"/>
  <c r="AZ19" i="3"/>
  <c r="D44" i="71"/>
  <c r="T44" i="71"/>
  <c r="AZ41" i="3"/>
  <c r="AZ31" i="3"/>
  <c r="AZ20" i="3"/>
  <c r="AZ277" i="3"/>
  <c r="AZ256" i="3"/>
  <c r="AZ397" i="3"/>
  <c r="AZ251" i="3"/>
  <c r="AZ247" i="3"/>
  <c r="AZ229" i="3"/>
  <c r="AZ273" i="3"/>
  <c r="AZ411" i="3"/>
  <c r="AB38" i="40"/>
  <c r="U38" i="40"/>
  <c r="AB25" i="37"/>
  <c r="U25" i="37"/>
  <c r="AA27" i="21"/>
  <c r="S27" i="21"/>
  <c r="D83" i="71"/>
  <c r="C82" i="71"/>
  <c r="D82" i="71" s="1"/>
  <c r="O65" i="71"/>
  <c r="D66" i="71"/>
  <c r="O66" i="71"/>
  <c r="N65" i="71"/>
  <c r="N66" i="71"/>
  <c r="T32" i="71"/>
  <c r="D32" i="71"/>
  <c r="AZ28" i="3"/>
  <c r="AZ178" i="3"/>
  <c r="AZ150" i="3"/>
  <c r="AZ294" i="3"/>
  <c r="AZ224" i="3"/>
  <c r="AZ211" i="3"/>
  <c r="AZ453" i="3"/>
  <c r="AZ432" i="3"/>
  <c r="AC25" i="37"/>
  <c r="W25" i="37"/>
  <c r="W12" i="36"/>
  <c r="AC12" i="36"/>
  <c r="AZ587" i="3"/>
  <c r="J7" i="37"/>
  <c r="W7" i="37" s="1"/>
  <c r="K1" i="73"/>
  <c r="E258" i="3"/>
  <c r="E160" i="3"/>
  <c r="E68" i="3"/>
  <c r="E308" i="3"/>
  <c r="E556" i="3"/>
  <c r="E190" i="3"/>
  <c r="E422" i="3"/>
  <c r="E25" i="3"/>
  <c r="E540" i="3"/>
  <c r="E289" i="3"/>
  <c r="E165" i="3"/>
  <c r="E58" i="3"/>
  <c r="E323" i="3"/>
  <c r="E584" i="3"/>
  <c r="E179" i="3"/>
  <c r="E224" i="3"/>
  <c r="E54" i="3"/>
  <c r="U6" i="3"/>
  <c r="E426" i="3"/>
  <c r="E338" i="3"/>
  <c r="E302" i="3"/>
  <c r="E330" i="3"/>
  <c r="E344" i="3"/>
  <c r="E73" i="3"/>
  <c r="E576" i="3"/>
  <c r="E558" i="3"/>
  <c r="E166" i="3"/>
  <c r="N6" i="3"/>
  <c r="E151" i="3"/>
  <c r="E407" i="3"/>
  <c r="E114" i="3"/>
  <c r="E290" i="3"/>
  <c r="E518" i="3"/>
  <c r="E453" i="3"/>
  <c r="E193" i="3"/>
  <c r="E457" i="3"/>
  <c r="E72" i="3"/>
  <c r="E31" i="3"/>
  <c r="E107" i="3"/>
  <c r="E477" i="3"/>
  <c r="E162" i="3"/>
  <c r="E44" i="3"/>
  <c r="E305" i="3"/>
  <c r="E143" i="3"/>
  <c r="E538" i="3"/>
  <c r="E185" i="3"/>
  <c r="E180" i="3"/>
  <c r="E586" i="3"/>
  <c r="E77" i="3"/>
  <c r="E228" i="3"/>
  <c r="E560" i="3"/>
  <c r="E587" i="3"/>
  <c r="E106" i="3"/>
  <c r="E315" i="3"/>
  <c r="E368" i="3"/>
  <c r="Z6" i="3"/>
  <c r="E345" i="3"/>
  <c r="E28" i="3"/>
  <c r="E273" i="3"/>
  <c r="E217" i="3"/>
  <c r="AJ6" i="3"/>
  <c r="E247" i="3"/>
  <c r="E570" i="3"/>
  <c r="E335" i="3"/>
  <c r="E278" i="3"/>
  <c r="E535" i="3"/>
  <c r="E263" i="3"/>
  <c r="E246" i="3"/>
  <c r="E148" i="3"/>
  <c r="E275" i="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H7" i="36"/>
  <c r="AB7" i="36" s="1"/>
  <c r="T36" i="36" s="1"/>
  <c r="G36" i="36" s="1"/>
  <c r="E131" i="3"/>
  <c r="E248" i="3"/>
  <c r="AA9" i="36"/>
  <c r="S9" i="36"/>
  <c r="AA34" i="35"/>
  <c r="S34" i="35"/>
  <c r="E15" i="71"/>
  <c r="E14" i="71" s="1"/>
  <c r="E13" i="71" s="1"/>
  <c r="E12" i="71" s="1"/>
  <c r="V16" i="71"/>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E51" i="40"/>
  <c r="E16" i="6"/>
  <c r="E58" i="40"/>
  <c r="E62" i="39"/>
  <c r="M14" i="1"/>
  <c r="D5" i="43"/>
  <c r="C7" i="43"/>
  <c r="C5" i="43" s="1"/>
  <c r="D10" i="52"/>
  <c r="D125" i="9"/>
  <c r="D11" i="52" s="1"/>
  <c r="B7" i="74"/>
  <c r="C7" i="74" s="1"/>
  <c r="F59" i="67"/>
  <c r="H7" i="37"/>
  <c r="AB7" i="37" s="1"/>
  <c r="T42" i="37" s="1"/>
  <c r="G42" i="37" s="1"/>
  <c r="H7" i="33"/>
  <c r="J7" i="33"/>
  <c r="D65" i="40"/>
  <c r="E63" i="40"/>
  <c r="F48" i="35"/>
  <c r="S7" i="36"/>
  <c r="AA7" i="36"/>
  <c r="R36" i="36" s="1"/>
  <c r="AC7" i="37"/>
  <c r="U7" i="36"/>
  <c r="F7" i="33"/>
  <c r="E58" i="21"/>
  <c r="AC7" i="36"/>
  <c r="W7" i="36"/>
  <c r="F7" i="37"/>
  <c r="M17" i="67"/>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G1" i="73"/>
  <c r="F41" i="67"/>
  <c r="C16" i="67"/>
  <c r="D26" i="43" l="1"/>
  <c r="C25" i="43" s="1"/>
  <c r="F48" i="68"/>
  <c r="C30" i="68"/>
  <c r="C48" i="68"/>
  <c r="F45" i="69"/>
  <c r="C29" i="69"/>
  <c r="D27" i="69" s="1"/>
  <c r="J5" i="67"/>
  <c r="J24" i="67" s="1"/>
  <c r="E480" i="3"/>
  <c r="E32" i="3"/>
  <c r="E238" i="3"/>
  <c r="E92" i="3"/>
  <c r="E307" i="3"/>
  <c r="E416" i="3"/>
  <c r="E234" i="3"/>
  <c r="E116" i="3"/>
  <c r="E482" i="3"/>
  <c r="E430" i="3"/>
  <c r="F10" i="40"/>
  <c r="S10" i="40" s="1"/>
  <c r="E139" i="3"/>
  <c r="E369" i="3"/>
  <c r="E94" i="3"/>
  <c r="E219" i="3"/>
  <c r="E296" i="3"/>
  <c r="E200" i="3"/>
  <c r="E385" i="3"/>
  <c r="E191" i="3"/>
  <c r="E445" i="3"/>
  <c r="E69" i="3"/>
  <c r="E387" i="3"/>
  <c r="E514" i="3"/>
  <c r="E431" i="3"/>
  <c r="E322" i="3"/>
  <c r="E109" i="3"/>
  <c r="E211" i="3"/>
  <c r="E489" i="3"/>
  <c r="E400" i="3"/>
  <c r="E327" i="3"/>
  <c r="E227" i="3"/>
  <c r="E214" i="3"/>
  <c r="E454" i="3"/>
  <c r="E465" i="3"/>
  <c r="K6" i="3"/>
  <c r="AK6" i="3"/>
  <c r="E347" i="3"/>
  <c r="E350" i="3"/>
  <c r="E361" i="3"/>
  <c r="E216" i="3"/>
  <c r="E561" i="3"/>
  <c r="E410" i="3"/>
  <c r="E343" i="3"/>
  <c r="E384" i="3"/>
  <c r="E447" i="3"/>
  <c r="E414" i="3"/>
  <c r="E271" i="3"/>
  <c r="E351" i="3"/>
  <c r="E433" i="3"/>
  <c r="E527" i="3"/>
  <c r="E99" i="3"/>
  <c r="E253" i="3"/>
  <c r="E578" i="3"/>
  <c r="E550" i="3"/>
  <c r="E130" i="3"/>
  <c r="V6" i="3"/>
  <c r="E396" i="3"/>
  <c r="E282" i="3"/>
  <c r="E30" i="3"/>
  <c r="E88" i="3"/>
  <c r="E443" i="3"/>
  <c r="E164" i="3"/>
  <c r="E394" i="3"/>
  <c r="E55" i="3"/>
  <c r="E424" i="3"/>
  <c r="E120" i="3"/>
  <c r="E280" i="3"/>
  <c r="E17" i="3"/>
  <c r="S6" i="3"/>
  <c r="E319" i="3"/>
  <c r="E71" i="3"/>
  <c r="E196" i="3"/>
  <c r="E537" i="3"/>
  <c r="E157" i="3"/>
  <c r="E413" i="3"/>
  <c r="E163" i="3"/>
  <c r="E266" i="3"/>
  <c r="E354" i="3"/>
  <c r="E244" i="3"/>
  <c r="E348" i="3"/>
  <c r="E265" i="3"/>
  <c r="E112" i="3"/>
  <c r="E194" i="3"/>
  <c r="E372" i="3"/>
  <c r="E401" i="3"/>
  <c r="E507" i="3"/>
  <c r="E158" i="3"/>
  <c r="E115" i="3"/>
  <c r="E405" i="3"/>
  <c r="E34" i="3"/>
  <c r="E198" i="3"/>
  <c r="E67" i="3"/>
  <c r="E409" i="3"/>
  <c r="E417" i="3"/>
  <c r="E212" i="3"/>
  <c r="E539" i="3"/>
  <c r="E502" i="3"/>
  <c r="AP6" i="3"/>
  <c r="E37" i="3"/>
  <c r="E349" i="3"/>
  <c r="E467" i="3"/>
  <c r="E371" i="3"/>
  <c r="E184" i="3"/>
  <c r="E283" i="3"/>
  <c r="E391" i="3"/>
  <c r="E174" i="3"/>
  <c r="AF6" i="3"/>
  <c r="E197" i="3"/>
  <c r="E512" i="3"/>
  <c r="E470" i="3"/>
  <c r="E356" i="3"/>
  <c r="E35" i="3"/>
  <c r="E329" i="3"/>
  <c r="E536" i="3"/>
  <c r="E442" i="3"/>
  <c r="E554" i="3"/>
  <c r="E95" i="3"/>
  <c r="E389" i="3"/>
  <c r="E64" i="3"/>
  <c r="E310" i="3"/>
  <c r="E233" i="3"/>
  <c r="E309" i="3"/>
  <c r="AL6" i="3"/>
  <c r="E235" i="3"/>
  <c r="E102" i="3"/>
  <c r="E173" i="3"/>
  <c r="E408" i="3"/>
  <c r="E420" i="3"/>
  <c r="E428" i="3"/>
  <c r="E49" i="3"/>
  <c r="E16" i="3"/>
  <c r="E543" i="3"/>
  <c r="AH6" i="3"/>
  <c r="E108" i="3"/>
  <c r="L6" i="3"/>
  <c r="E38" i="3"/>
  <c r="E392" i="3"/>
  <c r="E340" i="3"/>
  <c r="E365" i="3"/>
  <c r="E460" i="3"/>
  <c r="E24" i="3"/>
  <c r="E500" i="3"/>
  <c r="E48" i="3"/>
  <c r="E297" i="3"/>
  <c r="E374" i="3"/>
  <c r="AD6" i="3"/>
  <c r="E187" i="3"/>
  <c r="E136" i="3"/>
  <c r="E474" i="3"/>
  <c r="E168" i="3"/>
  <c r="E207" i="3"/>
  <c r="E547" i="3"/>
  <c r="E317" i="3"/>
  <c r="E328" i="3"/>
  <c r="E523" i="3"/>
  <c r="E304" i="3"/>
  <c r="E303"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118" i="3"/>
  <c r="E487" i="3"/>
  <c r="E483" i="3"/>
  <c r="E132" i="3"/>
  <c r="E100" i="3"/>
  <c r="AI6" i="3"/>
  <c r="E135" i="3"/>
  <c r="E172" i="3"/>
  <c r="E189" i="3"/>
  <c r="AB6" i="3"/>
  <c r="E311" i="3"/>
  <c r="E579" i="3"/>
  <c r="E268" i="3"/>
  <c r="E572" i="3"/>
  <c r="E182" i="3"/>
  <c r="E531" i="3"/>
  <c r="E485" i="3"/>
  <c r="E204" i="3"/>
  <c r="E74" i="3"/>
  <c r="E171" i="3"/>
  <c r="E468" i="3"/>
  <c r="E406" i="3"/>
  <c r="E133" i="3"/>
  <c r="E545" i="3"/>
  <c r="E399" i="3"/>
  <c r="E134" i="3"/>
  <c r="E183" i="3"/>
  <c r="E231" i="3"/>
  <c r="E533" i="3"/>
  <c r="E555" i="3"/>
  <c r="E530" i="3"/>
  <c r="E210" i="3"/>
  <c r="E476" i="3"/>
  <c r="E478" i="3"/>
  <c r="E549" i="3"/>
  <c r="E279" i="3"/>
  <c r="E450" i="3"/>
  <c r="E573" i="3"/>
  <c r="E511" i="3"/>
  <c r="E583" i="3"/>
  <c r="E245" i="3"/>
  <c r="E260" i="3"/>
  <c r="E230" i="3"/>
  <c r="E559" i="3"/>
  <c r="E569" i="3"/>
  <c r="E553" i="3"/>
  <c r="E316" i="3"/>
  <c r="E404" i="3"/>
  <c r="P6" i="3"/>
  <c r="E236" i="3"/>
  <c r="E274" i="3"/>
  <c r="E496" i="3"/>
  <c r="E437" i="3"/>
  <c r="E262" i="3"/>
  <c r="E353" i="3"/>
  <c r="E237" i="3"/>
  <c r="E285" i="3"/>
  <c r="E53" i="3"/>
  <c r="E367" i="3"/>
  <c r="E14" i="3"/>
  <c r="W6" i="3"/>
  <c r="E461" i="3"/>
  <c r="E87" i="3"/>
  <c r="E462" i="3"/>
  <c r="E436" i="3"/>
  <c r="E446" i="3"/>
  <c r="E222" i="3"/>
  <c r="E566" i="3"/>
  <c r="E62" i="3"/>
  <c r="E36" i="3"/>
  <c r="E79" i="3"/>
  <c r="E276" i="3"/>
  <c r="E419" i="3"/>
  <c r="E564" i="3"/>
  <c r="E80" i="3"/>
  <c r="E41" i="3"/>
  <c r="T6" i="3"/>
  <c r="E86" i="3"/>
  <c r="E494" i="3"/>
  <c r="E84" i="3"/>
  <c r="E59" i="3"/>
  <c r="E491" i="3"/>
  <c r="E286" i="3"/>
  <c r="E142" i="3"/>
  <c r="E240" i="3"/>
  <c r="E242" i="3"/>
  <c r="E119" i="3"/>
  <c r="X6" i="3"/>
  <c r="E423" i="3"/>
  <c r="E161" i="3"/>
  <c r="E563" i="3"/>
  <c r="E215" i="3"/>
  <c r="M6" i="3"/>
  <c r="E201" i="3"/>
  <c r="E509" i="3"/>
  <c r="E526" i="3"/>
  <c r="E377" i="3"/>
  <c r="E70" i="3"/>
  <c r="E557" i="3"/>
  <c r="AO6" i="3"/>
  <c r="E89" i="3"/>
  <c r="E362" i="3"/>
  <c r="E146" i="3"/>
  <c r="E577" i="3"/>
  <c r="E472" i="3"/>
  <c r="E277" i="3"/>
  <c r="E181" i="3"/>
  <c r="E495" i="3"/>
  <c r="E91" i="3"/>
  <c r="E528" i="3"/>
  <c r="E439" i="3"/>
  <c r="E270" i="3"/>
  <c r="E388" i="3"/>
  <c r="E441" i="3"/>
  <c r="E186" i="3"/>
  <c r="AS6" i="3"/>
  <c r="E585" i="3"/>
  <c r="E567" i="3"/>
  <c r="E150" i="3"/>
  <c r="E562" i="3"/>
  <c r="E519" i="3"/>
  <c r="E314" i="3"/>
  <c r="E293" i="3"/>
  <c r="E61" i="3"/>
  <c r="E395" i="3"/>
  <c r="E320" i="3"/>
  <c r="E358" i="3"/>
  <c r="E516" i="3"/>
  <c r="E125" i="3"/>
  <c r="E295" i="3"/>
  <c r="E444" i="3"/>
  <c r="AG6" i="3"/>
  <c r="I6" i="3"/>
  <c r="E256" i="3"/>
  <c r="AE6" i="3"/>
  <c r="Q6" i="3"/>
  <c r="E128" i="3"/>
  <c r="E159" i="3"/>
  <c r="E321" i="3"/>
  <c r="E359" i="3"/>
  <c r="E291" i="3"/>
  <c r="E411" i="3"/>
  <c r="E357" i="3"/>
  <c r="E529" i="3"/>
  <c r="E127" i="3"/>
  <c r="E195" i="3"/>
  <c r="E542" i="3"/>
  <c r="E149" i="3"/>
  <c r="E110" i="3"/>
  <c r="E386" i="3"/>
  <c r="E141" i="3"/>
  <c r="E20" i="3"/>
  <c r="E325" i="3"/>
  <c r="E473" i="3"/>
  <c r="E226" i="3"/>
  <c r="E376" i="3"/>
  <c r="E105" i="3"/>
  <c r="E220" i="3"/>
  <c r="E497" i="3"/>
  <c r="E22" i="3"/>
  <c r="E18" i="3"/>
  <c r="E63" i="3"/>
  <c r="E267" i="3"/>
  <c r="E241" i="3"/>
  <c r="E449" i="3"/>
  <c r="S10" i="39"/>
  <c r="H10" i="40"/>
  <c r="AB10" i="40" s="1"/>
  <c r="J10" i="40"/>
  <c r="AC10" i="40" s="1"/>
  <c r="H10" i="39"/>
  <c r="U10" i="39" s="1"/>
  <c r="J10" i="39"/>
  <c r="W10" i="39" s="1"/>
  <c r="F67" i="39"/>
  <c r="AY6" i="3"/>
  <c r="E3" i="6"/>
  <c r="E6" i="6" s="1"/>
  <c r="D56" i="71"/>
  <c r="T56" i="71"/>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D36" i="71"/>
  <c r="T36" i="71"/>
  <c r="E29" i="6"/>
  <c r="F30" i="6"/>
  <c r="F31" i="6" s="1"/>
  <c r="C26" i="71"/>
  <c r="D26" i="71" s="1"/>
  <c r="D27" i="71"/>
  <c r="V36" i="36"/>
  <c r="I36" i="36" s="1"/>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T40" i="71"/>
  <c r="D40"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14" i="12"/>
  <c r="M18" i="9"/>
  <c r="B118" i="9" s="1"/>
  <c r="B1" i="74" s="1"/>
  <c r="L18" i="9"/>
  <c r="C17" i="4"/>
  <c r="B4" i="52" s="1"/>
  <c r="B43" i="72" s="1"/>
  <c r="C39" i="43"/>
  <c r="C42" i="43"/>
  <c r="E42" i="43" s="1"/>
  <c r="C38" i="43"/>
  <c r="AA10" i="40"/>
  <c r="U10" i="40"/>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48" i="67" s="1"/>
  <c r="C10" i="67"/>
  <c r="C5" i="67" s="1"/>
  <c r="C38" i="67" s="1"/>
  <c r="C53" i="15"/>
  <c r="C48" i="15" s="1"/>
  <c r="C66" i="15" s="1"/>
  <c r="C10" i="15"/>
  <c r="C5" i="15" s="1"/>
  <c r="C38" i="15" s="1"/>
  <c r="M27" i="67"/>
  <c r="F41" i="15"/>
  <c r="M27" i="15"/>
  <c r="H6" i="3" l="1"/>
  <c r="E6" i="3" s="1"/>
  <c r="AC6" i="3"/>
  <c r="AC10" i="39"/>
  <c r="D3" i="37"/>
  <c r="D19" i="11"/>
  <c r="C19" i="11" s="1"/>
  <c r="D37" i="11"/>
  <c r="D3" i="33"/>
  <c r="D3" i="34"/>
  <c r="D116" i="43"/>
  <c r="AB10" i="39"/>
  <c r="W10" i="40"/>
  <c r="F25" i="12"/>
  <c r="C26" i="12" s="1"/>
  <c r="D25" i="12" s="1"/>
  <c r="K15" i="1"/>
  <c r="K16" i="1" s="1"/>
  <c r="E30" i="6"/>
  <c r="E31" i="6" s="1"/>
  <c r="F22" i="68"/>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C26" i="68" l="1"/>
  <c r="D22" i="68" s="1"/>
  <c r="C44" i="68"/>
  <c r="D41" i="68" s="1"/>
  <c r="H22" i="6"/>
  <c r="H21" i="6"/>
  <c r="F41" i="68"/>
  <c r="I54" i="34"/>
  <c r="J54" i="34" s="1"/>
  <c r="C44" i="11"/>
  <c r="D41" i="11" s="1"/>
  <c r="H25" i="6"/>
  <c r="E53" i="34"/>
  <c r="F53" i="34" s="1"/>
  <c r="C26" i="11"/>
  <c r="D22" i="11" s="1"/>
  <c r="C25" i="11"/>
  <c r="C24" i="11"/>
  <c r="C44" i="69"/>
  <c r="D41" i="69" s="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8" i="12" l="1"/>
  <c r="B3" i="43"/>
  <c r="C6" i="68"/>
  <c r="C7" i="68" s="1"/>
  <c r="C5" i="68" s="1"/>
  <c r="C23" i="68"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F35"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D34" i="9"/>
  <c r="D35" i="9"/>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5"/>
  <c r="L51" i="1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9" i="1"/>
  <c r="AO7" i="1"/>
  <c r="AO10"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111" i="9" l="1"/>
  <c r="D126" i="9" s="1"/>
  <c r="H112" i="9"/>
  <c r="C8" i="74"/>
  <c r="D19" i="53"/>
  <c r="D20" i="53" s="1"/>
  <c r="B40" i="72" s="1"/>
  <c r="D21" i="53"/>
  <c r="B39" i="72"/>
  <c r="D127" i="9" l="1"/>
  <c r="D13" i="52" s="1"/>
  <c r="D12" i="52"/>
  <c r="B38" i="72"/>
  <c r="D118" i="9"/>
  <c r="D119" i="9" s="1"/>
  <c r="D5" i="52" s="1"/>
  <c r="B49" i="72" s="1"/>
  <c r="F118" i="9"/>
  <c r="G118" i="9" s="1"/>
  <c r="G4" i="52" s="1"/>
  <c r="B52" i="72" s="1"/>
  <c r="H118" i="9"/>
  <c r="H101" i="9" s="1"/>
  <c r="F4" i="52"/>
  <c r="B51" i="72" s="1"/>
  <c r="F119" i="9" l="1"/>
  <c r="F5" i="52" s="1"/>
  <c r="B53" i="72" s="1"/>
  <c r="H119" i="9"/>
  <c r="H5" i="52" s="1"/>
  <c r="D4" i="52"/>
  <c r="B47" i="72" s="1"/>
  <c r="M48" i="9"/>
  <c r="H107" i="9"/>
  <c r="D45" i="9"/>
  <c r="D5" i="53"/>
  <c r="I118" i="9"/>
  <c r="C104" i="9"/>
  <c r="H4" i="52"/>
  <c r="D6" i="53" l="1"/>
  <c r="B22" i="72" s="1"/>
  <c r="B20" i="72"/>
  <c r="C72" i="9"/>
  <c r="C85" i="9"/>
  <c r="C64" i="9"/>
  <c r="C63" i="9" s="1"/>
  <c r="C67" i="9" s="1"/>
  <c r="D52" i="9"/>
  <c r="C78" i="9"/>
  <c r="C73" i="9" s="1"/>
  <c r="C93" i="9"/>
  <c r="C86" i="9" s="1"/>
  <c r="D53" i="9"/>
  <c r="D55" i="9"/>
  <c r="M53" i="9" s="1"/>
  <c r="M49" i="9"/>
  <c r="D122" i="9"/>
  <c r="D13" i="53"/>
  <c r="H102" i="9"/>
  <c r="H108" i="9" s="1"/>
  <c r="C105" i="9"/>
  <c r="E118" i="9"/>
  <c r="E4" i="52" s="1"/>
  <c r="B48" i="72" s="1"/>
  <c r="I4" i="52"/>
  <c r="D15" i="53" l="1"/>
  <c r="B31" i="72" s="1"/>
  <c r="C6" i="74"/>
  <c r="D14" i="53"/>
  <c r="B32" i="72" s="1"/>
  <c r="B30" i="72"/>
  <c r="D59" i="9"/>
  <c r="M55" i="9" s="1"/>
  <c r="C68" i="9"/>
  <c r="D54" i="9" s="1"/>
  <c r="C95" i="9"/>
  <c r="D123" i="9"/>
  <c r="D9" i="52" s="1"/>
  <c r="D8" i="52"/>
  <c r="C5" i="74"/>
  <c r="D7" i="53"/>
  <c r="B21" i="72" s="1"/>
  <c r="L65" i="9"/>
  <c r="M65" i="9" s="1"/>
  <c r="L68" i="9"/>
  <c r="M68" i="9" s="1"/>
  <c r="L67" i="9"/>
  <c r="M67" i="9" s="1"/>
  <c r="L64" i="9"/>
  <c r="M64" i="9" s="1"/>
  <c r="L66" i="9"/>
  <c r="M66" i="9" s="1"/>
  <c r="L63" i="9"/>
  <c r="M63" i="9" s="1"/>
  <c r="C79" i="9"/>
  <c r="C80" i="9" l="1"/>
  <c r="E80" i="9" s="1"/>
  <c r="E81" i="9" s="1"/>
  <c r="C81" i="9"/>
  <c r="C96" i="9"/>
  <c r="E96" i="9" s="1"/>
  <c r="E97" i="9" s="1"/>
  <c r="M69" i="9"/>
  <c r="N69" i="9" s="1"/>
  <c r="C97" i="9" l="1"/>
  <c r="D58" i="9" s="1"/>
  <c r="D56" i="9" s="1"/>
  <c r="M54" i="9" s="1"/>
  <c r="N57" i="9" s="1"/>
  <c r="N58" i="9" s="1"/>
  <c r="N59" i="9" l="1"/>
  <c r="P57"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<sst xmlns="http://schemas.openxmlformats.org/spreadsheetml/2006/main" count="7896" uniqueCount="3446">
  <si>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</si>
  <si>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</si>
  <si>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</si>
  <si>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</si>
  <si>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</si>
  <si>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</si>
  <si>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</si>
  <si>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</si>
  <si>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</si>
  <si>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</si>
  <si>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</si>
  <si>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</si>
  <si>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</si>
  <si>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</si>
  <si>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</si>
  <si>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</si>
  <si>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</si>
  <si>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</si>
  <si>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</si>
  <si>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</si>
  <si>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</si>
  <si>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</si>
  <si>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</si>
  <si>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</si>
  <si>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</si>
  <si>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</si>
  <si>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</si>
  <si>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</si>
  <si>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</si>
  <si>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</si>
  <si>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</si>
  <si>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</si>
  <si>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</si>
  <si>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</si>
  <si>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</si>
  <si>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</si>
  <si>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</si>
  <si>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</si>
  <si>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</si>
  <si>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</si>
  <si>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</si>
  <si>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</si>
  <si>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</si>
  <si>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</si>
  <si>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</si>
  <si>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</si>
  <si>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</si>
  <si>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</si>
  <si>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</si>
  <si>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</si>
  <si>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</si>
  <si>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</si>
  <si>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</si>
  <si>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</si>
  <si>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</si>
  <si>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</si>
  <si>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</si>
  <si>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</si>
  <si>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</si>
  <si>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</si>
  <si>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</si>
  <si>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</si>
  <si>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</si>
  <si>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</si>
  <si>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</si>
  <si>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</si>
  <si>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</si>
  <si>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</si>
  <si>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</si>
  <si>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</si>
  <si>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</si>
  <si>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</si>
  <si>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</si>
  <si>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</si>
  <si>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</si>
  <si>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</si>
  <si>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</si>
  <si>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</si>
  <si>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</si>
  <si>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</si>
  <si>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</si>
  <si>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</si>
  <si>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</si>
  <si>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</si>
  <si>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</si>
  <si>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</si>
  <si>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</si>
  <si>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</si>
  <si>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</si>
  <si>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</si>
  <si>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</si>
  <si>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</si>
  <si>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</si>
  <si>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</si>
  <si>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</si>
  <si>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</si>
  <si>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</si>
  <si>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</si>
  <si>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</si>
  <si>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</si>
  <si>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</si>
  <si>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</si>
  <si>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</si>
  <si>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</si>
  <si>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</si>
  <si>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</si>
  <si>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</si>
  <si>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</si>
  <si>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</si>
  <si>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</si>
  <si>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</si>
  <si>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</si>
  <si>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</si>
  <si>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</si>
  <si>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</si>
  <si>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</si>
  <si>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</si>
  <si>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</si>
  <si>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</si>
  <si>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</si>
  <si>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</si>
  <si>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</si>
  <si>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</si>
  <si>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</si>
  <si>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</si>
  <si>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</si>
  <si>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</si>
  <si>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</si>
  <si>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</si>
  <si>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</si>
  <si>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</si>
  <si>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</si>
  <si>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</si>
  <si>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</si>
  <si>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</si>
  <si>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</si>
  <si>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</si>
  <si>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</si>
  <si>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</si>
  <si>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</si>
  <si>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</si>
  <si>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</si>
  <si>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</si>
  <si>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</si>
  <si>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</si>
  <si>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</si>
  <si>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</si>
  <si>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</si>
  <si>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</si>
  <si>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</si>
  <si>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</si>
  <si>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</si>
  <si>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</si>
  <si>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</si>
  <si>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</si>
  <si>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</si>
  <si>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</si>
  <si>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</si>
  <si>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</si>
  <si>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</si>
  <si>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</si>
  <si>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</si>
  <si>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</si>
  <si>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</si>
  <si>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</si>
  <si>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</si>
  <si>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</si>
  <si>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</si>
  <si>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</si>
  <si>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</si>
  <si>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</si>
  <si>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</si>
  <si>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</si>
  <si>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</si>
  <si>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</si>
  <si>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</si>
  <si>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</si>
  <si>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</si>
  <si>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</si>
  <si>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</si>
  <si>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</si>
  <si>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</si>
  <si>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</si>
  <si>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</si>
  <si>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</si>
  <si>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</si>
  <si>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</si>
  <si>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</si>
  <si>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</si>
  <si>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</si>
  <si>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</si>
  <si>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</si>
  <si>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</si>
  <si>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</si>
  <si>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</si>
  <si>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</si>
  <si>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</si>
  <si>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</si>
  <si>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</si>
  <si>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</si>
  <si>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</si>
  <si>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</si>
  <si>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</si>
  <si>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</si>
  <si>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</si>
  <si>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</si>
  <si>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</si>
  <si>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</si>
  <si>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</si>
  <si>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</si>
  <si>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</si>
  <si>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</si>
  <si>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</si>
  <si>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</si>
  <si>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</si>
  <si>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</si>
  <si>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</si>
  <si>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</si>
  <si>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</si>
  <si>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</si>
  <si>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</si>
  <si>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</si>
  <si>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</si>
  <si>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</si>
  <si>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</si>
  <si>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</si>
  <si>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</si>
  <si>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</si>
  <si>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</si>
  <si>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</si>
  <si>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</si>
  <si>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</si>
  <si>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</si>
  <si>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</si>
  <si>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</si>
  <si>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</si>
  <si>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</si>
  <si>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</si>
  <si>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</si>
  <si>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</si>
  <si>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</si>
  <si>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</si>
  <si>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</si>
  <si>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</si>
  <si>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</si>
  <si>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</si>
  <si>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</si>
  <si>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</si>
  <si>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</si>
  <si>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</si>
  <si>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</si>
  <si>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</si>
  <si>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</si>
  <si>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</si>
  <si>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</si>
  <si>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</si>
  <si>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</si>
  <si>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</si>
  <si>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</si>
  <si>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</si>
  <si>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</si>
  <si>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</si>
  <si>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</si>
  <si>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</si>
  <si>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</si>
  <si>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</si>
  <si>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</si>
  <si>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</si>
  <si>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</si>
  <si>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</si>
  <si>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</si>
  <si>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</si>
  <si>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</si>
  <si>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</si>
  <si>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</si>
  <si>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</si>
  <si>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</si>
  <si>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</si>
  <si>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</si>
  <si>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</si>
  <si>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</si>
  <si>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</si>
  <si>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</si>
  <si>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</si>
  <si>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</si>
  <si>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</si>
  <si>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</si>
  <si>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</si>
  <si>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</si>
  <si>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</si>
  <si>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</si>
  <si>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</si>
  <si>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</si>
  <si>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</si>
  <si>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</si>
  <si>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</si>
  <si>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</si>
  <si>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</si>
  <si>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</si>
  <si>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</si>
  <si>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</si>
  <si>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</si>
  <si>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</si>
  <si>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</si>
  <si>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</si>
  <si>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</si>
  <si>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</si>
  <si>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</si>
  <si>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</si>
  <si>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</si>
  <si>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</si>
  <si>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</si>
  <si>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</si>
  <si>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</si>
  <si>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</si>
  <si>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</si>
  <si>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</si>
  <si>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</si>
  <si>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</si>
  <si>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</si>
  <si>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</si>
  <si>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</si>
  <si>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</si>
  <si>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</si>
  <si>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</si>
  <si>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</si>
  <si>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</si>
  <si>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</si>
  <si>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</si>
  <si>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</si>
  <si>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</si>
  <si>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</si>
  <si>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</si>
  <si>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</si>
  <si>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</si>
  <si>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</si>
  <si>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</si>
  <si>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</si>
  <si>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</si>
  <si>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</si>
  <si>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</si>
  <si>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</si>
  <si>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</si>
  <si>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</si>
  <si>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</si>
  <si>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</si>
  <si>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</si>
  <si>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</si>
  <si>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</si>
  <si>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</si>
  <si>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</si>
  <si>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</si>
  <si>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</si>
  <si>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</si>
  <si>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</si>
  <si>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</si>
  <si>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</si>
  <si>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</si>
  <si>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</si>
  <si>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</si>
  <si>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</si>
  <si>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</si>
  <si>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</si>
  <si>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</si>
  <si>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</si>
  <si>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</si>
  <si>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</si>
  <si>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</si>
  <si>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</si>
  <si>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</si>
  <si>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</si>
  <si>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</si>
  <si>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</si>
  <si>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</si>
  <si>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</si>
  <si>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</si>
  <si>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</si>
  <si>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</si>
  <si>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</si>
  <si>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</si>
  <si>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</si>
  <si>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</si>
  <si>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</si>
  <si>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</si>
  <si>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</si>
  <si>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</si>
  <si>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</si>
  <si>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</si>
  <si>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</si>
  <si>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</si>
  <si>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</si>
  <si>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</si>
  <si>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</si>
  <si>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</si>
  <si>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</si>
  <si>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</si>
  <si>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</si>
  <si>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</si>
  <si>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</si>
  <si>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</si>
  <si>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</si>
  <si>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</si>
  <si>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</si>
  <si>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</si>
  <si>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</si>
  <si>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</si>
  <si>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</si>
  <si>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</si>
  <si>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</si>
  <si>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</si>
  <si>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</si>
  <si>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</si>
  <si>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</si>
  <si>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</si>
  <si>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</si>
  <si>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</si>
  <si>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</si>
  <si>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</si>
  <si>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</si>
  <si>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</si>
  <si>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</si>
  <si>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</si>
  <si>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</si>
  <si>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</si>
  <si>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</si>
  <si>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</si>
  <si>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</si>
  <si>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</si>
  <si>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</si>
  <si>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</si>
  <si>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</si>
  <si>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</si>
  <si>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</si>
  <si>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</si>
  <si>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</si>
  <si>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</si>
  <si>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</si>
  <si>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</si>
  <si>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</si>
  <si>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</si>
  <si>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</si>
  <si>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</si>
  <si>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</si>
  <si>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</si>
  <si>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</si>
  <si>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</si>
  <si>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</si>
  <si>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</si>
  <si>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</si>
  <si>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</si>
  <si>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</si>
  <si>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</si>
  <si>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</si>
  <si>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</si>
  <si>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</si>
  <si>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</si>
  <si>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</si>
  <si>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</si>
  <si>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</si>
  <si>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</si>
  <si>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</si>
  <si>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</si>
  <si>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</si>
  <si>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</si>
  <si>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</si>
  <si>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</si>
  <si>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</si>
  <si>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</si>
  <si>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</si>
  <si>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</si>
  <si>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</si>
  <si>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</si>
  <si>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</si>
  <si>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</si>
  <si>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</si>
  <si>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</si>
  <si>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</si>
  <si>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</si>
  <si>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</si>
  <si>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</si>
  <si>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</si>
  <si>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</si>
  <si>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</si>
  <si>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</si>
  <si>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</si>
  <si>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</si>
  <si>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</si>
  <si>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</si>
  <si>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</si>
  <si>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</si>
  <si>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</si>
  <si>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</si>
  <si>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</si>
  <si>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</si>
  <si>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</si>
  <si>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</si>
  <si>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</si>
  <si>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</si>
  <si>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</si>
  <si>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</si>
  <si>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</si>
  <si>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</si>
  <si>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</si>
  <si>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</si>
  <si>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</si>
  <si>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</si>
  <si>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</si>
  <si>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</si>
  <si>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</si>
  <si>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</si>
  <si>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</si>
  <si>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</si>
  <si>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</si>
  <si>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</si>
  <si>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</si>
  <si>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</si>
  <si>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</si>
  <si>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</si>
  <si>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</si>
  <si>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</si>
  <si>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</si>
  <si>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</si>
  <si>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</si>
  <si>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</si>
  <si>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</si>
  <si>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</si>
  <si>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</si>
  <si>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</si>
  <si>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</si>
  <si>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</si>
  <si>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</si>
  <si>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</si>
  <si>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</si>
  <si>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</si>
  <si>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</si>
  <si>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</si>
  <si>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</si>
  <si>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</si>
  <si>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</si>
  <si>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</si>
  <si>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</si>
  <si>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</si>
  <si>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</si>
  <si>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</si>
  <si>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</si>
  <si>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</si>
  <si>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</si>
  <si>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</si>
  <si>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</si>
  <si>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</si>
  <si>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</si>
  <si>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</si>
  <si>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</si>
  <si>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</si>
  <si>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</si>
  <si>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</si>
  <si>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</si>
  <si>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</si>
  <si>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</si>
  <si>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</si>
  <si>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</si>
  <si>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</si>
  <si>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</si>
  <si>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</si>
  <si>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</si>
  <si>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</si>
  <si>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</si>
  <si>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</si>
  <si>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</si>
  <si>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</si>
  <si>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</si>
  <si>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</si>
  <si>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</si>
  <si>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</si>
  <si>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</si>
  <si>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</si>
  <si>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</si>
  <si>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</si>
  <si>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</si>
  <si>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</si>
  <si>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</si>
  <si>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</si>
  <si>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</si>
  <si>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</si>
  <si>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</si>
  <si>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</si>
  <si>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</si>
  <si>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</si>
  <si>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</si>
  <si>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</si>
  <si>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</si>
  <si>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</si>
  <si>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</si>
  <si>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</si>
  <si>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</si>
  <si>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</si>
  <si>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</si>
  <si>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</si>
  <si>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</si>
  <si>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</si>
  <si>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</si>
  <si>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</si>
  <si>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</si>
  <si>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</si>
  <si>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</si>
  <si>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</si>
  <si>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</si>
  <si>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</si>
  <si>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</si>
  <si>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</si>
  <si>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</si>
  <si>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</si>
  <si>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</si>
  <si>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</si>
  <si>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</si>
  <si>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</si>
  <si>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</si>
  <si>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</si>
  <si>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</si>
  <si>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</si>
  <si>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</si>
  <si>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</si>
  <si>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</si>
  <si>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</si>
  <si>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</si>
  <si>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</si>
  <si>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</si>
  <si>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</si>
  <si>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</si>
  <si>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</si>
  <si>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</si>
  <si>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</si>
  <si>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</si>
  <si>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</si>
  <si>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</si>
  <si>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</si>
  <si>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</si>
  <si>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</si>
  <si>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</si>
  <si>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</si>
  <si>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</si>
  <si>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</si>
  <si>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</si>
  <si>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</si>
  <si>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</si>
  <si>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</si>
  <si>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</si>
  <si>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</si>
  <si>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</si>
  <si>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</si>
  <si>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</si>
  <si>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</si>
  <si>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</si>
  <si>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</si>
  <si>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</si>
  <si>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</si>
  <si>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</si>
  <si>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</si>
  <si>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</si>
  <si>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</si>
  <si>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</si>
  <si>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</si>
  <si>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</si>
  <si>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</si>
  <si>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</si>
  <si>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</si>
  <si>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</si>
  <si>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</si>
  <si>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</si>
  <si>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</si>
  <si>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</si>
  <si>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</si>
  <si>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</si>
  <si>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</si>
  <si>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</si>
  <si>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</si>
  <si>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</si>
  <si>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</si>
  <si>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</si>
  <si>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</si>
  <si>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</si>
  <si>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</si>
  <si>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</si>
  <si>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</si>
  <si>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</si>
  <si>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</si>
  <si>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</si>
  <si>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</si>
  <si>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</si>
  <si>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</si>
  <si>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</si>
  <si>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</si>
  <si>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</si>
  <si>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</si>
  <si>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</si>
  <si>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</si>
  <si>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</si>
  <si>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</si>
  <si>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</si>
  <si>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</si>
  <si>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</si>
  <si>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</si>
  <si>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</si>
  <si>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</si>
  <si>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</si>
  <si>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</si>
  <si>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</si>
  <si>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</si>
  <si>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</si>
  <si>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</si>
  <si>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</si>
  <si>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</si>
  <si>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</si>
  <si>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</si>
  <si>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</si>
  <si>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</si>
  <si>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</si>
  <si>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</si>
  <si>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</si>
  <si>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</si>
  <si>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</si>
  <si>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</si>
  <si>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</si>
  <si>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</si>
  <si>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</si>
  <si>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</si>
  <si>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</si>
  <si>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</si>
  <si>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</si>
  <si>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</si>
  <si>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</si>
  <si>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</si>
  <si>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</si>
  <si>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</si>
  <si>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</si>
  <si>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</si>
  <si>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</si>
  <si>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</si>
  <si>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</si>
  <si>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</si>
  <si>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</si>
  <si>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</si>
  <si>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</si>
  <si>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</si>
  <si>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</si>
  <si>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</si>
  <si>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</si>
  <si>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</si>
  <si>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</si>
  <si>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</si>
  <si>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</si>
  <si>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</si>
  <si>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</si>
  <si>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</si>
  <si>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</si>
  <si>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</si>
  <si>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</si>
  <si>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</si>
  <si>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</si>
  <si>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</si>
  <si>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</si>
  <si>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</si>
  <si>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</si>
  <si>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</si>
  <si>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</si>
  <si>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</si>
  <si>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</si>
  <si>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</si>
  <si>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</si>
  <si>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</si>
  <si>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</si>
  <si>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</si>
  <si>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</si>
  <si>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</si>
  <si>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</si>
  <si>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</si>
  <si>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</si>
  <si>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</si>
  <si>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</si>
  <si>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</si>
  <si>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</si>
  <si>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</si>
  <si>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</si>
  <si>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</si>
  <si>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</si>
  <si>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</si>
  <si>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</si>
  <si>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</si>
  <si>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</si>
  <si>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</si>
  <si>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</si>
  <si>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</si>
  <si>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</si>
  <si>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</si>
  <si>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</si>
  <si>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</si>
  <si>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</si>
  <si>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</si>
  <si>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</si>
  <si>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</si>
  <si>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</si>
  <si>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</si>
  <si>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</si>
  <si>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</si>
  <si>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</si>
  <si>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</si>
  <si>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</si>
  <si>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</si>
  <si>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</si>
  <si>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</si>
  <si>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</si>
  <si>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</si>
  <si>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</si>
  <si>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</si>
  <si>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</si>
  <si>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</si>
  <si>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</si>
  <si>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</si>
  <si>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</si>
  <si>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</si>
  <si>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</si>
  <si>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</si>
  <si>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</si>
  <si>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</si>
  <si>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</si>
  <si>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</si>
  <si>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</si>
  <si>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</si>
  <si>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</si>
  <si>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</si>
  <si>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</si>
  <si>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</si>
  <si>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</si>
  <si>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</si>
  <si>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</si>
  <si>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</si>
  <si>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</si>
  <si>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</si>
  <si>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</si>
  <si>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</si>
  <si>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</si>
  <si>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</si>
  <si>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</si>
  <si>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</si>
  <si>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</si>
  <si>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</si>
  <si>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</si>
  <si>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</si>
  <si>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</si>
  <si>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</si>
  <si>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</si>
  <si>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</si>
  <si>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</si>
  <si>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</si>
  <si>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</si>
  <si>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</si>
  <si>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</si>
  <si>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</si>
  <si>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</si>
  <si>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</si>
  <si>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</si>
  <si>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</si>
  <si>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</si>
  <si>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</si>
  <si>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</si>
  <si>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</si>
  <si>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</si>
  <si>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</si>
  <si>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</si>
  <si>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</si>
  <si>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</si>
  <si>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</si>
  <si>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</si>
  <si>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</si>
  <si>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</si>
  <si>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</si>
  <si>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</si>
  <si>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</si>
  <si>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</si>
  <si>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</si>
  <si>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</si>
  <si>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</si>
  <si>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</si>
  <si>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</si>
  <si>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</si>
  <si>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</si>
  <si>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</si>
  <si>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</si>
  <si>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</si>
  <si>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</si>
  <si>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</si>
  <si>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</si>
  <si>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</si>
  <si>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</si>
  <si>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</si>
  <si>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</si>
  <si>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</si>
  <si>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</si>
  <si>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</si>
  <si>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</si>
  <si>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</si>
  <si>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</si>
  <si>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</si>
  <si>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</si>
  <si>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</si>
  <si>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</si>
  <si>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</si>
  <si>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</si>
  <si>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</si>
  <si>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</si>
  <si>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</si>
  <si>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</si>
  <si>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</si>
  <si>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</si>
  <si>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</si>
  <si>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</si>
  <si>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</si>
  <si>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</si>
  <si>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</si>
  <si>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</si>
  <si>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</si>
  <si>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</si>
  <si>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</si>
  <si>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</si>
  <si>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</si>
  <si>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</si>
  <si>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</si>
  <si>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</si>
  <si>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</si>
  <si>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</si>
  <si>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</si>
  <si>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</si>
  <si>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</si>
  <si>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</si>
  <si>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</si>
  <si>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</si>
  <si>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</si>
  <si>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</si>
  <si>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</si>
  <si>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</si>
  <si>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</si>
  <si>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</si>
  <si>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</si>
  <si>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</si>
  <si>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</si>
  <si>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</si>
  <si>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</si>
  <si>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</si>
  <si>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</si>
  <si>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</si>
  <si>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</si>
  <si>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</si>
  <si>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</si>
  <si>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</si>
  <si>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</si>
  <si>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</si>
  <si>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</si>
  <si>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</si>
  <si>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</si>
  <si>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</si>
  <si>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</si>
  <si>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</si>
  <si>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</si>
  <si>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</si>
  <si>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</si>
  <si>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</si>
  <si>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</si>
  <si>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</si>
  <si>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</si>
  <si>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</si>
  <si>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</si>
  <si>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</si>
  <si>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</si>
  <si>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</si>
  <si>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</si>
  <si>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</si>
  <si>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</si>
  <si>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</si>
  <si>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</si>
  <si>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</si>
  <si>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</si>
  <si>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</si>
  <si>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</si>
  <si>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</si>
  <si>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</si>
  <si>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</si>
  <si>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</si>
  <si>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</si>
  <si>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</si>
  <si>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</si>
  <si>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</si>
  <si>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</si>
  <si>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</si>
  <si>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</si>
  <si>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</si>
  <si>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</si>
  <si>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</si>
  <si>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</si>
  <si>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</si>
  <si>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</si>
  <si>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</si>
  <si>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</si>
  <si>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</si>
  <si>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</si>
  <si>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</si>
  <si>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</si>
  <si>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</si>
  <si>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</si>
  <si>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</si>
  <si>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</si>
  <si>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</si>
  <si>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</si>
  <si>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</si>
  <si>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</si>
  <si>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</si>
  <si>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</si>
  <si>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</si>
  <si>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</si>
  <si>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</si>
  <si>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</si>
  <si>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</si>
  <si>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</si>
  <si>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</si>
  <si>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</si>
  <si>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</si>
  <si>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</si>
  <si>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</si>
  <si>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</si>
  <si>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</si>
  <si>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</si>
  <si>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</si>
  <si>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</si>
  <si>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</si>
  <si>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</si>
  <si>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</si>
  <si>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</si>
  <si>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</si>
  <si>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</si>
  <si>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</si>
  <si>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</si>
  <si>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</si>
  <si>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</si>
  <si>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</si>
  <si>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</si>
  <si>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</si>
  <si>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</si>
  <si>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</si>
  <si>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</si>
  <si>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</si>
  <si>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</si>
  <si>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</si>
  <si>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</si>
  <si>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</si>
  <si>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</si>
  <si>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</si>
  <si>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</si>
  <si>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</si>
  <si>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</si>
  <si>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</si>
  <si>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</si>
  <si>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</si>
  <si>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</si>
  <si>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</si>
  <si>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</si>
  <si>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</si>
  <si>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</si>
  <si>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</si>
  <si>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</si>
  <si>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</si>
  <si>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</si>
  <si>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</si>
  <si>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</si>
  <si>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</si>
  <si>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</si>
  <si>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</si>
  <si>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</si>
  <si>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</si>
  <si>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</si>
  <si>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</si>
  <si>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</si>
  <si>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</si>
  <si>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</si>
  <si>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</si>
  <si>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</si>
  <si>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</si>
  <si>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</si>
  <si>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</si>
  <si>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</si>
  <si>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</si>
  <si>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</si>
  <si>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</si>
  <si>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</si>
  <si>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</si>
  <si>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</si>
  <si>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</si>
  <si>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</si>
  <si>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</si>
  <si>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</si>
  <si>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</si>
  <si>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</si>
  <si>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</si>
  <si>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</si>
  <si>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</si>
  <si>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</si>
  <si>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</si>
  <si>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</si>
  <si>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</si>
  <si>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</si>
  <si>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</si>
  <si>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</si>
  <si>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</si>
  <si>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</si>
  <si>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</si>
  <si>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</si>
  <si>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</si>
  <si>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</si>
  <si>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</si>
  <si>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</si>
  <si>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</si>
  <si>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</si>
  <si>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</si>
  <si>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</si>
  <si>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</si>
  <si>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</si>
  <si>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</si>
  <si>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</si>
  <si>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</si>
  <si>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</si>
  <si>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</si>
  <si>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</si>
  <si>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</si>
  <si>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</si>
  <si>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</si>
  <si>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</si>
  <si>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</si>
  <si>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</si>
  <si>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</si>
  <si>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</si>
  <si>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</si>
  <si>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</si>
  <si>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</si>
  <si>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</si>
  <si>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</si>
  <si>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</si>
  <si>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</si>
  <si>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</si>
  <si>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</si>
  <si>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</si>
  <si>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</si>
  <si>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</si>
  <si>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</si>
  <si>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</si>
  <si>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</si>
  <si>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</si>
  <si>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</si>
  <si>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</si>
  <si>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</si>
  <si>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</si>
  <si>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</si>
  <si>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</si>
  <si>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</si>
  <si>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</si>
  <si>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</si>
  <si>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</si>
  <si>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</si>
  <si>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</si>
  <si>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</si>
  <si>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</si>
  <si>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</si>
  <si>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</si>
  <si>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</si>
  <si>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</si>
  <si>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</si>
  <si>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</si>
  <si>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</si>
  <si>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</si>
  <si>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</si>
  <si>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</si>
  <si>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</si>
  <si>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</si>
  <si>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</si>
  <si>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</si>
  <si>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</si>
  <si>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</si>
  <si>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</si>
  <si>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</si>
  <si>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</si>
  <si>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</si>
  <si>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</si>
  <si>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</si>
  <si>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</si>
  <si>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</si>
  <si>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</si>
  <si>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</si>
  <si>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</si>
  <si>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</si>
  <si>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</si>
  <si>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</si>
  <si>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</si>
  <si>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</si>
  <si>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</si>
  <si>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</si>
  <si>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</si>
  <si>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</si>
  <si>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</si>
  <si>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</si>
  <si>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</si>
  <si>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</si>
  <si>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</si>
  <si>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</si>
  <si>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</si>
  <si>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</si>
  <si>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</si>
  <si>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</si>
  <si>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</si>
  <si>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</si>
  <si>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</si>
  <si>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</si>
  <si>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</si>
  <si>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</si>
  <si>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</si>
  <si>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</si>
  <si>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</si>
  <si>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</si>
  <si>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</si>
  <si>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</si>
  <si>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</si>
  <si>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</si>
  <si>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</si>
  <si>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</si>
  <si>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</si>
  <si>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</si>
  <si>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</si>
  <si>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</si>
  <si>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</si>
  <si>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</si>
  <si>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</si>
  <si>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</si>
  <si>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</si>
  <si>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</si>
  <si>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</si>
  <si>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</si>
  <si>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</si>
  <si>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</si>
  <si>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</si>
  <si>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</si>
  <si>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</si>
  <si>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</si>
  <si>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</si>
  <si>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</si>
  <si>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</si>
  <si>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</si>
  <si>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</si>
  <si>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</si>
  <si>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</si>
  <si>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</si>
  <si>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</si>
  <si>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</si>
  <si>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</si>
  <si>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</si>
  <si>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</si>
  <si>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</si>
  <si>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</si>
  <si>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</si>
  <si>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</si>
  <si>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</si>
  <si>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</si>
  <si>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</si>
  <si>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</si>
  <si>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</si>
  <si>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</si>
  <si>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</si>
  <si>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</si>
  <si>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</si>
  <si>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</si>
  <si>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</si>
  <si>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</si>
  <si>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</si>
  <si>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</si>
  <si>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</si>
  <si>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</si>
  <si>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</si>
  <si>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</si>
  <si>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</si>
  <si>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</si>
  <si>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</si>
  <si>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</si>
  <si>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</si>
  <si>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</si>
  <si>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</si>
  <si>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</si>
  <si>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</si>
  <si>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</si>
  <si>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</si>
  <si>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</si>
  <si>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</si>
  <si>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</si>
  <si>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</si>
  <si>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</si>
  <si>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</si>
  <si>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</si>
  <si>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</si>
  <si>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</si>
  <si>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</si>
  <si>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</si>
  <si>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</si>
  <si>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</si>
  <si>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</si>
  <si>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</si>
  <si>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</si>
  <si>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</si>
  <si>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</si>
  <si>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</si>
  <si>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</si>
  <si>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</si>
  <si>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</si>
  <si>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</si>
  <si>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</si>
  <si>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</si>
  <si>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</si>
  <si>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</si>
  <si>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</si>
  <si>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</si>
  <si>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</si>
  <si>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</si>
  <si>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</si>
  <si>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</si>
  <si>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</si>
  <si>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</si>
  <si>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</si>
  <si>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</si>
  <si>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</si>
  <si>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</si>
  <si>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</si>
  <si>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</si>
  <si>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</si>
  <si>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</si>
  <si>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</si>
  <si>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</si>
  <si>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</si>
  <si>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</si>
  <si>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</si>
  <si>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</si>
  <si>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</si>
  <si>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</si>
  <si>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</si>
  <si>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</si>
  <si>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</si>
  <si>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</si>
  <si>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</si>
  <si>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</si>
  <si>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</si>
  <si>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</si>
  <si>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</si>
  <si>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</si>
  <si>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</si>
  <si>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</si>
  <si>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</si>
  <si>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</si>
  <si>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</si>
  <si>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</si>
  <si>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</si>
  <si>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</si>
  <si>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</si>
  <si>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</si>
  <si>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</si>
  <si>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</si>
  <si>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</si>
  <si>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</si>
  <si>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</si>
  <si>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</si>
  <si>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</si>
  <si>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</si>
  <si>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</si>
  <si>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</si>
  <si>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</si>
  <si>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</si>
  <si>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</si>
  <si>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</si>
  <si>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</si>
  <si>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</si>
  <si>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</si>
  <si>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</si>
  <si>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</si>
  <si>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</si>
  <si>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</si>
  <si>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</si>
  <si>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</si>
  <si>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</si>
  <si>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</si>
  <si>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</si>
  <si>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</si>
  <si>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</si>
  <si>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</si>
  <si>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</si>
  <si>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</si>
  <si>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</si>
  <si>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</si>
  <si>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</si>
  <si>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</si>
  <si>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</si>
  <si>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</si>
  <si>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</si>
  <si>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</si>
  <si>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</si>
  <si>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</si>
  <si>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</si>
  <si>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</si>
  <si>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</si>
  <si>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</si>
  <si>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</si>
  <si>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</si>
  <si>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</si>
  <si>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</si>
  <si>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</si>
  <si>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</si>
  <si>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</si>
  <si>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</si>
  <si>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</si>
  <si>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</si>
  <si>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</si>
  <si>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</si>
  <si>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</si>
  <si>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</si>
  <si>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</si>
  <si>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</si>
  <si>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</si>
  <si>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</si>
  <si>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</si>
  <si>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</si>
  <si>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</si>
  <si>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</si>
  <si>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</si>
  <si>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</si>
  <si>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</si>
  <si>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</si>
  <si>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</si>
  <si>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</si>
  <si>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</si>
  <si>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</si>
  <si>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</si>
  <si>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</si>
  <si>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</si>
  <si>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</si>
  <si>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</si>
  <si>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</si>
  <si>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</si>
  <si>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</si>
  <si>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</si>
  <si>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</si>
  <si>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</si>
  <si>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</si>
  <si>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</si>
  <si>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</si>
  <si>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</si>
  <si>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</si>
  <si>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</si>
  <si>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</si>
  <si>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</si>
  <si>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</si>
  <si>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</si>
  <si>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</si>
  <si>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</si>
  <si>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</si>
  <si>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</si>
  <si>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</si>
  <si>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</si>
  <si>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</si>
  <si>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</si>
  <si>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</si>
  <si>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</si>
  <si>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</si>
  <si>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</si>
  <si>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</si>
  <si>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</si>
  <si>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</si>
  <si>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</si>
  <si>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</si>
  <si>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</si>
  <si>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</si>
  <si>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</si>
  <si>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</si>
  <si>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</si>
  <si>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</si>
  <si>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</si>
  <si>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</si>
  <si>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</si>
  <si>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</si>
  <si>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</si>
  <si>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</si>
  <si>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</si>
  <si>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</si>
  <si>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</si>
  <si>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</si>
  <si>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</si>
  <si>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</si>
  <si>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</si>
  <si>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</si>
  <si>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</si>
  <si>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</si>
  <si>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</si>
  <si>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</si>
  <si>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</si>
  <si>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</si>
  <si>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</si>
  <si>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</si>
  <si>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</si>
  <si>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</si>
  <si>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</si>
  <si>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</si>
  <si>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</si>
  <si>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</si>
  <si>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</si>
  <si>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</si>
  <si>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</si>
  <si>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</si>
  <si>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</si>
  <si>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</si>
  <si>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</si>
  <si>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</si>
  <si>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</si>
  <si>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</si>
  <si>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</si>
  <si>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</si>
  <si>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</si>
  <si>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</si>
  <si>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</si>
  <si>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</si>
  <si>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</si>
  <si>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</si>
  <si>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</si>
  <si>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</si>
  <si>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</si>
  <si>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</si>
  <si>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</si>
  <si>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</si>
  <si>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</si>
  <si>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</si>
  <si>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</si>
  <si>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</si>
  <si>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</si>
  <si>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</si>
  <si>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</si>
  <si>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</si>
  <si>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</si>
  <si>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</si>
  <si>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</si>
  <si>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</si>
  <si>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</si>
  <si>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</si>
  <si>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</si>
  <si>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</si>
  <si>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</si>
  <si>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</si>
  <si>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</si>
  <si>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</si>
  <si>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</si>
  <si>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</si>
  <si>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</si>
  <si>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</si>
  <si>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</si>
  <si>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</si>
  <si>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</si>
  <si>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</si>
  <si>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</si>
  <si>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</si>
  <si>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</si>
  <si>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</si>
  <si>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</si>
  <si>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</si>
  <si>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</si>
  <si>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</si>
  <si>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</si>
  <si>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</si>
  <si>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</si>
  <si>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</si>
  <si>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</si>
  <si>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</si>
  <si>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</si>
  <si>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</si>
  <si>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</si>
  <si>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</si>
  <si>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</si>
  <si>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</si>
  <si>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</si>
  <si>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</si>
  <si>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</si>
  <si>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</si>
  <si>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</si>
  <si>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</si>
  <si>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</si>
  <si>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</si>
  <si>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</si>
  <si>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</si>
  <si>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</si>
  <si>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</si>
  <si>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</si>
  <si>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</si>
  <si>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</si>
  <si>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</si>
  <si>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</si>
  <si>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</si>
  <si>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</si>
  <si>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</si>
  <si>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</si>
  <si>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</si>
  <si>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</si>
  <si>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</si>
  <si>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</si>
  <si>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</si>
  <si>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</si>
  <si>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</si>
  <si>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</si>
  <si>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</si>
  <si>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</si>
  <si>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</si>
  <si>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</si>
  <si>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</si>
  <si>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</si>
  <si>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</si>
  <si>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</si>
  <si>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</si>
  <si>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</si>
  <si>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</si>
  <si>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</si>
  <si>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</si>
  <si>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</si>
  <si>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</si>
  <si>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</si>
  <si>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</si>
  <si>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</si>
  <si>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</si>
  <si>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</si>
  <si>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</si>
  <si>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</si>
  <si>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</si>
  <si>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</si>
  <si>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</si>
  <si>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</si>
  <si>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</si>
  <si>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</si>
  <si>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</si>
  <si>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</si>
  <si>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</si>
  <si>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</si>
  <si>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</si>
  <si>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</si>
  <si>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</si>
  <si>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</si>
  <si>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</si>
  <si>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</si>
  <si>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</si>
  <si>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</si>
  <si>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</si>
  <si>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</si>
  <si>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</si>
  <si>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</si>
  <si>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</si>
  <si>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</si>
  <si>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</si>
  <si>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</si>
  <si>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</si>
  <si>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</si>
  <si>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</si>
  <si>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</si>
  <si>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</si>
  <si>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</si>
  <si>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</si>
  <si>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</si>
  <si>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</si>
  <si>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</si>
  <si>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</si>
  <si>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</si>
  <si>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</si>
  <si>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</si>
  <si>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</si>
  <si>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</si>
  <si>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</si>
  <si>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</si>
  <si>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</si>
  <si>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</si>
  <si>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</si>
  <si>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</si>
  <si>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</si>
  <si>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</si>
  <si>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</si>
  <si>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</si>
  <si>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</si>
  <si>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</si>
  <si>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</si>
  <si>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</si>
  <si>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</si>
  <si>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</si>
  <si>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</si>
  <si>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</si>
  <si>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</si>
  <si>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</si>
  <si>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</si>
  <si>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</si>
  <si>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</si>
  <si>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</si>
  <si>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</si>
  <si>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</si>
  <si>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</si>
  <si>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</si>
  <si>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</si>
  <si>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</si>
  <si>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</si>
  <si>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</si>
  <si>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</si>
  <si>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</si>
  <si>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</si>
  <si>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</si>
  <si>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</si>
  <si>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</si>
  <si>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</si>
  <si>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</si>
  <si>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</si>
  <si>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</si>
  <si>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</si>
  <si>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</si>
  <si>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</si>
  <si>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</si>
  <si>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</si>
  <si>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</si>
  <si>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</si>
  <si>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</si>
  <si>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</si>
  <si>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</si>
  <si>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</si>
  <si>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</si>
  <si>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</si>
  <si>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</si>
  <si>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</si>
  <si>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</si>
  <si>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</si>
  <si>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</si>
  <si>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</si>
  <si>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</si>
  <si>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</si>
  <si>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</si>
  <si>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</si>
  <si>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</si>
  <si>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</si>
  <si>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</si>
  <si>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</si>
  <si>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</si>
  <si>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</si>
  <si>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</si>
  <si>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</si>
  <si>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</si>
  <si>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</si>
  <si>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</si>
  <si>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</si>
  <si>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</si>
  <si>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</si>
  <si>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</si>
  <si>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</si>
  <si>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</si>
  <si>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</si>
  <si>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</si>
  <si>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</si>
  <si>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</si>
  <si>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</si>
  <si>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</si>
  <si>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</si>
  <si>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</si>
  <si>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</si>
  <si>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</si>
  <si>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</si>
  <si>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</si>
  <si>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</si>
  <si>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</si>
  <si>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</si>
  <si>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</si>
  <si>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</si>
  <si>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</si>
  <si>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</si>
  <si>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</si>
  <si>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</si>
  <si>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</si>
  <si>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</si>
  <si>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</si>
  <si>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</si>
  <si>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</si>
  <si>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</si>
  <si>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</si>
  <si>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</si>
  <si>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</si>
  <si>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</si>
  <si>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</si>
  <si>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</si>
  <si>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</si>
  <si>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</si>
  <si>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</si>
  <si>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</si>
  <si>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</si>
  <si>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</si>
  <si>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</si>
  <si>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</si>
  <si>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</si>
  <si>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</si>
  <si>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</si>
  <si>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</si>
  <si>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</si>
  <si>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</si>
  <si>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</si>
  <si>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</si>
  <si>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</si>
  <si>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</si>
  <si>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</si>
  <si>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</si>
  <si>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</si>
  <si>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</si>
  <si>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</si>
  <si>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</si>
  <si>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</si>
  <si>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</si>
  <si>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</si>
  <si>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</si>
  <si>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</si>
  <si>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</si>
  <si>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</si>
  <si>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</si>
  <si>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</si>
  <si>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</si>
  <si>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</si>
  <si>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</si>
  <si>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</si>
  <si>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</si>
  <si>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</si>
  <si>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</si>
  <si>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</si>
  <si>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</si>
  <si>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</si>
  <si>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</si>
  <si>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</si>
  <si>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</si>
  <si>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</si>
  <si>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</si>
  <si>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</si>
  <si>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</si>
  <si>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</si>
  <si>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</si>
  <si>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</si>
  <si>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</si>
  <si>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</si>
  <si>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</si>
  <si>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</si>
  <si>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</si>
  <si>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</si>
  <si>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</si>
  <si>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</si>
  <si>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</si>
  <si>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</si>
  <si>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</si>
  <si>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</si>
  <si>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</si>
  <si>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</si>
  <si>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</si>
  <si>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</si>
  <si>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</si>
  <si>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</si>
  <si>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</si>
  <si>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</si>
  <si>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</si>
  <si>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</si>
  <si>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</si>
  <si>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</si>
  <si>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</si>
  <si>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</si>
  <si>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</si>
  <si>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</si>
  <si>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</si>
  <si>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</si>
  <si>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</si>
  <si>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</si>
  <si>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</si>
  <si>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</si>
  <si>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</si>
  <si>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</si>
  <si>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</si>
  <si>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</si>
  <si>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</si>
  <si>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</si>
  <si>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</si>
  <si>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</si>
  <si>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</si>
  <si>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</si>
  <si>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</si>
  <si>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</si>
  <si>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</si>
  <si>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</si>
  <si>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</si>
  <si>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</si>
  <si>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</si>
  <si>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</si>
  <si>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</si>
  <si>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</si>
  <si>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</si>
  <si>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</si>
  <si>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</si>
  <si>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</si>
  <si>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</si>
  <si>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</si>
  <si>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</si>
  <si>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</si>
  <si>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</si>
  <si>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</si>
  <si>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</si>
  <si>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</si>
  <si>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</si>
  <si>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</si>
  <si>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</si>
  <si>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</si>
  <si>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</si>
  <si>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</si>
  <si>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</si>
  <si>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</si>
  <si>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</si>
  <si>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</si>
  <si>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</si>
  <si>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</si>
  <si>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</si>
  <si>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</si>
  <si>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</si>
  <si>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</si>
  <si>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</si>
  <si>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</si>
  <si>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</si>
  <si>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</si>
  <si>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</si>
  <si>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</si>
  <si>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</si>
  <si>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</si>
  <si>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</si>
  <si>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</si>
  <si>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</si>
  <si>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</si>
  <si>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</si>
  <si>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</si>
  <si>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</si>
  <si>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</si>
  <si>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</si>
  <si>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</si>
  <si>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</si>
  <si>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</si>
  <si>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</si>
  <si>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</si>
  <si>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</si>
  <si>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</si>
  <si>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</si>
  <si>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</si>
  <si>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</si>
  <si>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</si>
  <si>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</si>
  <si>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</si>
  <si>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</si>
  <si>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</si>
  <si>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</si>
  <si>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</si>
  <si>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</si>
  <si>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</si>
  <si>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</si>
  <si>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</si>
  <si>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</si>
  <si>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</si>
  <si>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</si>
  <si>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</si>
  <si>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</si>
  <si>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</si>
  <si>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</si>
  <si>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</si>
  <si>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</si>
  <si>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</si>
  <si>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</si>
  <si>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</si>
  <si>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</si>
  <si>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</si>
  <si>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</si>
  <si>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</si>
  <si>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</si>
  <si>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</si>
  <si>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</si>
  <si>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</si>
  <si>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</si>
  <si>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</si>
  <si>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</si>
  <si>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</si>
  <si>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</si>
  <si>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</si>
  <si>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</si>
  <si>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</si>
  <si>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</si>
  <si>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</si>
  <si>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</si>
  <si>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</si>
  <si>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</si>
  <si>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</si>
  <si>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</si>
  <si>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</si>
  <si>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</si>
  <si>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</si>
  <si>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</si>
  <si>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</si>
  <si>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</si>
  <si>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</si>
  <si>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</si>
  <si>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</si>
  <si>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</si>
  <si>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</si>
  <si>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</si>
  <si>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</si>
  <si>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</si>
  <si>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</si>
  <si>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</si>
  <si>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</si>
  <si>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</si>
  <si>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</si>
  <si>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</si>
  <si>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</si>
  <si>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</si>
  <si>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</si>
  <si>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</si>
  <si>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</si>
  <si>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</si>
  <si>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</si>
  <si>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</si>
  <si>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</si>
  <si>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</si>
  <si>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</si>
  <si>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</si>
  <si>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</si>
  <si>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</si>
  <si>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</si>
  <si>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</si>
  <si>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</si>
  <si>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</si>
  <si>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</si>
  <si>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</si>
  <si>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</si>
  <si>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</si>
  <si>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</si>
  <si>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</si>
  <si>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</si>
  <si>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</si>
  <si>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</si>
  <si>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</si>
  <si>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</si>
  <si>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</si>
  <si>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</si>
  <si>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</si>
  <si>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</si>
  <si>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</si>
  <si>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</si>
  <si>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</si>
  <si>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</si>
  <si>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</si>
  <si>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</si>
  <si>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</si>
  <si>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</si>
  <si>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</si>
  <si>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</si>
  <si>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</si>
  <si>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</si>
  <si>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</si>
  <si>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</si>
  <si>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</si>
  <si>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</si>
  <si>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</si>
  <si>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</si>
  <si>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</si>
  <si>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</si>
  <si>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</si>
  <si>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</si>
  <si>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</si>
  <si>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</si>
  <si>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</si>
  <si>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</si>
  <si>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</si>
  <si>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</si>
  <si>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</si>
  <si>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</si>
  <si>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</si>
  <si>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</si>
  <si>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</si>
  <si>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</si>
  <si>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</si>
  <si>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</si>
  <si>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</si>
  <si>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</si>
  <si>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</si>
  <si>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</si>
  <si>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</si>
  <si>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</si>
  <si>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</si>
  <si>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</si>
  <si>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</si>
  <si>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</si>
  <si>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</si>
  <si>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</si>
  <si>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</si>
  <si>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</si>
  <si>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</si>
  <si>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</si>
  <si>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</si>
  <si>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</si>
  <si>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</si>
  <si>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</si>
  <si>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</si>
  <si>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</si>
  <si>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</si>
  <si>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</si>
  <si>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</si>
  <si>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</si>
  <si>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</si>
  <si>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</si>
  <si>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</si>
  <si>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</si>
  <si>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</si>
  <si>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</si>
  <si>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</si>
  <si>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</si>
  <si>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</si>
  <si>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</si>
  <si>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</si>
  <si>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</si>
  <si>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</si>
  <si>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</si>
  <si>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</si>
  <si>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</si>
  <si>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</si>
  <si>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</si>
  <si>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</si>
  <si>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</si>
  <si>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</si>
  <si>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</si>
  <si>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</si>
  <si>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</si>
  <si>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</si>
  <si>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</si>
  <si>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</si>
  <si>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</si>
  <si>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</si>
  <si>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</si>
  <si>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</si>
  <si>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</si>
  <si>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</si>
  <si>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</si>
  <si>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</si>
  <si>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</si>
  <si>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</si>
  <si>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</si>
  <si>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</si>
  <si>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</si>
  <si>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</si>
  <si>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</si>
  <si>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</si>
  <si>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</si>
  <si>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</si>
  <si>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</si>
  <si>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</si>
  <si>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</si>
  <si>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</si>
  <si>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</si>
  <si>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</si>
  <si>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</si>
  <si>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</si>
  <si>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</si>
  <si>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</si>
  <si>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</si>
  <si>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</si>
  <si>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</si>
  <si>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</si>
  <si>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</si>
  <si>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</si>
  <si>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</si>
  <si>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</si>
  <si>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</si>
  <si>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</si>
  <si>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</si>
  <si>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</si>
  <si>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</si>
  <si>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</si>
  <si>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</si>
  <si>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</si>
  <si>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</si>
  <si>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</si>
  <si>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</si>
  <si>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</si>
  <si>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</si>
  <si>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</si>
  <si>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</si>
  <si>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</si>
  <si>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</si>
  <si>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</si>
  <si>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</si>
  <si>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</si>
  <si>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</si>
  <si>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</si>
  <si>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</si>
  <si>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</si>
  <si>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</si>
  <si>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</si>
  <si>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</si>
  <si>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</si>
  <si>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</si>
  <si>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</si>
  <si>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</si>
  <si>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</si>
  <si>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</si>
  <si>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</si>
  <si>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</si>
  <si>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</si>
  <si>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</si>
  <si>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</si>
  <si>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</si>
  <si>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</si>
  <si>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</si>
  <si>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</si>
  <si>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</si>
  <si>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</si>
  <si>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</si>
  <si>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</si>
  <si>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</si>
  <si>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</si>
  <si>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</si>
  <si>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</si>
  <si>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</si>
  <si>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</si>
  <si>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</si>
  <si>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</si>
  <si>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</si>
  <si>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</si>
  <si>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</si>
  <si>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</si>
  <si>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</si>
  <si>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</si>
  <si>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</si>
  <si>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</si>
  <si>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</si>
  <si>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</si>
  <si>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</si>
  <si>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</si>
  <si>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</si>
  <si>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</si>
  <si>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</si>
  <si>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</si>
  <si>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</si>
  <si>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</si>
  <si>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</si>
  <si>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</si>
  <si>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</si>
  <si>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</si>
  <si>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</si>
  <si>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</si>
  <si>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</si>
  <si>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</si>
  <si>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</si>
  <si>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</si>
  <si>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</si>
  <si>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</si>
  <si>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</si>
  <si>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</si>
  <si>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</si>
  <si>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</si>
  <si>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</si>
  <si>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</si>
  <si>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</si>
  <si>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</si>
  <si>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</si>
  <si>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</si>
  <si>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</si>
  <si>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</si>
  <si>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</si>
  <si>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</si>
  <si>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</si>
  <si>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</si>
  <si>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</si>
  <si>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</si>
  <si>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</si>
  <si>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</si>
  <si>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</si>
  <si>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</si>
  <si>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</si>
  <si>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</si>
  <si>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</si>
  <si>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</si>
  <si>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</si>
  <si>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</si>
  <si>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</si>
  <si>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</si>
  <si>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</si>
  <si>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</si>
  <si>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</si>
  <si>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</si>
  <si>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</si>
  <si>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</si>
  <si>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</si>
  <si>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</si>
  <si>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</si>
  <si>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</si>
  <si>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</si>
  <si>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</si>
  <si>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</si>
  <si>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</si>
  <si>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</si>
  <si>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</si>
  <si>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</si>
  <si>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</si>
  <si>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</si>
  <si>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</si>
  <si>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</si>
  <si>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</si>
  <si>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</si>
  <si>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</si>
  <si>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</si>
  <si>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</si>
  <si>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</si>
  <si>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</si>
  <si>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</si>
  <si>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</si>
  <si>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</si>
  <si>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</si>
  <si>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</si>
  <si>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</si>
  <si>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</si>
  <si>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</si>
  <si>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</si>
  <si>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</si>
  <si>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</si>
  <si>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</si>
  <si>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</si>
  <si>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</si>
  <si>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</si>
  <si>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</si>
  <si>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</si>
  <si>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</si>
  <si>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</si>
  <si>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</si>
  <si>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</si>
  <si>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</si>
  <si>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</si>
  <si>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</si>
  <si>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</si>
  <si>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</si>
  <si>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</si>
  <si>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</si>
  <si>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</si>
  <si>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</si>
  <si>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</si>
  <si>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</si>
  <si>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</si>
  <si>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</si>
  <si>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</si>
  <si>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</si>
  <si>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</si>
  <si>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</si>
  <si>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</si>
  <si>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</si>
  <si>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</si>
  <si>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</si>
  <si>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</si>
  <si>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</si>
  <si>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</si>
  <si>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</si>
  <si>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</si>
  <si>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</si>
  <si>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</si>
  <si>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</si>
  <si>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</si>
  <si>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</si>
  <si>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</si>
  <si>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</si>
  <si>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</si>
  <si>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</si>
  <si>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</si>
  <si>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</si>
  <si>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</si>
  <si>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</si>
  <si>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</si>
  <si>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</si>
  <si>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</si>
  <si>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</si>
  <si>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</si>
  <si>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</si>
  <si>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</si>
  <si>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</si>
  <si>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</si>
  <si>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</si>
  <si>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</si>
  <si>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</si>
  <si>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</si>
  <si>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</si>
  <si>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</si>
  <si>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</si>
  <si>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</si>
  <si>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</si>
  <si>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</si>
  <si>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</si>
  <si>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</si>
  <si>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</si>
  <si>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</si>
  <si>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</si>
  <si>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</si>
  <si>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</si>
  <si>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</si>
  <si>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</si>
  <si>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</si>
  <si>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</si>
  <si>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</si>
  <si>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</si>
  <si>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</si>
  <si>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</si>
  <si>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</si>
  <si>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</si>
  <si>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</si>
  <si>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</si>
  <si>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</si>
  <si>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</si>
  <si>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</si>
  <si>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</si>
  <si>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</si>
  <si>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</si>
  <si>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</si>
  <si>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</si>
  <si>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</si>
  <si>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</si>
  <si>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</si>
  <si>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</si>
  <si>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</si>
  <si>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</si>
  <si>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</si>
  <si>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</si>
  <si>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</si>
  <si>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</si>
  <si>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</si>
  <si>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</si>
  <si>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</si>
  <si>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</si>
  <si>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</si>
  <si>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</si>
  <si>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</si>
  <si>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</si>
  <si>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</si>
  <si>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</si>
  <si>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</si>
  <si>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</si>
  <si>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</si>
  <si>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</si>
  <si>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</si>
  <si>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</si>
  <si>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</si>
  <si>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</si>
  <si>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</si>
  <si>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</si>
  <si>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</si>
  <si>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</si>
  <si>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</si>
  <si>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</si>
  <si>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</si>
  <si>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</si>
  <si>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</si>
  <si>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</si>
  <si>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</si>
  <si>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</si>
  <si>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</si>
  <si>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</si>
  <si>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</si>
  <si>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</si>
  <si>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</si>
  <si>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</si>
  <si>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</si>
  <si>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</si>
  <si>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</si>
  <si>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</si>
  <si>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</si>
  <si>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</si>
  <si>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</si>
  <si>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</si>
  <si>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</si>
  <si>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</si>
  <si>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</si>
  <si>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</si>
  <si>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</si>
  <si>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</si>
  <si>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</si>
  <si>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</si>
  <si>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</si>
  <si>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</si>
  <si>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</si>
  <si>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</si>
  <si>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</si>
  <si>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</si>
  <si>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</si>
  <si>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</si>
  <si>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</si>
  <si>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</si>
  <si>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</si>
  <si>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</si>
  <si>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</si>
  <si>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</si>
  <si>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</si>
  <si>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</si>
  <si>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</si>
  <si>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</si>
  <si>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</si>
  <si>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</si>
  <si>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</si>
  <si>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</si>
  <si>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</si>
  <si>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</si>
  <si>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</si>
  <si>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</si>
  <si>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</si>
  <si>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</si>
  <si>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</si>
  <si>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</si>
  <si>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</si>
  <si>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</si>
  <si>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</si>
  <si>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</si>
  <si>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</si>
  <si>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</si>
  <si>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</si>
  <si>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</si>
  <si>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</si>
  <si>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</si>
  <si>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</si>
  <si>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</si>
  <si>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</si>
  <si>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</si>
  <si>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</si>
  <si>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</si>
  <si>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</si>
  <si>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</si>
  <si>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</si>
  <si>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</si>
  <si>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</si>
  <si>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</si>
  <si>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</si>
  <si>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</si>
  <si>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</si>
  <si>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</si>
  <si>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</si>
  <si>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</si>
  <si>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</si>
  <si>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</si>
  <si>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</si>
  <si>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</si>
  <si>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</si>
  <si>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</si>
  <si>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</si>
  <si>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</si>
  <si>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</si>
  <si>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</si>
  <si>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</si>
  <si>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</si>
  <si>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</si>
  <si>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</si>
  <si>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</si>
  <si>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</si>
  <si>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</si>
  <si>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</si>
  <si>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</si>
  <si>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</si>
  <si>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</si>
  <si>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</si>
  <si>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</si>
  <si>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</si>
  <si>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</si>
  <si>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</si>
  <si>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</si>
  <si>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</si>
  <si>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</si>
  <si>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</si>
  <si>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</si>
  <si>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</si>
  <si>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</si>
  <si>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</si>
  <si>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</si>
  <si>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</si>
  <si>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</si>
  <si>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</si>
  <si>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</si>
  <si>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</si>
  <si>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</si>
  <si>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</si>
  <si>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</si>
  <si>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</si>
  <si>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</si>
  <si>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</si>
  <si>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</si>
  <si>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</si>
  <si>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</si>
  <si>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</si>
  <si>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</si>
  <si>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</si>
  <si>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</si>
  <si>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</si>
  <si>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</si>
  <si>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</si>
  <si>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</si>
  <si>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</si>
  <si>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</si>
  <si>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</si>
  <si>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</si>
  <si>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</si>
  <si>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</si>
  <si>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</si>
  <si>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</si>
  <si>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</si>
  <si>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</si>
  <si>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</si>
  <si>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</si>
  <si>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</si>
  <si>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</si>
  <si>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</si>
  <si>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</si>
  <si>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</si>
  <si>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</si>
  <si>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</si>
  <si>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</si>
  <si>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</si>
  <si>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</si>
  <si>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</si>
  <si>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</si>
  <si>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</si>
  <si>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</si>
  <si>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</si>
  <si>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</si>
  <si>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</si>
  <si>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</si>
  <si>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</si>
  <si>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</si>
  <si>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</si>
  <si>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</si>
  <si>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</si>
  <si>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</si>
  <si>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</si>
  <si>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</si>
  <si>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</si>
  <si>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</si>
  <si>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</si>
  <si>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</si>
  <si>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</si>
  <si>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</si>
  <si>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</si>
  <si>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</si>
  <si>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</si>
  <si>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</si>
  <si>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</si>
  <si>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</si>
  <si>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</si>
  <si>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</si>
  <si>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</si>
  <si>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</si>
  <si>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</si>
  <si>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</si>
  <si>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</si>
  <si>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</si>
  <si>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</si>
  <si>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</si>
  <si>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</si>
  <si>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</si>
  <si>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</si>
  <si>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</si>
  <si>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</si>
  <si>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</si>
  <si>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</si>
  <si>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</si>
  <si>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</si>
  <si>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</si>
  <si>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</si>
  <si>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</si>
  <si>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</si>
  <si>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</si>
  <si>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</si>
  <si>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</si>
  <si>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</si>
  <si>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</si>
  <si>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</si>
  <si>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</si>
  <si>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</si>
  <si>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</si>
  <si>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</si>
  <si>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</si>
  <si>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</si>
  <si>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</si>
  <si>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</si>
  <si>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</si>
  <si>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</si>
  <si>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</si>
  <si>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</si>
  <si>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</si>
  <si>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</si>
  <si>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</si>
  <si>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</si>
  <si>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</si>
  <si>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</si>
  <si>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</si>
  <si>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</si>
  <si>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</si>
  <si>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</si>
  <si>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</si>
  <si>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</si>
  <si>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</si>
  <si>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</si>
  <si>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</si>
  <si>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</si>
  <si>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</si>
  <si>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</si>
  <si>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</si>
  <si>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</si>
  <si>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</si>
  <si>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</si>
  <si>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</si>
  <si>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</si>
  <si>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</si>
  <si>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</si>
  <si>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</si>
  <si>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</si>
  <si>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</si>
  <si>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</si>
  <si>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</si>
  <si>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</si>
  <si>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</si>
  <si>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</si>
  <si>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</si>
  <si>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</si>
  <si>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</si>
  <si>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</si>
  <si>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</si>
  <si>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</si>
  <si>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</si>
  <si>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</si>
  <si>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</si>
  <si>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</si>
  <si>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</si>
  <si>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</si>
  <si>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</si>
  <si>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</si>
  <si>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</si>
  <si>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</si>
  <si>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</si>
  <si>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</si>
  <si>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</si>
  <si>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</si>
  <si>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</si>
  <si>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</si>
  <si>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</si>
  <si>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</si>
  <si>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</si>
  <si>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</si>
  <si>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</si>
  <si>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</si>
  <si>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</si>
  <si>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</si>
  <si>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</si>
  <si>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</si>
  <si>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</si>
  <si>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</si>
  <si>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</si>
  <si>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</si>
  <si>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</si>
  <si>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</si>
  <si>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</si>
  <si>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</si>
  <si>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</si>
  <si>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</si>
  <si>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</si>
  <si>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</si>
  <si>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</si>
  <si>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</si>
  <si>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</si>
  <si>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</si>
  <si>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</si>
  <si>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</si>
  <si>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</si>
  <si>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</si>
  <si>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</si>
  <si>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</si>
  <si>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</si>
  <si>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</si>
  <si>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</si>
  <si>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</si>
  <si>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</si>
  <si>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</si>
  <si>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</si>
  <si>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</si>
  <si>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</si>
  <si>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</si>
  <si>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</si>
  <si>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</si>
  <si>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</si>
  <si>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</si>
  <si>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</si>
  <si>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</si>
  <si>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</si>
  <si>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</si>
  <si>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</si>
  <si>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</si>
  <si>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</si>
  <si>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</si>
  <si>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</si>
  <si>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</si>
  <si>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</si>
  <si>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</si>
  <si>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</si>
  <si>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</si>
  <si>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</si>
  <si>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</si>
  <si>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</si>
  <si>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</si>
  <si>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</si>
  <si>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</si>
  <si>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</si>
  <si>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</si>
  <si>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</si>
  <si>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</si>
  <si>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</si>
  <si>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</si>
  <si>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</si>
  <si>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</si>
  <si>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</si>
  <si>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</si>
  <si>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</si>
  <si>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</si>
  <si>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</si>
  <si>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</si>
  <si>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</si>
  <si>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</si>
  <si>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</si>
  <si>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</si>
  <si>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</si>
  <si>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</si>
  <si>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</si>
  <si>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</si>
  <si>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</si>
  <si>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</si>
  <si>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</si>
  <si>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</si>
  <si>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</si>
  <si>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</si>
  <si>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</si>
  <si>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</si>
  <si>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</si>
  <si>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</si>
  <si>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</si>
  <si>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</si>
  <si>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</si>
  <si>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</si>
  <si>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</si>
  <si>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</si>
  <si>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</si>
  <si>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</si>
  <si>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</si>
  <si>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</si>
  <si>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</si>
  <si>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</si>
  <si>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</si>
  <si>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</si>
  <si>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</si>
  <si>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</si>
  <si>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</si>
  <si>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</si>
  <si>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</si>
  <si>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</si>
  <si>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</si>
  <si>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</si>
  <si>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</si>
  <si>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</si>
  <si>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</si>
  <si>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</si>
  <si>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</si>
  <si>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</si>
  <si>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</si>
  <si>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</si>
  <si>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</si>
  <si>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</si>
  <si>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</si>
  <si>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</si>
  <si>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</si>
  <si>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</si>
  <si>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</si>
  <si>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</si>
  <si>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</si>
  <si>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</si>
  <si>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</si>
  <si>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</si>
  <si>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</si>
  <si>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</si>
  <si>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</si>
  <si>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</si>
  <si>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</si>
  <si>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</si>
  <si>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</si>
  <si>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</si>
  <si>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</si>
  <si>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</si>
  <si>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</si>
  <si>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</si>
  <si>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</si>
  <si>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</si>
  <si>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</si>
  <si>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</si>
  <si>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</si>
  <si>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</si>
  <si>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</si>
  <si>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</si>
  <si>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</si>
  <si>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</si>
  <si>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</si>
  <si>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</si>
  <si>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</si>
  <si>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</si>
  <si>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</si>
  <si>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</si>
  <si>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</si>
  <si>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</si>
  <si>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</si>
  <si>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</si>
  <si>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</si>
  <si>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</si>
  <si>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</si>
  <si>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</si>
  <si>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</si>
  <si>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</si>
  <si>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</si>
  <si>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</si>
  <si>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</si>
  <si>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</si>
  <si>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</si>
  <si>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</si>
  <si>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</si>
  <si>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</si>
  <si>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</si>
  <si>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</si>
  <si>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</si>
  <si>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</si>
  <si>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</si>
  <si>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</si>
  <si>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</si>
  <si>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</si>
  <si>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</si>
  <si>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</si>
  <si>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</si>
  <si>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</si>
  <si>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</si>
  <si>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</si>
  <si>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</si>
  <si>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</si>
  <si>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</si>
  <si>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</si>
  <si>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</si>
  <si>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</si>
  <si>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</si>
  <si>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</si>
  <si>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</si>
  <si>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</si>
  <si>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</si>
  <si>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</si>
  <si>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</si>
  <si>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</si>
  <si>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</si>
  <si>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</si>
  <si>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</si>
  <si>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</si>
  <si>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</si>
  <si>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</si>
  <si>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</si>
  <si>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</si>
  <si>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</si>
  <si>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</si>
  <si>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</si>
  <si>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</si>
  <si>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</si>
  <si>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</si>
  <si>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</si>
  <si>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</si>
  <si>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</si>
  <si>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</si>
  <si>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</si>
  <si>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</si>
  <si>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</si>
  <si>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</si>
  <si>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</si>
  <si>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</si>
  <si>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</si>
  <si>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</si>
  <si>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</si>
  <si>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</si>
  <si>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</si>
  <si>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</si>
  <si>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</si>
  <si>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</si>
  <si>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</si>
  <si>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</si>
  <si>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</si>
  <si>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</si>
  <si>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</si>
  <si>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</si>
  <si>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</si>
  <si>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</si>
  <si>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</si>
  <si>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</si>
  <si>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</si>
  <si>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</si>
  <si>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</si>
  <si>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</si>
  <si>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</si>
  <si>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</si>
  <si>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</si>
  <si>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</si>
  <si>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</si>
  <si>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</si>
  <si>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</si>
  <si>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</si>
  <si>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</si>
  <si>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</si>
  <si>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</si>
  <si>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</si>
  <si>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</si>
  <si>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</si>
  <si>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</si>
  <si>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</si>
  <si>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</si>
  <si>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</si>
  <si>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</si>
  <si>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</si>
  <si>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</si>
  <si>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</si>
  <si>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</si>
  <si>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</si>
  <si>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</si>
  <si>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</si>
  <si>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</si>
  <si>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</si>
  <si>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</si>
  <si>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</si>
  <si>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</si>
  <si>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</si>
  <si>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</si>
  <si>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</si>
  <si>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</si>
  <si>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</si>
  <si>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</si>
  <si>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</si>
  <si>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</si>
  <si>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</si>
  <si>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</si>
  <si>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</si>
  <si>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</si>
  <si>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</si>
  <si>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</si>
  <si>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</si>
  <si>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</si>
  <si>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</si>
  <si>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</si>
  <si>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</si>
  <si>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</si>
  <si>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</si>
  <si>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</si>
  <si>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</si>
  <si>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</si>
  <si>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</si>
  <si>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</si>
  <si>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</si>
  <si>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</si>
  <si>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</si>
  <si>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</si>
  <si>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</si>
  <si>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</si>
  <si>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</si>
  <si>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</si>
  <si>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</si>
  <si>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</si>
  <si>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</si>
  <si>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</si>
  <si>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</si>
  <si>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</si>
  <si>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</si>
  <si>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</si>
  <si>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</si>
  <si>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</si>
  <si>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</si>
  <si>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</si>
  <si>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</si>
  <si>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</si>
  <si>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</si>
  <si>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</si>
  <si>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</si>
  <si>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</si>
  <si>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</si>
  <si>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</si>
  <si>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</si>
  <si>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</si>
  <si>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</si>
  <si>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</si>
  <si>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</si>
  <si>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</si>
  <si>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</si>
  <si>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</si>
  <si>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</si>
  <si>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</si>
  <si>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</si>
  <si>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</si>
  <si>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</si>
  <si>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</si>
  <si>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</si>
  <si>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</si>
  <si>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</si>
  <si>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</si>
  <si>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</si>
  <si>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</si>
  <si>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</si>
  <si>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</si>
  <si>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</si>
  <si>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</si>
  <si>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</si>
  <si>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</si>
  <si>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</si>
  <si>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</si>
  <si>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</si>
  <si>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</si>
  <si>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</si>
  <si>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</si>
  <si>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</si>
  <si>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</si>
  <si>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</si>
  <si>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</si>
  <si>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</si>
  <si>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</si>
  <si>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</si>
  <si>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</si>
  <si>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</si>
  <si>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</si>
  <si>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</si>
  <si>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</si>
  <si>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</si>
  <si>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</si>
  <si>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</si>
  <si>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</si>
  <si>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</si>
  <si>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</si>
  <si>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</si>
  <si>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</si>
  <si>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</si>
  <si>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</si>
  <si>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</si>
  <si>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</si>
  <si>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</si>
  <si>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</si>
  <si>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</si>
  <si>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</si>
  <si>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</si>
  <si>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</si>
  <si>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</si>
  <si>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</si>
  <si>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</si>
  <si>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</si>
  <si>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</si>
  <si>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</si>
  <si>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</si>
  <si>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</si>
  <si>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</si>
  <si>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</si>
  <si>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</si>
  <si>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</si>
  <si>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</si>
  <si>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</si>
  <si>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</si>
  <si>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</si>
  <si>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</si>
  <si>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</si>
  <si>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</si>
  <si>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</si>
  <si>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</si>
  <si>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</si>
  <si>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</si>
  <si>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</si>
  <si>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</si>
  <si>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</si>
  <si>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</si>
  <si>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</si>
  <si>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</si>
  <si>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</si>
  <si>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</si>
  <si>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</si>
  <si>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</si>
  <si>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</si>
  <si>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</si>
  <si>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</si>
  <si>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</si>
  <si>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</si>
  <si>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</si>
  <si>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</si>
  <si>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</si>
  <si>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</si>
  <si>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</si>
  <si>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</si>
  <si>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</si>
  <si>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</si>
  <si>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</si>
  <si>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</si>
  <si>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</si>
  <si>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</si>
  <si>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</si>
  <si>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</si>
  <si>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</si>
  <si>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</si>
  <si>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</si>
  <si>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</si>
  <si>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</si>
  <si>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</si>
  <si>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</si>
  <si>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</si>
  <si>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</si>
  <si>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</si>
  <si>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</si>
  <si>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</si>
  <si>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</si>
  <si>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</si>
  <si>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</si>
  <si>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</si>
  <si>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</si>
  <si>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</si>
  <si>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</si>
  <si>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</si>
  <si>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</si>
  <si>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</si>
  <si>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</si>
  <si>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</si>
  <si>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</si>
  <si>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</si>
  <si>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</si>
  <si>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</si>
  <si>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</si>
  <si>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</si>
  <si>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</si>
  <si>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</si>
  <si>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</si>
  <si>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</si>
  <si>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</si>
  <si>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</si>
  <si>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</si>
  <si>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</si>
  <si>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</si>
  <si>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</si>
  <si>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</si>
  <si>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</si>
  <si>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</si>
  <si>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</si>
  <si>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</si>
  <si>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</si>
  <si>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</si>
  <si>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</si>
  <si>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</si>
  <si>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</si>
  <si>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</si>
  <si>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</si>
  <si>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</si>
  <si>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</si>
  <si>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</si>
  <si>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</si>
  <si>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</si>
  <si>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</si>
  <si>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</si>
  <si>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</si>
  <si>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</si>
  <si>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</si>
  <si>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</si>
  <si>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</si>
  <si>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</si>
  <si>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</si>
  <si>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</si>
  <si>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</si>
  <si>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</si>
  <si>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</si>
  <si>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</si>
  <si>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</si>
  <si>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</si>
  <si>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</si>
  <si>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</si>
  <si>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</si>
  <si>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</si>
  <si>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</si>
  <si>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</si>
  <si>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</si>
  <si>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</si>
  <si>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</si>
  <si>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</si>
  <si>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</si>
  <si>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</si>
  <si>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</si>
  <si>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</si>
  <si>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</si>
  <si>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</si>
  <si>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</si>
  <si>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</si>
  <si>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</si>
  <si>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</si>
  <si>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</si>
  <si>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</si>
  <si>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</si>
  <si>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</si>
  <si>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</si>
  <si>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</si>
  <si>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</si>
  <si>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</si>
  <si>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</si>
  <si>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</si>
  <si>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</si>
  <si>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</si>
  <si>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</si>
  <si>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</si>
  <si>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</si>
  <si>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</si>
  <si>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</si>
  <si>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</si>
  <si>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</si>
  <si>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</si>
  <si>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</si>
  <si>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</si>
  <si>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</si>
  <si>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</si>
  <si>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</si>
  <si>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</si>
  <si>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</si>
  <si>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</si>
  <si>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</si>
  <si>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</si>
  <si>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</si>
  <si>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</si>
  <si>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</si>
  <si>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</si>
  <si>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</si>
  <si>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</si>
  <si>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</si>
  <si>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</si>
  <si>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</si>
  <si>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</si>
  <si>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</si>
  <si>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</si>
  <si>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</si>
  <si>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</si>
  <si>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</si>
  <si>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</si>
  <si>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</si>
  <si>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</si>
  <si>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</si>
  <si>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</si>
  <si>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</si>
  <si>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</si>
  <si>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</si>
  <si>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</si>
  <si>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</si>
  <si>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</si>
  <si>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</si>
  <si>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</si>
  <si>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</si>
  <si>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</si>
  <si>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</si>
  <si>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</si>
  <si>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</si>
  <si>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</si>
  <si>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</si>
  <si>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</si>
  <si>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</si>
  <si>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</si>
  <si>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</si>
  <si>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</si>
  <si>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</si>
  <si>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</si>
  <si>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</si>
  <si>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</si>
  <si>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</si>
  <si>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</si>
  <si>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</si>
  <si>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</si>
  <si>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</si>
  <si>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</si>
  <si>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</si>
  <si>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</si>
  <si>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</si>
  <si>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</si>
  <si>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</si>
  <si>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</si>
  <si>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</si>
  <si>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</si>
  <si>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</si>
  <si>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</si>
  <si>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</si>
  <si>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</si>
  <si>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</si>
  <si>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</si>
  <si>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</si>
  <si>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</si>
  <si>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</si>
  <si>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</si>
  <si>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</si>
  <si>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</si>
  <si>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</si>
  <si>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</si>
  <si>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</si>
  <si>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</si>
  <si>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</si>
  <si>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</si>
  <si>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</si>
  <si>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</si>
  <si>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</si>
  <si>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</si>
  <si>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</si>
  <si>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</si>
  <si>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Ⅶ-亦1</t>
  </si>
  <si>
    <t>工业</t>
    <phoneticPr fontId="3" type="noConversion"/>
  </si>
  <si>
    <t>是</t>
  </si>
  <si>
    <t>地上</t>
  </si>
  <si>
    <t>成新度</t>
  </si>
  <si>
    <t>收益法</t>
  </si>
  <si>
    <t>押一</t>
  </si>
  <si>
    <t>钢混</t>
  </si>
  <si>
    <t>生产用房</t>
  </si>
  <si>
    <t>否</t>
  </si>
  <si>
    <t>估价对象容积率</t>
  </si>
  <si>
    <t>不临65条商业街</t>
  </si>
  <si>
    <t>与级别开发程度一致</t>
  </si>
  <si>
    <t>较好</t>
  </si>
  <si>
    <t>一般</t>
  </si>
  <si>
    <t>未包含在土地购买价格中</t>
  </si>
  <si>
    <t>全部缴纳</t>
  </si>
  <si>
    <t>已包含在土地取得成本中</t>
  </si>
  <si>
    <t>成本法</t>
  </si>
  <si>
    <t>楼号</t>
    <phoneticPr fontId="134" type="noConversion"/>
  </si>
  <si>
    <t>建筑面积</t>
    <phoneticPr fontId="134" type="noConversion"/>
  </si>
  <si>
    <t>规划用途</t>
    <phoneticPr fontId="134" type="noConversion"/>
  </si>
  <si>
    <t>机修车间</t>
    <phoneticPr fontId="134" type="noConversion"/>
  </si>
  <si>
    <t>现状用途</t>
    <phoneticPr fontId="134" type="noConversion"/>
  </si>
  <si>
    <t>锅炉房、浴室</t>
    <phoneticPr fontId="134" type="noConversion"/>
  </si>
  <si>
    <t>生产车间</t>
    <phoneticPr fontId="134" type="noConversion"/>
  </si>
  <si>
    <t>生产车间、办公</t>
    <phoneticPr fontId="134" type="noConversion"/>
  </si>
  <si>
    <t>宿舍</t>
    <phoneticPr fontId="134" type="noConversion"/>
  </si>
  <si>
    <t>职工食堂</t>
    <phoneticPr fontId="134" type="noConversion"/>
  </si>
  <si>
    <t>合计</t>
    <phoneticPr fontId="134"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</si>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</sst>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0" borderId="1" xfId="0" applyFont="1" applyBorder="1" applyAlignment="1" applyProtection="1">
      <alignment horizontal="center" vertical="center" wrapText="1"/>
      <protection locked="0"/>
    </xf>
    <xf numFmtId="0" fontId="0" fillId="0" borderId="1" xfId="0"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457200</xdr:colOff>
      <xdr:row>24</xdr:row>
      <xdr:rowOff>105548</xdr:rowOff>
    </xdr:to>
    <xdr:pic>
      <xdr:nvPicPr>
        <xdr:cNvPr id="2" name="图片 1">
          <a:extLst>
            <a:ext uri="{FF2B5EF4-FFF2-40B4-BE49-F238E27FC236}">
              <a16:creationId xmlns:a16="http://schemas.microsoft.com/office/drawing/2014/main" id="{9D4DB2BA-C69F-9446-5D82-AB7E69A9A09A}"/>
            </a:ext>
          </a:extLst>
        </xdr:cNvPr>
        <xdr:cNvPicPr>
          <a:picLocks noChangeAspect="1"/>
        </xdr:cNvPicPr>
      </xdr:nvPicPr>
      <xdr:blipFill>
        <a:blip xmlns:r="http://schemas.openxmlformats.org/officeDocument/2006/relationships" r:embed="rId1"/>
        <a:stretch>
          <a:fillRect/>
        </a:stretch>
      </xdr:blipFill>
      <xdr:spPr>
        <a:xfrm>
          <a:off x="0" y="0"/>
          <a:ext cx="12115800" cy="4220348"/>
        </a:xfrm>
        <a:prstGeom prst="rect">
          <a:avLst/>
        </a:prstGeom>
      </xdr:spPr>
    </xdr:pic>
    <xdr:clientData/>
  </xdr:twoCellAnchor>
  <xdr:twoCellAnchor editAs="oneCell">
    <xdr:from>
      <xdr:col>17</xdr:col>
      <xdr:colOff>657225</xdr:colOff>
      <xdr:row>0</xdr:row>
      <xdr:rowOff>0</xdr:rowOff>
    </xdr:from>
    <xdr:to>
      <xdr:col>22</xdr:col>
      <xdr:colOff>361558</xdr:colOff>
      <xdr:row>15</xdr:row>
      <xdr:rowOff>9202</xdr:rowOff>
    </xdr:to>
    <xdr:pic>
      <xdr:nvPicPr>
        <xdr:cNvPr id="3" name="图片 2">
          <a:extLst>
            <a:ext uri="{FF2B5EF4-FFF2-40B4-BE49-F238E27FC236}">
              <a16:creationId xmlns:a16="http://schemas.microsoft.com/office/drawing/2014/main" id="{0CECD70B-3AD7-6852-F41B-4AC4496033B8}"/>
            </a:ext>
          </a:extLst>
        </xdr:cNvPr>
        <xdr:cNvPicPr>
          <a:picLocks noChangeAspect="1"/>
        </xdr:cNvPicPr>
      </xdr:nvPicPr>
      <xdr:blipFill>
        <a:blip xmlns:r="http://schemas.openxmlformats.org/officeDocument/2006/relationships" r:embed="rId2"/>
        <a:stretch>
          <a:fillRect/>
        </a:stretch>
      </xdr:blipFill>
      <xdr:spPr>
        <a:xfrm>
          <a:off x="12315825" y="0"/>
          <a:ext cx="3133333" cy="25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估价对象为北京市房地产，为所有。根据《国有土地使用证》[]，估价对象（分摊）出让国有建设用地使用权面积为15133.56平方米，建筑面积为15367.93平方米。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估价对象为北京市房地产,属开发建设的，该项目尚在开发建设中。根据《国有土地使用证》[]，估价对象（分摊）出让国有建设用地使用权面积为15133.56平方米，规划建筑面积为15367.93平方米。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2025年7月7日</v>
      </c>
    </row>
    <row r="13" spans="1:2">
      <c r="A13" s="1119" t="s">
        <v>529</v>
      </c>
      <c r="B13" s="1120" t="str">
        <f>'预评函-1'!A18</f>
        <v>本次估价的“房地产价值”是指在正常市场情况下，在价值时点2025年7月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8650</v>
      </c>
    </row>
    <row r="21" spans="1:2">
      <c r="A21" s="1119" t="s">
        <v>537</v>
      </c>
      <c r="B21" s="1120">
        <f ca="1">'预评函-2'!D7</f>
        <v>5629</v>
      </c>
    </row>
    <row r="22" spans="1:2">
      <c r="A22" s="1119" t="s">
        <v>538</v>
      </c>
      <c r="B22" s="1120" t="str">
        <f ca="1">'预评函-2'!D6</f>
        <v>捌仟陆佰伍拾万元整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8650</v>
      </c>
    </row>
    <row r="31" spans="1:2">
      <c r="A31" s="1119" t="s">
        <v>576</v>
      </c>
      <c r="B31" s="1120">
        <f ca="1">'预评函-2'!D15</f>
        <v>5629</v>
      </c>
    </row>
    <row r="32" spans="1:2">
      <c r="A32" s="1119" t="s">
        <v>543</v>
      </c>
      <c r="B32" s="1120" t="str">
        <f ca="1">'预评函-2'!D14</f>
        <v>捌仟陆佰伍拾万元整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15367.93</v>
      </c>
    </row>
    <row r="44" spans="1:2">
      <c r="A44" s="1119" t="s">
        <v>575</v>
      </c>
      <c r="B44" s="1120" t="str">
        <f>'预评函-3'!C2</f>
        <v>(分摊)土地面积</v>
      </c>
    </row>
    <row r="45" spans="1:2">
      <c r="A45" s="1119" t="s">
        <v>547</v>
      </c>
      <c r="B45" s="1120">
        <f>'预评函-3'!C4</f>
        <v>15133.56</v>
      </c>
    </row>
    <row r="46" spans="1:2">
      <c r="A46" s="1119" t="s">
        <v>573</v>
      </c>
      <c r="B46" s="1120" t="str">
        <f>'预评函-3'!D2</f>
        <v>出让国有建设用地使用权价值</v>
      </c>
    </row>
    <row r="47" spans="1:2">
      <c r="A47" s="1119" t="s">
        <v>548</v>
      </c>
      <c r="B47" s="1120">
        <f ca="1">'预评函-3'!D4</f>
        <v>3979</v>
      </c>
    </row>
    <row r="48" spans="1:2">
      <c r="A48" s="1119" t="s">
        <v>549</v>
      </c>
      <c r="B48" s="1120">
        <f ca="1">'预评函-3'!E4</f>
        <v>2590</v>
      </c>
    </row>
    <row r="49" spans="1:2">
      <c r="A49" s="1119" t="s">
        <v>550</v>
      </c>
      <c r="B49" s="1120" t="str">
        <f ca="1">'预评函-3'!D5</f>
        <v>叁仟玖佰柒拾玖万元整</v>
      </c>
    </row>
    <row r="50" spans="1:2">
      <c r="A50" s="1119" t="s">
        <v>574</v>
      </c>
      <c r="B50" s="1120" t="str">
        <f>'预评函-3'!F2</f>
        <v>在建建筑物价值</v>
      </c>
    </row>
    <row r="51" spans="1:2">
      <c r="A51" s="1119" t="s">
        <v>551</v>
      </c>
      <c r="B51" s="1120">
        <f ca="1">'预评函-3'!F4</f>
        <v>4671</v>
      </c>
    </row>
    <row r="52" spans="1:2">
      <c r="A52" s="1119" t="s">
        <v>552</v>
      </c>
      <c r="B52" s="1120">
        <f ca="1">'预评函-3'!G4</f>
        <v>3039</v>
      </c>
    </row>
    <row r="53" spans="1:2">
      <c r="A53" s="1119" t="s">
        <v>580</v>
      </c>
      <c r="B53" s="1120" t="str">
        <f ca="1">'预评函-3'!F5</f>
        <v>肆仟陆佰柒拾壹万元整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3398</v>
      </c>
      <c r="AA1" s="1438" t="s">
        <v>3397</v>
      </c>
      <c r="AB1" s="1438" t="s">
        <v>3</v>
      </c>
    </row>
    <row r="2" spans="1:28">
      <c r="A2" s="1441" t="s">
        <v>19</v>
      </c>
      <c r="B2" s="1441" t="s">
        <v>993</v>
      </c>
      <c r="C2" s="1442" t="s">
        <v>315</v>
      </c>
      <c r="D2" s="1443" t="s">
        <v>994</v>
      </c>
      <c r="E2" s="1443" t="s">
        <v>995</v>
      </c>
      <c r="F2" s="1443" t="s">
        <v>996</v>
      </c>
      <c r="G2" s="1443">
        <v>20</v>
      </c>
      <c r="H2" s="1443" t="s">
        <v>996</v>
      </c>
      <c r="I2" s="1443" t="s">
        <v>3328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2430</v>
      </c>
      <c r="Y2" s="1445" t="s">
        <v>3405</v>
      </c>
      <c r="Z2" s="1445" t="s">
        <v>2443</v>
      </c>
      <c r="AA2" s="1445" t="s">
        <v>3406</v>
      </c>
      <c r="AB2" s="1445" t="s">
        <v>2470</v>
      </c>
    </row>
    <row r="3" spans="1:28">
      <c r="A3" s="1441" t="s">
        <v>1001</v>
      </c>
      <c r="B3" s="1444" t="s">
        <v>448</v>
      </c>
      <c r="C3" s="1442" t="s">
        <v>316</v>
      </c>
      <c r="D3" s="1443" t="s">
        <v>1002</v>
      </c>
      <c r="E3" s="1443" t="s">
        <v>13</v>
      </c>
      <c r="F3" s="1443" t="s">
        <v>1003</v>
      </c>
      <c r="G3" s="1443">
        <v>40</v>
      </c>
      <c r="H3" s="1443" t="s">
        <v>1003</v>
      </c>
      <c r="I3" s="1443" t="s">
        <v>3329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2432</v>
      </c>
      <c r="Z3" s="1445" t="s">
        <v>2445</v>
      </c>
      <c r="AB3" s="1445" t="s">
        <v>2472</v>
      </c>
    </row>
    <row r="4" spans="1:28">
      <c r="A4" s="1441" t="s">
        <v>1008</v>
      </c>
      <c r="B4" s="1441" t="s">
        <v>1009</v>
      </c>
      <c r="C4" s="1442" t="s">
        <v>317</v>
      </c>
      <c r="D4" s="1443" t="s">
        <v>389</v>
      </c>
      <c r="E4" s="1443" t="s">
        <v>1010</v>
      </c>
      <c r="F4" s="1443" t="s">
        <v>1011</v>
      </c>
      <c r="G4" s="1443">
        <v>50</v>
      </c>
      <c r="H4" s="1443" t="s">
        <v>1011</v>
      </c>
      <c r="I4" s="1443" t="s">
        <v>3330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2434</v>
      </c>
      <c r="Z4" s="1445" t="s">
        <v>2447</v>
      </c>
      <c r="AB4" s="1445" t="s">
        <v>2474</v>
      </c>
    </row>
    <row r="5" spans="1:28">
      <c r="A5" s="1441" t="s">
        <v>1014</v>
      </c>
      <c r="B5" s="1441" t="s">
        <v>1015</v>
      </c>
      <c r="C5" s="1442" t="s">
        <v>318</v>
      </c>
      <c r="F5" s="1443" t="s">
        <v>1016</v>
      </c>
      <c r="G5" s="1443">
        <v>70</v>
      </c>
      <c r="H5" s="1443" t="s">
        <v>1017</v>
      </c>
      <c r="I5" s="1443" t="s">
        <v>3331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2436</v>
      </c>
      <c r="Z5" s="1445" t="s">
        <v>2449</v>
      </c>
      <c r="AB5" s="1445" t="s">
        <v>3407</v>
      </c>
    </row>
    <row r="6" spans="1:28">
      <c r="A6" s="1441" t="s">
        <v>1020</v>
      </c>
      <c r="B6" s="1444" t="s">
        <v>449</v>
      </c>
      <c r="C6" s="1446" t="s">
        <v>24</v>
      </c>
      <c r="F6" s="1443" t="s">
        <v>1017</v>
      </c>
      <c r="H6" s="1443" t="s">
        <v>1021</v>
      </c>
      <c r="I6" s="1443" t="s">
        <v>3332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2438</v>
      </c>
      <c r="Z6" s="1445" t="s">
        <v>2451</v>
      </c>
      <c r="AB6" s="1445" t="s">
        <v>2477</v>
      </c>
    </row>
    <row r="7" spans="1:28">
      <c r="A7" s="1441" t="s">
        <v>1023</v>
      </c>
      <c r="B7" s="1444" t="s">
        <v>450</v>
      </c>
      <c r="C7" s="1442" t="s">
        <v>25</v>
      </c>
      <c r="F7" s="1443" t="s">
        <v>1024</v>
      </c>
      <c r="H7" s="1443" t="s">
        <v>1025</v>
      </c>
      <c r="I7" s="1443" t="s">
        <v>3333</v>
      </c>
      <c r="X7" s="1445" t="s">
        <v>2440</v>
      </c>
      <c r="Z7" s="1445" t="s">
        <v>2453</v>
      </c>
      <c r="AB7" s="1445" t="s">
        <v>2479</v>
      </c>
    </row>
    <row r="8" spans="1:28">
      <c r="A8" s="1441" t="s">
        <v>1026</v>
      </c>
      <c r="B8" s="1441" t="s">
        <v>1027</v>
      </c>
      <c r="C8" s="1442" t="s">
        <v>319</v>
      </c>
      <c r="F8" s="1443" t="s">
        <v>1028</v>
      </c>
      <c r="H8" s="1443" t="s">
        <v>2568</v>
      </c>
      <c r="I8" s="1443" t="s">
        <v>3334</v>
      </c>
      <c r="X8" s="1445" t="s">
        <v>3408</v>
      </c>
      <c r="Z8" s="1445" t="s">
        <v>2455</v>
      </c>
      <c r="AB8" s="1445" t="s">
        <v>2481</v>
      </c>
    </row>
    <row r="9" spans="1:28">
      <c r="A9" s="1441" t="s">
        <v>1029</v>
      </c>
      <c r="B9" s="1441" t="s">
        <v>1030</v>
      </c>
      <c r="C9" s="1442" t="s">
        <v>320</v>
      </c>
      <c r="F9" s="1443" t="s">
        <v>1031</v>
      </c>
      <c r="H9" s="1443"/>
      <c r="I9" s="1445" t="s">
        <v>3335</v>
      </c>
      <c r="X9" s="1445" t="s">
        <v>3409</v>
      </c>
      <c r="Z9" s="1445" t="s">
        <v>2457</v>
      </c>
      <c r="AB9" s="1445" t="s">
        <v>2483</v>
      </c>
    </row>
    <row r="10" spans="1:28">
      <c r="A10" s="1441" t="s">
        <v>1032</v>
      </c>
      <c r="B10" s="1441" t="s">
        <v>1033</v>
      </c>
      <c r="C10" s="1442" t="s">
        <v>321</v>
      </c>
      <c r="F10" s="1443" t="s">
        <v>2569</v>
      </c>
      <c r="I10" s="1445" t="s">
        <v>3336</v>
      </c>
      <c r="Z10" s="1445" t="s">
        <v>2459</v>
      </c>
      <c r="AB10" s="1445" t="s">
        <v>2485</v>
      </c>
    </row>
    <row r="11" spans="1:28">
      <c r="A11" s="1441" t="s">
        <v>1034</v>
      </c>
      <c r="B11" s="1441" t="s">
        <v>1035</v>
      </c>
      <c r="C11" s="1442" t="s">
        <v>322</v>
      </c>
      <c r="F11" s="1443" t="s">
        <v>13</v>
      </c>
      <c r="I11" s="1445" t="s">
        <v>3337</v>
      </c>
      <c r="Z11" s="1445" t="s">
        <v>2461</v>
      </c>
      <c r="AB11" s="1445" t="s">
        <v>2487</v>
      </c>
    </row>
    <row r="12" spans="1:28">
      <c r="A12" s="1441" t="s">
        <v>1036</v>
      </c>
      <c r="B12" s="1441" t="s">
        <v>1037</v>
      </c>
      <c r="C12" s="1442" t="s">
        <v>323</v>
      </c>
      <c r="I12" s="1445" t="s">
        <v>3338</v>
      </c>
      <c r="Z12" s="1445" t="s">
        <v>2463</v>
      </c>
      <c r="AB12" s="1445" t="s">
        <v>2489</v>
      </c>
    </row>
    <row r="13" spans="1:28">
      <c r="A13" s="1441" t="s">
        <v>1038</v>
      </c>
      <c r="B13" s="1441" t="s">
        <v>1039</v>
      </c>
      <c r="C13" s="1442" t="s">
        <v>324</v>
      </c>
      <c r="I13" s="1445" t="s">
        <v>3339</v>
      </c>
      <c r="Z13" s="1445" t="s">
        <v>2465</v>
      </c>
    </row>
    <row r="14" spans="1:28">
      <c r="A14" s="1441" t="s">
        <v>1040</v>
      </c>
      <c r="B14" s="1441" t="s">
        <v>1041</v>
      </c>
      <c r="C14" s="1443" t="s">
        <v>13</v>
      </c>
      <c r="I14" s="1445" t="s">
        <v>3340</v>
      </c>
      <c r="Z14" s="1445" t="s">
        <v>2467</v>
      </c>
    </row>
    <row r="15" spans="1:28">
      <c r="A15" s="1441" t="s">
        <v>1042</v>
      </c>
      <c r="B15" s="1441" t="s">
        <v>1043</v>
      </c>
      <c r="C15" s="1442"/>
      <c r="I15" s="1445" t="s">
        <v>3341</v>
      </c>
    </row>
    <row r="16" spans="1:28">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2"/>
      <c r="B54" s="1447" t="s">
        <v>385</v>
      </c>
      <c r="C54" s="1445" t="s">
        <v>583</v>
      </c>
    </row>
    <row r="55" spans="1:4">
      <c r="A55" s="3212"/>
      <c r="B55" s="1447" t="s">
        <v>386</v>
      </c>
      <c r="C55" s="1445" t="s">
        <v>584</v>
      </c>
    </row>
    <row r="56" spans="1:4">
      <c r="A56" s="3212"/>
      <c r="B56" s="1447" t="s">
        <v>387</v>
      </c>
      <c r="C56" s="1445" t="s">
        <v>588</v>
      </c>
    </row>
    <row r="57" spans="1:4">
      <c r="A57" s="321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13" t="s">
        <v>2571</v>
      </c>
      <c r="J2" s="3213"/>
      <c r="K2" s="3213"/>
      <c r="L2" s="3213"/>
      <c r="M2" s="3213"/>
      <c r="N2" s="3213"/>
      <c r="O2" s="3213"/>
      <c r="P2" s="3213"/>
      <c r="Q2" s="3213"/>
      <c r="R2" s="3213"/>
    </row>
    <row r="3" spans="1:18">
      <c r="A3" s="2763" t="s">
        <v>2492</v>
      </c>
      <c r="B3" s="2764">
        <f>项目基本情况!D3</f>
        <v>45845</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1.45</v>
      </c>
      <c r="D5" s="2768">
        <f>IF(ISERROR(ROUND(POWER(1+E5,A5-C5)*(POWER(1+E5,C5)-1)/(POWER(1+E5,A5)-1),3)),0,ROUND(POWER(1+E5,A5-C5)*(POWER(1+E5,C5)-1)/(POWER(1+E5,A5)-1),4))</f>
        <v>6.9800000000000001E-2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11.46</v>
      </c>
      <c r="D6" s="2768">
        <f>IF(ISERROR(ROUND(POWER(1+E6,A6-C6)*(POWER(1+E6,C6)-1)/(POWER(1+E6,A6)-1),3)),0,ROUND(POWER(1+E6,A6-C6)*(POWER(1+E6,C6)-1)/(POWER(1+E6,A6)-1),4))</f>
        <v>0.42130000000000001</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31.47</v>
      </c>
      <c r="D7" s="2768">
        <f>IF(ISERROR(ROUND(POWER(1+E7,A7-C7)*(POWER(1+E7,C7)-1)/(POWER(1+E7,A7)-1),3)),0,ROUND(POWER(1+E7,A7-C7)*(POWER(1+E7,C7)-1)/(POWER(1+E7,A7)-1),4))</f>
        <v>0.75760000000000005</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3378</v>
      </c>
    </row>
    <row r="50" spans="1:4">
      <c r="A50" s="3145" t="s">
        <v>3379</v>
      </c>
      <c r="B50" s="3145" t="s">
        <v>3380</v>
      </c>
      <c r="C50" s="3145" t="s">
        <v>3381</v>
      </c>
      <c r="D50" s="3145" t="s">
        <v>3382</v>
      </c>
    </row>
    <row r="51" spans="1:4">
      <c r="A51" s="3145" t="s">
        <v>3383</v>
      </c>
      <c r="B51" s="2765">
        <f>B52+B53</f>
        <v>15000</v>
      </c>
      <c r="C51" s="3146">
        <f>D51/B51</f>
        <v>2666.6666666666665</v>
      </c>
      <c r="D51" s="2765">
        <f>D52+D53</f>
        <v>40000000</v>
      </c>
    </row>
    <row r="52" spans="1:4">
      <c r="A52" s="3147" t="s">
        <v>3384</v>
      </c>
      <c r="B52" s="3148">
        <v>10000</v>
      </c>
      <c r="C52" s="3148">
        <v>1500</v>
      </c>
      <c r="D52" s="3149">
        <f>C52*B52</f>
        <v>15000000</v>
      </c>
    </row>
    <row r="53" spans="1:4">
      <c r="A53" s="3147" t="s">
        <v>3385</v>
      </c>
      <c r="B53" s="3148">
        <v>5000</v>
      </c>
      <c r="C53" s="3148">
        <v>5000</v>
      </c>
      <c r="D53" s="3149">
        <f>C53*B53</f>
        <v>25000000</v>
      </c>
    </row>
    <row r="54" spans="1:4">
      <c r="A54" s="3145" t="s">
        <v>3386</v>
      </c>
      <c r="B54" s="2765">
        <f>B51</f>
        <v>15000</v>
      </c>
      <c r="C54" s="2771">
        <v>700</v>
      </c>
      <c r="D54" s="2765">
        <f t="shared" ref="D54:D55" si="5">C54*B54</f>
        <v>10500000</v>
      </c>
    </row>
    <row r="55" spans="1:4">
      <c r="A55" s="3145" t="s">
        <v>3387</v>
      </c>
      <c r="B55" s="2765">
        <f>B51</f>
        <v>15000</v>
      </c>
      <c r="C55" s="2771">
        <v>1500</v>
      </c>
      <c r="D55" s="2765">
        <f t="shared" si="5"/>
        <v>22500000</v>
      </c>
    </row>
    <row r="56" spans="1:4">
      <c r="A56" s="3145" t="s">
        <v>3388</v>
      </c>
      <c r="B56" s="2765">
        <f>B51</f>
        <v>15000</v>
      </c>
      <c r="C56" s="3150">
        <f>C51+C54+C55</f>
        <v>4866.6666666666661</v>
      </c>
      <c r="D56" s="2765">
        <f>D51+D54+D55</f>
        <v>73000000</v>
      </c>
    </row>
    <row r="58" spans="1:4">
      <c r="A58" s="3145" t="s">
        <v>3389</v>
      </c>
      <c r="B58" s="3151">
        <v>0.05</v>
      </c>
      <c r="C58" s="2765">
        <f>C56*(1+B58)</f>
        <v>5110</v>
      </c>
      <c r="D58" s="2765">
        <f>D56*B58</f>
        <v>3650000</v>
      </c>
    </row>
    <row r="60" spans="1:4">
      <c r="A60" s="3145" t="s">
        <v>3390</v>
      </c>
      <c r="B60" s="2771">
        <v>3500</v>
      </c>
      <c r="C60" s="2771">
        <f>C53</f>
        <v>5000</v>
      </c>
      <c r="D60" s="2765">
        <f>C60*B60</f>
        <v>17500000</v>
      </c>
    </row>
    <row r="62" spans="1:4">
      <c r="A62" s="3145" t="s">
        <v>3391</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J26" sqref="J26"/>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1" t="str">
        <f>IF(B10="北京市","北京市",C10)&amp;F10&amp;IF(结果表!G1="在建","出让国有建设用地使用权及在建建筑物",IF(结果表!G1="土地","出让国有建设用地使用权",))&amp;B9&amp;"预评估"</f>
        <v>北京市房地产抵押价值预评估</v>
      </c>
      <c r="C1" s="3222"/>
      <c r="D1" s="3222"/>
      <c r="E1" s="3222"/>
      <c r="F1" s="3222"/>
      <c r="G1" s="3222"/>
      <c r="H1" s="3222"/>
      <c r="I1" s="322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45847</v>
      </c>
      <c r="C3" s="2186" t="s">
        <v>2171</v>
      </c>
      <c r="D3" s="2185">
        <v>45845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3410</v>
      </c>
      <c r="C8" s="2201"/>
      <c r="D8" s="3224" t="s">
        <v>2177</v>
      </c>
      <c r="E8" s="2202" t="s">
        <v>3411</v>
      </c>
      <c r="F8" s="2203"/>
      <c r="G8" s="2442"/>
      <c r="H8" s="2442"/>
      <c r="I8" s="2442"/>
      <c r="J8" s="2245"/>
      <c r="K8" s="2400"/>
      <c r="L8" s="2399"/>
      <c r="M8" s="2399"/>
      <c r="N8" s="2245"/>
      <c r="O8" s="1670"/>
      <c r="P8" s="2245"/>
      <c r="Q8" s="2245"/>
      <c r="R8" s="2245"/>
    </row>
    <row r="9" spans="1:30" ht="13.5" thickBot="1">
      <c r="A9" s="2204" t="s">
        <v>2178</v>
      </c>
      <c r="B9" s="2205" t="s">
        <v>3411</v>
      </c>
      <c r="C9" s="2206"/>
      <c r="D9" s="3225"/>
      <c r="E9" s="2205" t="s">
        <v>43</v>
      </c>
      <c r="F9" s="2207"/>
      <c r="G9" s="2443"/>
      <c r="H9" s="2443"/>
      <c r="I9" s="2443"/>
      <c r="J9" s="2245"/>
      <c r="K9" s="2402"/>
      <c r="L9" s="2399"/>
      <c r="M9" s="2399"/>
      <c r="N9" s="2245"/>
      <c r="O9" s="1670"/>
      <c r="P9" s="2245"/>
      <c r="Q9" s="2245"/>
      <c r="R9" s="2245"/>
    </row>
    <row r="10" spans="1:30" ht="13.5" thickTop="1">
      <c r="A10" s="2208" t="s">
        <v>2179</v>
      </c>
      <c r="B10" s="2209" t="s">
        <v>3412</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3413</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c r="E13" s="803"/>
      <c r="F13" s="803"/>
      <c r="G13" s="803"/>
      <c r="H13" s="803">
        <v>58994</v>
      </c>
      <c r="I13" s="803"/>
      <c r="J13" s="2803"/>
      <c r="K13" s="2399"/>
      <c r="L13" s="2399"/>
      <c r="M13" s="2245"/>
      <c r="N13" s="1670"/>
      <c r="O13" s="2245"/>
      <c r="P13" s="2245"/>
      <c r="Q13" s="2245"/>
      <c r="AD13" s="1618"/>
    </row>
    <row r="14" spans="1:30">
      <c r="A14" s="1018"/>
      <c r="B14" s="2218" t="s">
        <v>2191</v>
      </c>
      <c r="C14" s="2219"/>
      <c r="D14" s="2219"/>
      <c r="E14" s="2219"/>
      <c r="F14" s="2219"/>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36.020000000000003</v>
      </c>
      <c r="I15" s="2221" t="str">
        <f>IF(A13="出让",IF(I13="","",ROUNDDOWN(MIN((I13-$D$3)/365,I14),2)),I14)</f>
        <v/>
      </c>
      <c r="J15" s="2805"/>
      <c r="K15" s="1670"/>
      <c r="L15" s="1670"/>
      <c r="M15" s="2245"/>
      <c r="N15" s="1670"/>
      <c r="O15" s="2245"/>
      <c r="P15" s="2245"/>
      <c r="Q15" s="2245"/>
      <c r="AD15" s="1618"/>
    </row>
    <row r="16" spans="1:30">
      <c r="A16" s="2211" t="s">
        <v>2193</v>
      </c>
      <c r="B16" s="3231"/>
      <c r="C16" s="3232"/>
      <c r="D16" s="3233"/>
      <c r="E16" s="2222" t="s">
        <v>2194</v>
      </c>
      <c r="F16" s="3234"/>
      <c r="G16" s="3235"/>
      <c r="H16" s="3235"/>
      <c r="I16" s="3236"/>
      <c r="J16" s="2245"/>
      <c r="K16" s="2403"/>
      <c r="L16" s="1670"/>
      <c r="M16" s="1670"/>
      <c r="N16" s="2245"/>
      <c r="O16" s="1670"/>
      <c r="P16" s="2245"/>
      <c r="Q16" s="2245"/>
      <c r="R16" s="2245"/>
    </row>
    <row r="17" spans="1:28">
      <c r="A17" s="305" t="s">
        <v>2195</v>
      </c>
      <c r="B17" s="294" t="s">
        <v>2196</v>
      </c>
      <c r="C17" s="8">
        <f>'数据-汇总表'!E3</f>
        <v>15367.93</v>
      </c>
      <c r="D17" s="1256" t="s">
        <v>2197</v>
      </c>
      <c r="E17" s="3237" t="s">
        <v>2198</v>
      </c>
      <c r="F17" s="3238"/>
      <c r="G17" s="3238"/>
      <c r="H17" s="3238"/>
      <c r="I17" s="3239"/>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15133.56</v>
      </c>
      <c r="D18" s="1029" t="s">
        <v>2201</v>
      </c>
      <c r="E18" s="3240" t="s">
        <v>2202</v>
      </c>
      <c r="F18" s="3241"/>
      <c r="G18" s="3241"/>
      <c r="H18" s="3241"/>
      <c r="I18" s="3242"/>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7" t="s">
        <v>2206</v>
      </c>
      <c r="C20" s="3228"/>
      <c r="D20" s="3229" t="s">
        <v>2207</v>
      </c>
      <c r="E20" s="3230"/>
      <c r="F20" s="2430" t="s">
        <v>1056</v>
      </c>
      <c r="G20" s="2442"/>
      <c r="H20" s="2442"/>
      <c r="I20" s="2442"/>
      <c r="J20" s="2245"/>
      <c r="K20" s="322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2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2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5"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5"/>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5"/>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6"/>
      <c r="B30" s="294" t="s">
        <v>2218</v>
      </c>
      <c r="C30" s="3217"/>
      <c r="D30" s="3218"/>
      <c r="E30" s="2442"/>
      <c r="F30" s="2442"/>
      <c r="G30" s="2442"/>
      <c r="H30" s="2442"/>
      <c r="I30" s="2442"/>
      <c r="J30" s="2245"/>
      <c r="K30" s="2402"/>
      <c r="L30" s="2399"/>
      <c r="M30" s="2399"/>
      <c r="N30" s="2245"/>
      <c r="O30" s="1670"/>
      <c r="P30" s="2245"/>
      <c r="Q30" s="2245"/>
      <c r="R30" s="2245"/>
      <c r="S30" s="2245"/>
      <c r="T30" s="2245"/>
      <c r="U30" s="2245"/>
      <c r="V30" s="2245"/>
    </row>
    <row r="31" spans="1:28">
      <c r="A31" s="3219"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4" t="s">
        <v>2228</v>
      </c>
      <c r="T34" s="315" t="str">
        <f>NUMBERSTRING(7-K34,1)&amp;"通"</f>
        <v>七通</v>
      </c>
      <c r="U34" s="2245"/>
      <c r="V34" s="2245"/>
    </row>
    <row r="35" spans="1:30">
      <c r="A35" s="2236"/>
      <c r="B35" s="3214" t="s">
        <v>2229</v>
      </c>
      <c r="C35" s="3214"/>
      <c r="D35" s="3214"/>
      <c r="E35" s="321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4"/>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304</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3414</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8" sqref="L18"/>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15133.56</v>
      </c>
      <c r="B3" s="11">
        <f>IF(C3="否",G5-AT5,G5)</f>
        <v>15367.93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15367.93</v>
      </c>
      <c r="H5" s="13">
        <f t="shared" ref="H5:AT5" si="0">SUM(H13:H656)</f>
        <v>15367.93</v>
      </c>
      <c r="I5" s="13">
        <f t="shared" si="0"/>
        <v>15367.93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15367.93</v>
      </c>
      <c r="BA5" s="15">
        <f t="shared" si="1"/>
        <v>15367.93</v>
      </c>
      <c r="BB5" s="15">
        <f t="shared" si="1"/>
        <v>15367.93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15133.56</v>
      </c>
      <c r="F6" s="13" t="s">
        <v>0</v>
      </c>
      <c r="G6" s="13" t="s">
        <v>1</v>
      </c>
      <c r="H6" s="17">
        <f>SUMIF(I$12:AB$12,"总值",I6:AB6)</f>
        <v>15133.56</v>
      </c>
      <c r="I6" s="13">
        <f t="shared" ref="I6:AB6" si="2">ROUND($A$3*I5/$B$3,2)</f>
        <v>15133.56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15133.56</v>
      </c>
      <c r="AZ6" s="13" t="s">
        <v>2</v>
      </c>
      <c r="BA6" s="13">
        <f>ROUND($AY$6*BA5/$AZ$5,2)</f>
        <v>15133.56</v>
      </c>
      <c r="BB6" s="13">
        <f>ROUND($AY$6*BB5/$AZ$5,2)</f>
        <v>15133.56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70" t="s">
        <v>3415</v>
      </c>
      <c r="D13" s="1513" t="s">
        <v>3416</v>
      </c>
      <c r="E13" s="13">
        <f>IF($C$3="是",ROUND($A$3*G13/$B$3,2),ROUND($A$3*(G13-AT13)/$B$3,2))</f>
        <v>15133.56</v>
      </c>
      <c r="F13" s="29"/>
      <c r="G13" s="30">
        <f>H13+AC13+AT13</f>
        <v>15367.93</v>
      </c>
      <c r="H13" s="17">
        <f>SUMIF(I$12:AB$12,"总值",I13:AB13)</f>
        <v>15367.93</v>
      </c>
      <c r="I13" s="1514">
        <v>15367.93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工业</v>
      </c>
      <c r="AY13" s="1260">
        <f>ROUND($AY$6*AZ13/$AZ$5,2)</f>
        <v>15133.56</v>
      </c>
      <c r="AZ13" s="13">
        <f>BA13+BL13</f>
        <v>15367.93</v>
      </c>
      <c r="BA13" s="13">
        <f>SUM(BB13:BK13)</f>
        <v>15367.93</v>
      </c>
      <c r="BB13" s="13">
        <f>IF($D13="是",I13-J13,0)</f>
        <v>15367.93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A133A-A60E-4990-A33F-0D7197862878}">
  <dimension ref="I26:L31"/>
  <sheetViews>
    <sheetView workbookViewId="0">
      <selection activeCell="N28" sqref="N28"/>
    </sheetView>
  </sheetViews>
  <sheetFormatPr defaultRowHeight="13.5"/>
  <sheetData>
    <row r="26" spans="9:12">
      <c r="I26" s="1429" t="s">
        <v>3433</v>
      </c>
      <c r="J26" s="1429" t="s">
        <v>3434</v>
      </c>
      <c r="K26" s="1429" t="s">
        <v>3435</v>
      </c>
      <c r="L26" s="1429" t="s">
        <v>3437</v>
      </c>
    </row>
    <row r="27" spans="9:12">
      <c r="I27" s="3171">
        <v>1</v>
      </c>
      <c r="J27" s="3171">
        <v>467.26</v>
      </c>
      <c r="K27" s="1429" t="s">
        <v>3436</v>
      </c>
      <c r="L27" s="1429" t="s">
        <v>3438</v>
      </c>
    </row>
    <row r="28" spans="9:12">
      <c r="I28" s="3171">
        <v>2</v>
      </c>
      <c r="J28" s="3171">
        <v>9096.61</v>
      </c>
      <c r="K28" s="1429" t="s">
        <v>3439</v>
      </c>
      <c r="L28" s="1429" t="s">
        <v>3440</v>
      </c>
    </row>
    <row r="29" spans="9:12">
      <c r="I29" s="3171">
        <v>3</v>
      </c>
      <c r="J29" s="3171">
        <v>5213.8900000000003</v>
      </c>
      <c r="K29" s="1429" t="s">
        <v>3439</v>
      </c>
      <c r="L29" s="1429" t="s">
        <v>3441</v>
      </c>
    </row>
    <row r="30" spans="9:12">
      <c r="I30" s="3171">
        <v>4</v>
      </c>
      <c r="J30" s="3171">
        <v>590.16999999999996</v>
      </c>
      <c r="K30" s="1429" t="s">
        <v>3442</v>
      </c>
      <c r="L30" s="1429" t="s">
        <v>3442</v>
      </c>
    </row>
    <row r="31" spans="9:12">
      <c r="I31" s="1429" t="s">
        <v>3443</v>
      </c>
      <c r="J31" s="3171">
        <f>SUM(J27:J30)</f>
        <v>15367.930000000002</v>
      </c>
      <c r="K31" s="3171"/>
      <c r="L31" s="3171"/>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2" t="s">
        <v>1131</v>
      </c>
      <c r="B2" s="3252"/>
      <c r="C2" s="3252"/>
      <c r="D2" s="748" t="s">
        <v>1107</v>
      </c>
      <c r="E2" s="1523" t="s">
        <v>1108</v>
      </c>
      <c r="F2" s="2439"/>
      <c r="G2" s="2432"/>
      <c r="H2" s="2433"/>
      <c r="I2" s="2146" t="s">
        <v>1132</v>
      </c>
      <c r="J2" s="2439"/>
      <c r="K2" s="2439"/>
      <c r="L2" s="2439"/>
      <c r="M2" s="2439"/>
      <c r="N2" s="2440"/>
      <c r="O2" s="2439"/>
      <c r="P2" s="2439"/>
    </row>
    <row r="3" spans="1:16" ht="15.75" thickBot="1">
      <c r="A3" s="3253" t="s">
        <v>1105</v>
      </c>
      <c r="B3" s="3253"/>
      <c r="C3" s="3253"/>
      <c r="D3" s="41">
        <f>'数据-基础表'!AY6</f>
        <v>15133.56</v>
      </c>
      <c r="E3" s="41">
        <f>'数据-基础表'!AZ5</f>
        <v>15367.93</v>
      </c>
      <c r="F3" s="2439"/>
      <c r="G3" s="42"/>
      <c r="H3" s="43" t="s">
        <v>1106</v>
      </c>
      <c r="I3" s="802">
        <f>ROUND('数据-基础表'!B3/'数据-基础表'!A3,2)</f>
        <v>1.02</v>
      </c>
      <c r="J3" s="2439"/>
      <c r="K3" s="2439"/>
      <c r="L3" s="2439"/>
      <c r="M3" s="2439"/>
      <c r="N3" s="2440"/>
      <c r="O3" s="2439"/>
      <c r="P3" s="2439"/>
    </row>
    <row r="4" spans="1:16" ht="15">
      <c r="A4" s="3254"/>
      <c r="B4" s="3255"/>
      <c r="C4" s="3256"/>
      <c r="D4" s="1524" t="s">
        <v>1107</v>
      </c>
      <c r="E4" s="1525" t="s">
        <v>1108</v>
      </c>
      <c r="F4" s="2439"/>
      <c r="G4" s="2434" t="s">
        <v>1133</v>
      </c>
      <c r="H4" s="43" t="s">
        <v>1113</v>
      </c>
      <c r="I4" s="802">
        <f>ROUND(SUMIF('数据-基础表'!I9:AS9,"地上",'数据-基础表'!I5:AS5)/'数据-基础表'!A3,2)</f>
        <v>1.02</v>
      </c>
      <c r="J4" s="2439"/>
      <c r="K4" s="2439"/>
      <c r="L4" s="2439"/>
      <c r="M4" s="2439"/>
      <c r="N4" s="2440"/>
      <c r="O4" s="2439"/>
      <c r="P4" s="2439"/>
    </row>
    <row r="5" spans="1:16">
      <c r="A5" s="42" t="s">
        <v>1109</v>
      </c>
      <c r="B5" s="3257" t="s">
        <v>1110</v>
      </c>
      <c r="C5" s="3257"/>
      <c r="D5" s="43">
        <f>ROUND($D$3*E5/$E$3,2)</f>
        <v>0</v>
      </c>
      <c r="E5" s="44">
        <f>SUMIF('数据-基础表'!$11:$11,"住宅",'数据-基础表'!$5:$5)</f>
        <v>0</v>
      </c>
      <c r="F5" s="2439"/>
      <c r="G5" s="42"/>
      <c r="H5" s="43" t="s">
        <v>1106</v>
      </c>
      <c r="I5" s="802">
        <f>ROUND(E31/D31,2)</f>
        <v>1.02</v>
      </c>
      <c r="J5" s="2439"/>
      <c r="K5" s="2439"/>
      <c r="L5" s="2439"/>
      <c r="M5" s="2439"/>
      <c r="N5" s="2439"/>
      <c r="O5" s="2439"/>
      <c r="P5" s="2439"/>
    </row>
    <row r="6" spans="1:16" ht="15" thickBot="1">
      <c r="A6" s="1527"/>
      <c r="B6" s="3257" t="s">
        <v>1111</v>
      </c>
      <c r="C6" s="3257"/>
      <c r="D6" s="43">
        <f>ROUND($D$3*E6/$E$3,2)</f>
        <v>15133.56</v>
      </c>
      <c r="E6" s="44">
        <f>E3-E5</f>
        <v>15367.93</v>
      </c>
      <c r="F6" s="2439"/>
      <c r="G6" s="1529" t="s">
        <v>1112</v>
      </c>
      <c r="H6" s="45" t="s">
        <v>1113</v>
      </c>
      <c r="I6" s="2435">
        <f>ROUND(F31/D31,2)</f>
        <v>1.02</v>
      </c>
      <c r="J6" s="2439"/>
      <c r="K6" s="2439"/>
      <c r="L6" s="2439"/>
      <c r="M6" s="2439"/>
      <c r="N6" s="2439"/>
      <c r="O6" s="2439"/>
      <c r="P6" s="2439"/>
    </row>
    <row r="7" spans="1:16" ht="15.75" thickBot="1">
      <c r="A7" s="3249"/>
      <c r="B7" s="3250"/>
      <c r="C7" s="3251"/>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15133.56</v>
      </c>
      <c r="E8" s="46">
        <f>SUMIF('数据-基础表'!BB10:BK10,"地上",'数据-基础表'!BB5:BK5)</f>
        <v>15367.93</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15133.56</v>
      </c>
      <c r="E16" s="48">
        <f>SUM(E8:E15)</f>
        <v>15367.93</v>
      </c>
      <c r="F16" s="2439"/>
      <c r="G16" s="2439"/>
      <c r="H16" s="1531" t="s">
        <v>1135</v>
      </c>
      <c r="I16" s="1532"/>
      <c r="J16" s="1071"/>
      <c r="K16" s="3246" t="s">
        <v>1135</v>
      </c>
      <c r="L16" s="3247"/>
      <c r="M16" s="3247"/>
      <c r="N16" s="3247"/>
      <c r="O16" s="3247"/>
      <c r="P16" s="3248"/>
    </row>
    <row r="17" spans="1:19" ht="15">
      <c r="A17" s="1533" t="s">
        <v>1136</v>
      </c>
      <c r="B17" s="1534" t="s">
        <v>1137</v>
      </c>
      <c r="C17" s="1535" t="s">
        <v>1138</v>
      </c>
      <c r="D17" s="1536" t="s">
        <v>1126</v>
      </c>
      <c r="E17" s="1537" t="s">
        <v>1127</v>
      </c>
      <c r="F17" s="1538"/>
      <c r="G17" s="1539"/>
      <c r="H17" s="1540" t="s">
        <v>1139</v>
      </c>
      <c r="I17" s="1541" t="s">
        <v>1124</v>
      </c>
      <c r="J17" s="1071"/>
      <c r="K17" s="3243" t="s">
        <v>1140</v>
      </c>
      <c r="L17" s="3244"/>
      <c r="M17" s="3245"/>
      <c r="N17" s="3243" t="s">
        <v>1141</v>
      </c>
      <c r="O17" s="3244"/>
      <c r="P17" s="324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工业</v>
      </c>
      <c r="D19" s="43">
        <f>ROUND($D$3*E19/$E$3,2)</f>
        <v>15133.56</v>
      </c>
      <c r="E19" s="51">
        <f t="shared" ref="E19:E26" si="1">SUM(F19:G19)</f>
        <v>15367.93</v>
      </c>
      <c r="F19" s="2558">
        <f>'数据-基础表'!I13</f>
        <v>15367.93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15133.56</v>
      </c>
      <c r="S19" s="51">
        <f t="shared" si="5"/>
        <v>15367.93</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15133.56</v>
      </c>
      <c r="E27" s="1073">
        <f>IF(SUM(E19:E26)='数据-基础表'!BA5,SUM(E19:E26),IF(F27="地上面积有误","面积有误","地下面积有误"))</f>
        <v>15367.93</v>
      </c>
      <c r="F27" s="1072">
        <f>IF(SUM(F19:F26)=E8,SUM(F19:F26),"地上面积有误")</f>
        <v>15367.93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15133.56</v>
      </c>
      <c r="S27" s="43">
        <f>IF(SUM(S19:S26)=$E$3,SUM(S19:S26),SUM(S19:S26)&amp;"误差"&amp;ROUND(SUM(S19:S26)-E3,2))</f>
        <v>15367.93</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15133.56</v>
      </c>
      <c r="E31" s="643">
        <f>E27+E30</f>
        <v>15367.93</v>
      </c>
      <c r="F31" s="644">
        <f>F27+F30</f>
        <v>15367.93</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P27" sqref="P2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45845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58994</v>
      </c>
      <c r="F6" s="61">
        <f>SUMIF(项目基本情况!C$12:I$12,C6,项目基本情况!C$15:I$15)</f>
        <v>36.020000000000003</v>
      </c>
      <c r="G6" s="62">
        <f>IF(ISERROR(ROUND(POWER(1+H6,D6-F6)*(POWER(1+H6,F6)-1)/(POWER(1+H6,D6)-1),3)),0,ROUND(POWER(1+H6,D6-F6)*(POWER(1+H6,F6)-1)/(POWER(1+H6,D6)-1),3))</f>
        <v>0.90700000000000003</v>
      </c>
      <c r="H6" s="691">
        <v>0.05</v>
      </c>
      <c r="I6" s="691">
        <v>5.5E-2</v>
      </c>
      <c r="J6" s="63">
        <v>7.0000000000000007E-2</v>
      </c>
      <c r="K6" s="970">
        <f>SUMIF('数据-汇总表'!C$19:C$33,A6,'数据-汇总表'!E$19:E$33)</f>
        <v>15367.93</v>
      </c>
      <c r="L6" s="692">
        <v>3000</v>
      </c>
      <c r="M6" s="64">
        <f t="shared" ref="M6:M14" si="0">ROUND(K6*L6/10000,0)</f>
        <v>4610</v>
      </c>
      <c r="N6" s="690">
        <f>ROUND(1-(2025-2012)/50,2)</f>
        <v>0.74</v>
      </c>
      <c r="O6" s="64" t="str">
        <f>IF($N$5="成新度","——",ROUND(M6*N6,0))</f>
        <v>——</v>
      </c>
      <c r="P6" s="65" t="str">
        <f>IF($N$5="成新度","——",M6-O6)</f>
        <v>——</v>
      </c>
      <c r="Q6" s="693">
        <v>0.1</v>
      </c>
      <c r="R6" s="66">
        <f ca="1">SUMIF('数据-汇总表'!C$19:C$33,A6,'数据-汇总表'!R$19:R$27)</f>
        <v>15133.56</v>
      </c>
      <c r="S6" s="49">
        <f>IF('数据-汇总表'!$I$17="按面积比例",SUMIF('数据-汇总表'!C$19:C$33,A6,'数据-汇总表'!K$19:K$33),SUMIF('数据-汇总表'!C$19:C$33,A6,'数据-汇总表'!N$19:N$33))</f>
        <v>0</v>
      </c>
      <c r="T6" s="1092">
        <f>ROUND($L$14*S6/10000,0)</f>
        <v>0</v>
      </c>
      <c r="U6" s="3127">
        <v>1.1000000000000001</v>
      </c>
      <c r="V6" s="67">
        <v>1.4999999999999999E-2</v>
      </c>
      <c r="W6" s="67">
        <v>0.1</v>
      </c>
      <c r="X6" s="979"/>
      <c r="Y6" s="68">
        <f>N6</f>
        <v>0.74</v>
      </c>
      <c r="Z6" s="69"/>
      <c r="AA6" s="63"/>
      <c r="AB6" s="63"/>
      <c r="AC6" s="979"/>
      <c r="AD6" s="70"/>
      <c r="AE6" s="980">
        <f ca="1">IF(AN6="",0,SUMIF(INDIRECT("'"&amp;AN6&amp;"'"&amp;"!E:E"),$AE$5,INDIRECT("'"&amp;AN6&amp;"'"&amp;"!F:F")))</f>
        <v>36.020000000000003</v>
      </c>
      <c r="AF6" s="74"/>
      <c r="AG6" s="130">
        <f>IF(AF6="",0,AE6-AF6)</f>
        <v>0</v>
      </c>
      <c r="AH6" s="71"/>
      <c r="AI6" s="73">
        <v>365</v>
      </c>
      <c r="AJ6" s="74"/>
      <c r="AK6" s="75">
        <v>2E-3</v>
      </c>
      <c r="AL6" s="76">
        <v>1E-3</v>
      </c>
      <c r="AM6" s="77">
        <v>0.01</v>
      </c>
      <c r="AN6" s="1589" t="s">
        <v>3419</v>
      </c>
      <c r="AO6" s="50">
        <f ca="1">SUMIF(INDIRECT("'"&amp;AN6&amp;"'"&amp;"!A:A"),"总价",INDIRECT("'"&amp;AN6&amp;"'"&amp;"!B:B"))</f>
        <v>8402</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0.90700000000000003</v>
      </c>
      <c r="H16" s="84">
        <f>ROUND(SUMPRODUCT(H6:H13,K6:K13)/SUMPRODUCT((H6:H13&gt;0)*(K6:K13)),3)</f>
        <v>0.05</v>
      </c>
      <c r="I16" s="85"/>
      <c r="J16" s="85"/>
      <c r="K16" s="86">
        <f>SUM(K6:K15)</f>
        <v>15367.93</v>
      </c>
      <c r="L16" s="87">
        <f>ROUND(M16*10000/SUM(K6:K14),0)</f>
        <v>3000</v>
      </c>
      <c r="M16" s="87">
        <f>SUM(M6:M14)</f>
        <v>4610</v>
      </c>
      <c r="N16" s="88">
        <f>ROUND(SUMPRODUCT(M6:M14,N6:N14)/M16,3)</f>
        <v>0.74</v>
      </c>
      <c r="O16" s="87">
        <f>SUM(O6:O14)</f>
        <v>0</v>
      </c>
      <c r="P16" s="87">
        <f>SUM(P6:P14)</f>
        <v>0</v>
      </c>
      <c r="Q16" s="89">
        <f>ROUND(SUMPRODUCT(Q6:Q13,K6:K13)/SUMPRODUCT((Q6:Q13&gt;0)*(K6:K13)),2)</f>
        <v>0.1</v>
      </c>
      <c r="R16" s="974">
        <f ca="1">SUM(R6:R13)</f>
        <v>15133.56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1.5</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1.5</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1.5</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1.5</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307</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3374</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3392</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3375</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3376</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3377</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8" t="s">
        <v>2277</v>
      </c>
      <c r="B1" s="3259"/>
      <c r="C1" s="3259"/>
      <c r="D1" s="3259"/>
      <c r="E1" s="3259"/>
      <c r="F1" s="3259"/>
      <c r="G1" s="325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5" sqref="H3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45845</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0</v>
      </c>
      <c r="C5" s="2300">
        <f ca="1">IF(B5=D14,结果表!H102,ROUND(B5*10000/$B$1,0))</f>
        <v>5629</v>
      </c>
      <c r="D5" s="2300" t="e">
        <f>ROUND(B5*10000/$B$2,0)</f>
        <v>#DIV/0!</v>
      </c>
      <c r="E5" s="2462"/>
      <c r="F5" s="2463"/>
      <c r="G5" s="2463"/>
      <c r="H5" s="2463"/>
      <c r="I5" s="2463"/>
      <c r="J5" s="2463"/>
      <c r="K5" s="2463"/>
    </row>
    <row r="6" spans="1:11" ht="16.5">
      <c r="A6" s="2300" t="s">
        <v>656</v>
      </c>
      <c r="B6" s="2300">
        <f>SUM(G14:G23)</f>
        <v>0</v>
      </c>
      <c r="C6" s="2300">
        <f ca="1">IF(B6=G14,结果表!H108,ROUND(B6*10000/$B$1,0))</f>
        <v>5629</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3347</v>
      </c>
      <c r="D10" s="2300" t="s">
        <v>3348</v>
      </c>
      <c r="E10" s="3137"/>
      <c r="F10" s="3141" t="s">
        <v>3349</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c r="E14" s="2306" t="e">
        <f>ROUND(D14*10000/B14,0)</f>
        <v>#DIV/0!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73" zoomScale="115" zoomScaleNormal="100" zoomScaleSheetLayoutView="115" zoomScalePageLayoutView="80" workbookViewId="0">
      <selection activeCell="G109" sqref="G109"/>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4" t="str">
        <f>项目基本情况!S2</f>
        <v>北京市房地产</v>
      </c>
      <c r="B2" s="3295"/>
      <c r="C2" s="3295"/>
      <c r="D2" s="3295"/>
      <c r="E2" s="3295"/>
      <c r="F2" s="3295"/>
      <c r="G2" s="3295"/>
      <c r="H2" s="3295"/>
      <c r="I2" s="3296"/>
    </row>
    <row r="3" spans="1:12" ht="12.75">
      <c r="A3" s="3298" t="s">
        <v>1264</v>
      </c>
      <c r="B3" s="3299"/>
      <c r="C3" s="3299"/>
      <c r="D3" s="3299"/>
      <c r="E3" s="3299"/>
      <c r="F3" s="3299"/>
      <c r="G3" s="3299"/>
      <c r="H3" s="3299"/>
      <c r="I3" s="3299"/>
    </row>
    <row r="4" spans="1:12" ht="14.25">
      <c r="A4" s="1624" t="s">
        <v>1265</v>
      </c>
      <c r="B4" s="1625" t="s">
        <v>1266</v>
      </c>
      <c r="C4" s="1626" t="s">
        <v>3432</v>
      </c>
      <c r="D4" s="1626" t="s">
        <v>3419</v>
      </c>
      <c r="E4" s="3300" t="s">
        <v>1267</v>
      </c>
      <c r="F4" s="3301"/>
      <c r="G4" s="3301"/>
      <c r="H4" s="3301"/>
      <c r="I4" s="3302"/>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4" t="s">
        <v>1268</v>
      </c>
      <c r="B5" s="3261">
        <v>25</v>
      </c>
      <c r="C5" s="3277"/>
      <c r="D5" s="3297"/>
      <c r="E5" s="123" t="s">
        <v>1269</v>
      </c>
      <c r="F5" s="1627"/>
      <c r="G5" s="1627"/>
      <c r="H5" s="1627"/>
      <c r="I5" s="1281"/>
    </row>
    <row r="6" spans="1:12" ht="12.75">
      <c r="A6" s="3274"/>
      <c r="B6" s="3261"/>
      <c r="C6" s="3278"/>
      <c r="D6" s="3297"/>
      <c r="E6" s="123" t="s">
        <v>1270</v>
      </c>
      <c r="F6" s="1627"/>
      <c r="G6" s="1627"/>
      <c r="H6" s="1627"/>
      <c r="I6" s="1281"/>
    </row>
    <row r="7" spans="1:12" ht="12.75">
      <c r="A7" s="3274"/>
      <c r="B7" s="3261"/>
      <c r="C7" s="3279"/>
      <c r="D7" s="3297"/>
      <c r="E7" s="123" t="s">
        <v>1271</v>
      </c>
      <c r="F7" s="1627"/>
      <c r="G7" s="1627"/>
      <c r="H7" s="1627"/>
      <c r="I7" s="1281"/>
    </row>
    <row r="8" spans="1:12" ht="12.75">
      <c r="A8" s="3274" t="s">
        <v>1272</v>
      </c>
      <c r="B8" s="3261">
        <v>15</v>
      </c>
      <c r="C8" s="3277"/>
      <c r="D8" s="3297"/>
      <c r="E8" s="123" t="s">
        <v>1273</v>
      </c>
      <c r="F8" s="1627"/>
      <c r="G8" s="1627"/>
      <c r="H8" s="1627"/>
      <c r="I8" s="1281"/>
    </row>
    <row r="9" spans="1:12" ht="12.75">
      <c r="A9" s="3274"/>
      <c r="B9" s="3261"/>
      <c r="C9" s="3279"/>
      <c r="D9" s="3297"/>
      <c r="E9" s="123" t="s">
        <v>1274</v>
      </c>
      <c r="F9" s="1627"/>
      <c r="G9" s="1627"/>
      <c r="H9" s="1627"/>
      <c r="I9" s="1281"/>
    </row>
    <row r="10" spans="1:12" ht="12.75">
      <c r="A10" s="3274" t="s">
        <v>1275</v>
      </c>
      <c r="B10" s="3261">
        <v>15</v>
      </c>
      <c r="C10" s="3277"/>
      <c r="D10" s="3297"/>
      <c r="E10" s="123" t="s">
        <v>1276</v>
      </c>
      <c r="F10" s="1627"/>
      <c r="G10" s="1627"/>
      <c r="H10" s="1627"/>
      <c r="I10" s="1281"/>
    </row>
    <row r="11" spans="1:12" ht="12.75">
      <c r="A11" s="3274"/>
      <c r="B11" s="3261"/>
      <c r="C11" s="3279"/>
      <c r="D11" s="3297"/>
      <c r="E11" s="123" t="s">
        <v>1277</v>
      </c>
      <c r="F11" s="1627"/>
      <c r="G11" s="1627"/>
      <c r="H11" s="1627"/>
      <c r="I11" s="1281"/>
    </row>
    <row r="12" spans="1:12" ht="12.75">
      <c r="A12" s="3274" t="s">
        <v>1278</v>
      </c>
      <c r="B12" s="3261">
        <v>15</v>
      </c>
      <c r="C12" s="3277"/>
      <c r="D12" s="3297"/>
      <c r="E12" s="123" t="s">
        <v>1279</v>
      </c>
      <c r="F12" s="1627"/>
      <c r="G12" s="1627"/>
      <c r="H12" s="1627"/>
      <c r="I12" s="1281"/>
    </row>
    <row r="13" spans="1:12" ht="12.75">
      <c r="A13" s="3274"/>
      <c r="B13" s="3261"/>
      <c r="C13" s="3279"/>
      <c r="D13" s="3297"/>
      <c r="E13" s="123" t="s">
        <v>1280</v>
      </c>
      <c r="F13" s="1627"/>
      <c r="G13" s="1627"/>
      <c r="H13" s="1627"/>
      <c r="I13" s="1281"/>
    </row>
    <row r="14" spans="1:12" ht="12.75">
      <c r="A14" s="3274" t="s">
        <v>1281</v>
      </c>
      <c r="B14" s="3261">
        <v>30</v>
      </c>
      <c r="C14" s="3277">
        <v>5</v>
      </c>
      <c r="D14" s="3297">
        <v>5</v>
      </c>
      <c r="E14" s="123" t="s">
        <v>1282</v>
      </c>
      <c r="F14" s="1627"/>
      <c r="G14" s="1627"/>
      <c r="H14" s="1627"/>
      <c r="I14" s="1281"/>
    </row>
    <row r="15" spans="1:12" ht="12.75">
      <c r="A15" s="3274"/>
      <c r="B15" s="3261"/>
      <c r="C15" s="3278"/>
      <c r="D15" s="3297"/>
      <c r="E15" s="123" t="s">
        <v>1283</v>
      </c>
      <c r="F15" s="1627"/>
      <c r="G15" s="1627"/>
      <c r="H15" s="1627"/>
      <c r="I15" s="1281"/>
    </row>
    <row r="16" spans="1:12" ht="12.75">
      <c r="A16" s="3274"/>
      <c r="B16" s="3261"/>
      <c r="C16" s="3279"/>
      <c r="D16" s="3297"/>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84" t="s">
        <v>2131</v>
      </c>
      <c r="F18" s="3285"/>
      <c r="G18" s="3285"/>
      <c r="H18" s="3285"/>
      <c r="I18" s="3285"/>
      <c r="K18" s="294" t="s">
        <v>1289</v>
      </c>
      <c r="L18" s="294">
        <f>IF(C1="",'数据-汇总表'!E3,SUMIF(项目类型,C1,'数据-汇总表'!E17:E26)+SUMIF(项目类型,C1,'数据-汇总表'!I17:I26))</f>
        <v>15367.93</v>
      </c>
      <c r="M18" s="294">
        <f>IF(C1="",'数据-汇总表'!E3,SUMIF(项目类型,C1,'数据-汇总表'!E17:E26))</f>
        <v>15367.93</v>
      </c>
    </row>
    <row r="19" spans="1:36" ht="15">
      <c r="A19" s="1630" t="s">
        <v>1290</v>
      </c>
      <c r="B19" s="1631" t="s">
        <v>1291</v>
      </c>
      <c r="C19" s="126">
        <f ca="1">SUMIF(INDIRECT("'"&amp;C4&amp;"'"&amp;"!A:A"),结果表!B19,INDIRECT("'"&amp;C4&amp;"'"&amp;"!B:B"))</f>
        <v>8897</v>
      </c>
      <c r="D19" s="127">
        <f ca="1">SUMIF(INDIRECT("'"&amp;D4&amp;"'"&amp;"!A:A"),结果表!B19,INDIRECT("'"&amp;D4&amp;"'"&amp;"!B:B"))</f>
        <v>8402</v>
      </c>
      <c r="E19" s="1630" t="s">
        <v>1292</v>
      </c>
      <c r="F19" s="1631" t="s">
        <v>1291</v>
      </c>
      <c r="G19" s="128">
        <f ca="1">ROUND(C19*$C$18+D19*$D$18,0)</f>
        <v>8650</v>
      </c>
      <c r="H19" s="1632" t="s">
        <v>1293</v>
      </c>
      <c r="I19" s="121"/>
      <c r="K19" s="294" t="s">
        <v>1294</v>
      </c>
      <c r="L19" s="294">
        <f>IF(C1="",'数据-汇总表'!D3,SUMIF(项目类型,C1,'数据-汇总表'!D17:D26)+SUMIF(项目类型,C1,'数据-汇总表'!H17:H27))</f>
        <v>15133.56</v>
      </c>
      <c r="M19" s="294">
        <f>IF(C1="",'数据-汇总表'!D3,SUMIF(项目类型,C1,'数据-汇总表'!D17:D26))</f>
        <v>15133.56</v>
      </c>
    </row>
    <row r="20" spans="1:36" ht="15">
      <c r="A20" s="1633"/>
      <c r="B20" s="43" t="s">
        <v>1295</v>
      </c>
      <c r="C20" s="129">
        <f ca="1">SUMIF(INDIRECT("'"&amp;C4&amp;"'"&amp;"!A:A"),结果表!B20,INDIRECT("'"&amp;C4&amp;"'"&amp;"!B:B"))</f>
        <v>5789</v>
      </c>
      <c r="D20" s="130">
        <f ca="1">SUMIF(INDIRECT("'"&amp;D4&amp;"'"&amp;"!A:A"),结果表!B20,INDIRECT("'"&amp;D4&amp;"'"&amp;"!B:B"))</f>
        <v>5467</v>
      </c>
      <c r="E20" s="1633"/>
      <c r="F20" s="43" t="s">
        <v>1295</v>
      </c>
      <c r="G20" s="131">
        <f ca="1">ROUND(C20*$C$18+D20*$D$18,0)</f>
        <v>5628</v>
      </c>
      <c r="H20" s="760" t="s">
        <v>1296</v>
      </c>
      <c r="I20" s="121"/>
    </row>
    <row r="21" spans="1:36" ht="15" customHeight="1" thickBot="1">
      <c r="A21" s="449"/>
      <c r="B21" s="93" t="s">
        <v>1297</v>
      </c>
      <c r="C21" s="678">
        <f ca="1">ROUND(C19*10000/L19,0)</f>
        <v>5879</v>
      </c>
      <c r="D21" s="679">
        <f ca="1">ROUND(D19*10000/L19,0)</f>
        <v>5552</v>
      </c>
      <c r="E21" s="449"/>
      <c r="F21" s="93" t="s">
        <v>1297</v>
      </c>
      <c r="G21" s="132">
        <f ca="1">ROUND(G19*10000/L19,0)</f>
        <v>5716</v>
      </c>
      <c r="H21" s="1634" t="s">
        <v>1296</v>
      </c>
      <c r="I21" s="121"/>
    </row>
    <row r="22" spans="1:36" ht="15" thickBot="1">
      <c r="A22" s="1564" t="s">
        <v>1298</v>
      </c>
      <c r="B22" s="1635"/>
      <c r="C22" s="1636"/>
      <c r="D22" s="680">
        <f ca="1">IF(C19&lt;D19,D19/C19-1,C19/D19-1)</f>
        <v>5.8914544156153381E-2</v>
      </c>
      <c r="E22" s="121"/>
      <c r="F22" s="121"/>
      <c r="G22" s="121"/>
      <c r="H22" s="121"/>
      <c r="I22" s="121"/>
    </row>
    <row r="23" spans="1:36" ht="13.5" thickBot="1">
      <c r="A23" s="646"/>
      <c r="B23" s="646"/>
      <c r="C23" s="646"/>
      <c r="D23" s="646"/>
      <c r="E23" s="121"/>
      <c r="F23" s="121"/>
      <c r="G23" s="121"/>
      <c r="H23" s="121"/>
      <c r="I23" s="121"/>
    </row>
    <row r="24" spans="1:36" ht="14.25">
      <c r="A24" s="3268" t="s">
        <v>1299</v>
      </c>
      <c r="B24" s="1631" t="s">
        <v>1291</v>
      </c>
      <c r="C24" s="128">
        <f>IF(B30=0,0,D30)</f>
        <v>0</v>
      </c>
      <c r="D24" s="1637"/>
      <c r="E24" s="121"/>
      <c r="F24" s="121"/>
      <c r="G24" s="121"/>
      <c r="H24" s="121"/>
      <c r="I24" s="121"/>
    </row>
    <row r="25" spans="1:36" ht="14.25">
      <c r="A25" s="326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8650</v>
      </c>
      <c r="D32" s="1641" t="s">
        <v>3444</v>
      </c>
      <c r="E32" s="121"/>
      <c r="F32" s="121"/>
      <c r="G32" s="121"/>
      <c r="H32" s="121"/>
      <c r="I32" s="121"/>
    </row>
    <row r="33" spans="1:15" ht="15">
      <c r="A33" s="740" t="s">
        <v>1306</v>
      </c>
      <c r="B33" s="123"/>
      <c r="C33" s="1642" t="s">
        <v>3445</v>
      </c>
      <c r="D33" s="1643" t="s">
        <v>3432</v>
      </c>
      <c r="E33" s="1644" t="s">
        <v>1307</v>
      </c>
      <c r="F33" s="1645" t="str">
        <f>IF(D32="楼面单价","取值（单价）","取值（总价）")</f>
        <v>取值（总价）</v>
      </c>
      <c r="G33" s="121"/>
      <c r="H33" s="121"/>
      <c r="I33" s="121"/>
    </row>
    <row r="34" spans="1:15" ht="15">
      <c r="A34" s="1646"/>
      <c r="B34" s="1647" t="s">
        <v>1308</v>
      </c>
      <c r="C34" s="140">
        <f ca="1">IF(C33="自定义",F34,C32-C35)</f>
        <v>3979</v>
      </c>
      <c r="D34" s="808">
        <f ca="1">IF(C33="自定义",ROUND(C34/C32,3),IF(C33="收益比率",SUMIF(INDIRECT("'"&amp;D33&amp;"'"&amp;"!b:b"),"土地收益比率",INDIRECT("'"&amp;D33&amp;"'"&amp;"!c:c")),SUMIF(INDIRECT("'"&amp;D33&amp;"'"&amp;"!b:b"),"土地成本比率",INDIRECT("'"&amp;D33&amp;"'"&amp;"!c:c"))))</f>
        <v>0.45999999999999996</v>
      </c>
      <c r="E34" s="1648" t="s">
        <v>1309</v>
      </c>
      <c r="F34" s="1243"/>
      <c r="G34" s="121"/>
      <c r="H34" s="121"/>
      <c r="I34" s="121"/>
    </row>
    <row r="35" spans="1:15" ht="15.75" thickBot="1">
      <c r="A35" s="1649"/>
      <c r="B35" s="1650" t="s">
        <v>1310</v>
      </c>
      <c r="C35" s="1090">
        <f ca="1">IF(C33="自定义",F35,ROUND(C32*D35,0))</f>
        <v>4671</v>
      </c>
      <c r="D35" s="1091">
        <f ca="1">IF(C33="自定义",ROUND(C35/C32,3),IF(C33="收益比率",SUMIF(INDIRECT("'"&amp;D33&amp;"'"&amp;"!b:b"),"建筑物收益比率",INDIRECT("'"&amp;D33&amp;"'"&amp;"!c:c")),SUMIF(INDIRECT("'"&amp;D33&amp;"'"&amp;"!b:b"),"建筑物成本比率",INDIRECT("'"&amp;D33&amp;"'"&amp;"!c:c"))))</f>
        <v>0.54</v>
      </c>
      <c r="E35" s="1651" t="s">
        <v>1311</v>
      </c>
      <c r="F35" s="146"/>
      <c r="G35" s="121"/>
      <c r="H35" s="121"/>
      <c r="I35" s="121"/>
    </row>
    <row r="36" spans="1:15" ht="15.75" thickBot="1">
      <c r="A36" s="3288" t="s">
        <v>1312</v>
      </c>
      <c r="B36" s="1652" t="s">
        <v>1313</v>
      </c>
      <c r="C36" s="137"/>
      <c r="D36" s="1653"/>
      <c r="E36" s="1567"/>
      <c r="F36" s="1654"/>
      <c r="G36" s="121"/>
      <c r="H36" s="121"/>
      <c r="I36" s="121"/>
    </row>
    <row r="37" spans="1:15" ht="15.75" thickBot="1">
      <c r="A37" s="3289"/>
      <c r="B37" s="1555" t="s">
        <v>1314</v>
      </c>
      <c r="C37" s="139"/>
      <c r="D37" s="1071"/>
      <c r="E37" s="1071"/>
      <c r="F37" s="1654"/>
      <c r="G37" s="121"/>
      <c r="H37" s="121"/>
      <c r="I37" s="121"/>
    </row>
    <row r="38" spans="1:15" ht="15.75" thickBot="1">
      <c r="A38" s="3290"/>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5" t="s">
        <v>1326</v>
      </c>
      <c r="B45" s="3266"/>
      <c r="C45" s="3267"/>
      <c r="D45" s="147">
        <f ca="1">ROUND(H101*F45,0)</f>
        <v>8650</v>
      </c>
      <c r="E45" s="148" t="s">
        <v>1327</v>
      </c>
      <c r="F45" s="149">
        <v>1</v>
      </c>
      <c r="G45" s="150" t="s">
        <v>1328</v>
      </c>
      <c r="H45" s="121"/>
      <c r="I45" s="121"/>
      <c r="J45" s="3343" t="s">
        <v>1329</v>
      </c>
      <c r="K45" s="3343"/>
      <c r="L45" s="3343"/>
      <c r="M45" s="3343"/>
      <c r="N45" s="3343"/>
      <c r="O45" s="3343"/>
    </row>
    <row r="46" spans="1:15" ht="14.25" customHeight="1">
      <c r="A46" s="3262" t="s">
        <v>1330</v>
      </c>
      <c r="B46" s="3263"/>
      <c r="C46" s="3263"/>
      <c r="D46" s="3263"/>
      <c r="E46" s="3263"/>
      <c r="F46" s="3263"/>
      <c r="G46" s="3264"/>
      <c r="H46" s="1668"/>
      <c r="I46" s="151"/>
      <c r="J46" s="2310">
        <v>1</v>
      </c>
      <c r="K46" s="3324" t="s">
        <v>1331</v>
      </c>
      <c r="L46" s="3324"/>
      <c r="M46" s="3344"/>
      <c r="N46" s="3344"/>
      <c r="O46" s="3344"/>
    </row>
    <row r="47" spans="1:15" ht="12" customHeight="1">
      <c r="A47" s="152" t="s">
        <v>1332</v>
      </c>
      <c r="B47" s="153"/>
      <c r="C47" s="154"/>
      <c r="D47" s="1024" t="s">
        <v>1333</v>
      </c>
      <c r="E47" s="294" t="s">
        <v>1334</v>
      </c>
      <c r="F47" s="155" t="s">
        <v>1335</v>
      </c>
      <c r="G47" s="2333" t="s">
        <v>1336</v>
      </c>
      <c r="H47" s="2334"/>
      <c r="I47" s="151"/>
      <c r="J47" s="2310">
        <v>2</v>
      </c>
      <c r="K47" s="3324" t="s">
        <v>1337</v>
      </c>
      <c r="L47" s="3324"/>
      <c r="M47" s="3345">
        <f>'数据-取费表'!B2</f>
        <v>45845</v>
      </c>
      <c r="N47" s="3345"/>
      <c r="O47" s="3345"/>
    </row>
    <row r="48" spans="1:15" ht="25.5">
      <c r="A48" s="3293" t="s">
        <v>1338</v>
      </c>
      <c r="B48" s="3276"/>
      <c r="C48" s="3276"/>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24" t="s">
        <v>1340</v>
      </c>
      <c r="L48" s="3324"/>
      <c r="M48" s="3346">
        <f ca="1">H101</f>
        <v>8650</v>
      </c>
      <c r="N48" s="3346"/>
      <c r="O48" s="3346"/>
    </row>
    <row r="49" spans="1:35" ht="25.5" customHeight="1">
      <c r="A49" s="2152" t="s">
        <v>1341</v>
      </c>
      <c r="B49" s="3260" t="s">
        <v>1342</v>
      </c>
      <c r="C49" s="3260"/>
      <c r="D49" s="1478">
        <v>0</v>
      </c>
      <c r="E49" s="316" t="s">
        <v>1343</v>
      </c>
      <c r="F49" s="2233" t="s">
        <v>28</v>
      </c>
      <c r="G49" s="3330"/>
      <c r="H49" s="2134" t="s">
        <v>2134</v>
      </c>
      <c r="I49" s="2135"/>
      <c r="J49" s="2310">
        <v>4</v>
      </c>
      <c r="K49" s="3324" t="str">
        <f>IF(项目基本情况!E8="房地产抵押价值","房地产抵押价值","抵押担保权已注销时的房地产抵押价值")</f>
        <v>房地产抵押价值</v>
      </c>
      <c r="L49" s="3324"/>
      <c r="M49" s="3346">
        <f ca="1">IF(项目基本情况!E8="房地产抵押价值",H107,H109)</f>
        <v>8650</v>
      </c>
      <c r="N49" s="3346"/>
      <c r="O49" s="3346"/>
    </row>
    <row r="50" spans="1:35" ht="25.5" customHeight="1">
      <c r="A50" s="2338"/>
      <c r="B50" s="3260" t="s">
        <v>1344</v>
      </c>
      <c r="C50" s="3260"/>
      <c r="D50" s="2189"/>
      <c r="E50" s="323"/>
      <c r="F50" s="2233"/>
      <c r="G50" s="3331"/>
      <c r="H50" s="2136" t="s">
        <v>2135</v>
      </c>
      <c r="I50" s="2135"/>
      <c r="J50" s="3343" t="s">
        <v>1345</v>
      </c>
      <c r="K50" s="3343"/>
      <c r="L50" s="3343"/>
      <c r="M50" s="3343"/>
      <c r="N50" s="3343"/>
      <c r="O50" s="3343"/>
    </row>
    <row r="51" spans="1:35" ht="20.45" customHeight="1">
      <c r="A51" s="2339"/>
      <c r="B51" s="3260" t="s">
        <v>1346</v>
      </c>
      <c r="C51" s="3260"/>
      <c r="D51" s="1024"/>
      <c r="E51" s="319"/>
      <c r="F51" s="2233"/>
      <c r="G51" s="3332"/>
      <c r="H51" s="2136" t="s">
        <v>2136</v>
      </c>
      <c r="I51" s="2135"/>
      <c r="J51" s="2311" t="s">
        <v>1347</v>
      </c>
      <c r="K51" s="3324" t="s">
        <v>1348</v>
      </c>
      <c r="L51" s="3324"/>
      <c r="M51" s="2311" t="s">
        <v>1349</v>
      </c>
      <c r="N51" s="2311" t="s">
        <v>1350</v>
      </c>
      <c r="O51" s="2311" t="s">
        <v>1351</v>
      </c>
    </row>
    <row r="52" spans="1:35" ht="24" customHeight="1">
      <c r="A52" s="2153" t="s">
        <v>1352</v>
      </c>
      <c r="B52" s="3260" t="s">
        <v>1353</v>
      </c>
      <c r="C52" s="3260"/>
      <c r="D52" s="1024">
        <f ca="1">ROUND(D45*'数据-取费表'!B41/(1+'数据-取费表'!C42),0)</f>
        <v>461</v>
      </c>
      <c r="E52" s="1256" t="s">
        <v>1354</v>
      </c>
      <c r="F52" s="2340">
        <f>'数据-取费表'!B41</f>
        <v>5.6000000000000001E-2</v>
      </c>
      <c r="G52" s="2341"/>
      <c r="H52" s="2331"/>
      <c r="I52" s="1669"/>
      <c r="J52" s="2310">
        <v>1</v>
      </c>
      <c r="K52" s="3325" t="s">
        <v>1355</v>
      </c>
      <c r="L52" s="3325"/>
      <c r="M52" s="2312" t="b">
        <f>D48</f>
        <v>0</v>
      </c>
      <c r="N52" s="2310" t="str">
        <f>E48</f>
        <v>销售额×税（费）率</v>
      </c>
      <c r="O52" s="2313">
        <f>F48</f>
        <v>5.6000000000000001E-2</v>
      </c>
    </row>
    <row r="53" spans="1:35" ht="12" customHeight="1">
      <c r="A53" s="2153" t="s">
        <v>1356</v>
      </c>
      <c r="B53" s="3286" t="s">
        <v>2282</v>
      </c>
      <c r="C53" s="3287"/>
      <c r="D53" s="1024">
        <f ca="1">ROUND(D45*'数据-取费表'!B41/(1+'数据-取费表'!C42),0)</f>
        <v>461</v>
      </c>
      <c r="E53" s="1256" t="s">
        <v>1354</v>
      </c>
      <c r="F53" s="2340">
        <f>'数据-取费表'!B41</f>
        <v>5.6000000000000001E-2</v>
      </c>
      <c r="G53" s="2341"/>
      <c r="H53" s="2331"/>
      <c r="I53" s="1669"/>
      <c r="J53" s="2310">
        <v>2</v>
      </c>
      <c r="K53" s="3325" t="s">
        <v>1357</v>
      </c>
      <c r="L53" s="3325"/>
      <c r="M53" s="2312">
        <f t="shared" ref="M53:O54" ca="1" si="0">D55</f>
        <v>4</v>
      </c>
      <c r="N53" s="2310" t="str">
        <f t="shared" si="0"/>
        <v>销售额×税（费）率</v>
      </c>
      <c r="O53" s="2313" t="str">
        <f t="shared" si="0"/>
        <v>免征</v>
      </c>
    </row>
    <row r="54" spans="1:35" ht="12" customHeight="1">
      <c r="A54" s="2153" t="s">
        <v>1358</v>
      </c>
      <c r="B54" s="3286" t="s">
        <v>2283</v>
      </c>
      <c r="C54" s="3287"/>
      <c r="D54" s="1024">
        <f ca="1">C68</f>
        <v>461</v>
      </c>
      <c r="E54" s="319" t="s">
        <v>1359</v>
      </c>
      <c r="F54" s="2340">
        <f>'数据-取费表'!B41</f>
        <v>5.6000000000000001E-2</v>
      </c>
      <c r="G54" s="2341"/>
      <c r="H54" s="2342"/>
      <c r="I54" s="1669"/>
      <c r="J54" s="2310">
        <v>3</v>
      </c>
      <c r="K54" s="3325" t="s">
        <v>1360</v>
      </c>
      <c r="L54" s="3325"/>
      <c r="M54" s="2312">
        <f t="shared" ca="1" si="0"/>
        <v>4896</v>
      </c>
      <c r="N54" s="2310" t="str">
        <f t="shared" si="0"/>
        <v>增值额×税（费）率</v>
      </c>
      <c r="O54" s="2314" t="str">
        <f t="shared" si="0"/>
        <v>免征</v>
      </c>
    </row>
    <row r="55" spans="1:35" ht="24" customHeight="1">
      <c r="A55" s="3275" t="s">
        <v>1361</v>
      </c>
      <c r="B55" s="3276"/>
      <c r="C55" s="3276"/>
      <c r="D55" s="12">
        <f ca="1">IF(H55="个人住宅",0,ROUND(D45*I55,0))</f>
        <v>4</v>
      </c>
      <c r="E55" s="1256" t="s">
        <v>1362</v>
      </c>
      <c r="F55" s="2340" t="str">
        <f>IF(H55="正常",I55,"免征")</f>
        <v>免征</v>
      </c>
      <c r="G55" s="2341"/>
      <c r="H55" s="2337"/>
      <c r="I55" s="157">
        <f>'数据-取费表'!B49</f>
        <v>5.0000000000000001E-4</v>
      </c>
      <c r="J55" s="2310">
        <f>IF(H59="非个人房产","",4)</f>
        <v>4</v>
      </c>
      <c r="K55" s="3325" t="str">
        <f>IF(H59="非个人房产","——","个人所得税")</f>
        <v>个人所得税</v>
      </c>
      <c r="L55" s="3325"/>
      <c r="M55" s="2315">
        <f ca="1">D59</f>
        <v>82</v>
      </c>
      <c r="N55" s="1883" t="str">
        <f>E59</f>
        <v>差额计税</v>
      </c>
      <c r="O55" s="2316">
        <f>F59</f>
        <v>0.01</v>
      </c>
    </row>
    <row r="56" spans="1:35" ht="24.75">
      <c r="A56" s="3275" t="s">
        <v>1363</v>
      </c>
      <c r="B56" s="3276"/>
      <c r="C56" s="3276"/>
      <c r="D56" s="12">
        <f ca="1">IF(H56="个人住宅",D57,D58)</f>
        <v>4896</v>
      </c>
      <c r="E56" s="1256" t="s">
        <v>1364</v>
      </c>
      <c r="F56" s="2340" t="str">
        <f>IF(H56="正常",F58,"免征")</f>
        <v>免征</v>
      </c>
      <c r="G56" s="2343" t="s">
        <v>1365</v>
      </c>
      <c r="H56" s="2344"/>
      <c r="I56" s="1670"/>
      <c r="J56" s="2310" t="str">
        <f>IF(项目基本情况!K6="上海银行",IF(J55="",4,J55+1),"")</f>
        <v/>
      </c>
      <c r="K56" s="3348" t="str">
        <f>IF(项目基本情况!K6="上海银行","其他处置费用","")</f>
        <v/>
      </c>
      <c r="L56" s="3349"/>
      <c r="M56" s="2312" t="str">
        <f>IF(项目基本情况!K6="上海银行",M69,"")</f>
        <v/>
      </c>
      <c r="N56" s="3348" t="str">
        <f>IF(项目基本情况!K6="上海银行","包含处置中涉及的律师、诉讼、拍卖、评估等费用","")</f>
        <v/>
      </c>
      <c r="O56" s="3351"/>
    </row>
    <row r="57" spans="1:35" ht="12.75">
      <c r="A57" s="2153" t="s">
        <v>1341</v>
      </c>
      <c r="B57" s="3286" t="s">
        <v>1366</v>
      </c>
      <c r="C57" s="3287"/>
      <c r="D57" s="1478">
        <v>0</v>
      </c>
      <c r="E57" s="316" t="s">
        <v>1343</v>
      </c>
      <c r="F57" s="294"/>
      <c r="G57" s="2341"/>
      <c r="H57" s="2345"/>
      <c r="I57" s="1670"/>
      <c r="J57" s="3325">
        <f>IF(AND(J55="",J56=""),4,IF(项目基本情况!K6="上海银行",结果表!J56+1,结果表!J55+1))</f>
        <v>5</v>
      </c>
      <c r="K57" s="3325" t="s">
        <v>1367</v>
      </c>
      <c r="L57" s="2317" t="s">
        <v>1368</v>
      </c>
      <c r="M57" s="2318"/>
      <c r="N57" s="2319">
        <f ca="1">SUMIF(M52:M56,"&lt;9e307")</f>
        <v>4982</v>
      </c>
      <c r="O57" s="2320"/>
      <c r="P57" s="2465">
        <f ca="1">N57/M49</f>
        <v>0.57595375722543352</v>
      </c>
    </row>
    <row r="58" spans="1:35" ht="24.75">
      <c r="A58" s="2153" t="s">
        <v>1352</v>
      </c>
      <c r="B58" s="3286" t="s">
        <v>1369</v>
      </c>
      <c r="C58" s="3260"/>
      <c r="D58" s="12">
        <f ca="1">IF(H58="转让取得",C81,C97)</f>
        <v>4896</v>
      </c>
      <c r="E58" s="1256" t="s">
        <v>1364</v>
      </c>
      <c r="F58" s="294" t="s">
        <v>28</v>
      </c>
      <c r="G58" s="2341"/>
      <c r="H58" s="2344"/>
      <c r="I58" s="1670"/>
      <c r="J58" s="3325"/>
      <c r="K58" s="3325"/>
      <c r="L58" s="2317" t="s">
        <v>1370</v>
      </c>
      <c r="M58" s="2321"/>
      <c r="N58" s="2322" t="str">
        <f ca="1">NUMBERSTRING(INT(N57*10000),2)&amp;"元整"</f>
        <v>肆仟玖佰捌拾贰万元整</v>
      </c>
      <c r="O58" s="2323"/>
    </row>
    <row r="59" spans="1:35" ht="24.75" thickBot="1">
      <c r="A59" s="3328" t="s">
        <v>1371</v>
      </c>
      <c r="B59" s="3329"/>
      <c r="C59" s="3329"/>
      <c r="D59" s="2346">
        <f ca="1">IF(H59="非个人房产","——",IF(H59="个人住宅（满五唯一有凭证）",0,IF(H59="个人其他（无凭证）",ROUND(D45*F59,0),ROUND(C67*F59,0))))</f>
        <v>82</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26">
        <f>J57+1</f>
        <v>6</v>
      </c>
      <c r="K59" s="3325" t="s">
        <v>1372</v>
      </c>
      <c r="L59" s="2310" t="s">
        <v>1368</v>
      </c>
      <c r="M59" s="2324"/>
      <c r="N59" s="2325">
        <f ca="1">M49-N57</f>
        <v>3668</v>
      </c>
      <c r="O59" s="2326"/>
    </row>
    <row r="60" spans="1:35" ht="12" customHeight="1">
      <c r="A60" s="1671"/>
      <c r="B60" s="646"/>
      <c r="C60" s="646"/>
      <c r="D60" s="646"/>
      <c r="E60" s="1466"/>
      <c r="F60" s="1670"/>
      <c r="G60" s="1670"/>
      <c r="H60" s="151"/>
      <c r="I60" s="121"/>
      <c r="J60" s="3327"/>
      <c r="K60" s="3325"/>
      <c r="L60" s="2317" t="s">
        <v>1370</v>
      </c>
      <c r="M60" s="2321"/>
      <c r="N60" s="2322" t="str">
        <f ca="1">NUMBERSTRING(INT(N59*10000),2)&amp;"元整"</f>
        <v>叁仟陆佰陆拾捌万元整</v>
      </c>
      <c r="O60" s="2323"/>
    </row>
    <row r="61" spans="1:35" ht="13.5" thickBot="1">
      <c r="A61" s="3273" t="s">
        <v>1373</v>
      </c>
      <c r="B61" s="3273"/>
      <c r="C61" s="3273"/>
      <c r="D61" s="3273"/>
      <c r="E61" s="3273"/>
      <c r="F61" s="1670"/>
      <c r="G61" s="1670"/>
      <c r="H61" s="151"/>
      <c r="I61" s="121"/>
      <c r="J61" s="2310">
        <f>J59+1</f>
        <v>7</v>
      </c>
      <c r="K61" s="3325" t="s">
        <v>1374</v>
      </c>
      <c r="L61" s="3325"/>
      <c r="M61" s="2327"/>
      <c r="N61" s="2328">
        <f ca="1">ROUND(N59*10000/'数据-汇总表'!E3,0)</f>
        <v>2387</v>
      </c>
      <c r="O61" s="2329"/>
    </row>
    <row r="62" spans="1:35" ht="12.75">
      <c r="A62" s="3291" t="s">
        <v>1375</v>
      </c>
      <c r="B62" s="3292"/>
      <c r="C62" s="1865"/>
      <c r="D62" s="1865" t="s">
        <v>1376</v>
      </c>
      <c r="E62" s="158" t="s">
        <v>1377</v>
      </c>
      <c r="F62" s="1670"/>
      <c r="G62" s="1670"/>
      <c r="H62" s="151"/>
      <c r="I62" s="121"/>
    </row>
    <row r="63" spans="1:35" ht="12.75">
      <c r="A63" s="165" t="s">
        <v>330</v>
      </c>
      <c r="B63" s="159" t="s">
        <v>1378</v>
      </c>
      <c r="C63" s="2350">
        <f ca="1">ROUND((C64+C65)/(1+'数据-取费表'!C42),0)</f>
        <v>8238</v>
      </c>
      <c r="D63" s="159"/>
      <c r="E63" s="160"/>
      <c r="F63" s="1670"/>
      <c r="G63" s="1670"/>
      <c r="H63" s="151"/>
      <c r="I63" s="121"/>
      <c r="J63" s="3350" t="s">
        <v>1379</v>
      </c>
      <c r="K63" s="1245" t="s">
        <v>1380</v>
      </c>
      <c r="L63" s="1245">
        <f ca="1">IF(M49&gt;10000,M49*0.5%,IF(AND(M49&gt;1000,M49&lt;=10000),M49*1%,IF(AND(M49&gt;100,M49&lt;=1000),M49*3%,IF(AND(M49&gt;10,M49&lt;=100),M49*5%,M49*8%))))</f>
        <v>86.5</v>
      </c>
      <c r="M63" s="294">
        <f ca="1">ROUND(L63,1)</f>
        <v>86.5</v>
      </c>
      <c r="N63" s="2330"/>
      <c r="Z63" s="1623"/>
      <c r="AI63" s="1561"/>
    </row>
    <row r="64" spans="1:35" ht="14.25" customHeight="1">
      <c r="A64" s="161" t="s">
        <v>325</v>
      </c>
      <c r="B64" s="162" t="s">
        <v>1381</v>
      </c>
      <c r="C64" s="2351">
        <f ca="1">D45</f>
        <v>8650</v>
      </c>
      <c r="D64" s="162" t="s">
        <v>26</v>
      </c>
      <c r="E64" s="164"/>
      <c r="F64" s="1670"/>
      <c r="G64" s="1670"/>
      <c r="H64" s="151"/>
      <c r="I64" s="121"/>
      <c r="J64" s="3350"/>
      <c r="K64" s="1245" t="s">
        <v>1382</v>
      </c>
      <c r="L64" s="1245">
        <f ca="1">IF(M49&gt;2000,M49*0.5%,IF(AND(M49&gt;1000,M49&lt;=2000),M49*0.6%,IF(AND(M49&gt;500,M49&lt;=1000),M49*0.7%,IF(AND(M49&gt;200,M49&lt;=500),M49*0.8%,IF(AND(M49&gt;100,M49&lt;=200),M49*0.9%,IF(AND(M49&gt;50,M49&lt;=100),M49*1%,IF(AND(M49&gt;20,M49&lt;=50),M49*1.5%,IF(AND(M49&gt;10,M49&lt;=20),M49*2%,IF(AND(M49&gt;1,M49&lt;=10),M49*2.5%)))))))))</f>
        <v>43.25</v>
      </c>
      <c r="M64" s="294">
        <f t="shared" ref="M64:M65" ca="1" si="1">ROUND(L64,1)</f>
        <v>43.3</v>
      </c>
      <c r="N64" s="2331" t="s">
        <v>1383</v>
      </c>
      <c r="Z64" s="1623"/>
      <c r="AI64" s="1561"/>
    </row>
    <row r="65" spans="1:35" ht="14.25" customHeight="1">
      <c r="A65" s="161" t="s">
        <v>326</v>
      </c>
      <c r="B65" s="162" t="s">
        <v>1384</v>
      </c>
      <c r="C65" s="2352"/>
      <c r="D65" s="162"/>
      <c r="E65" s="164"/>
      <c r="F65" s="1670"/>
      <c r="G65" s="1670"/>
      <c r="H65" s="151"/>
      <c r="I65" s="121"/>
      <c r="J65" s="3350"/>
      <c r="K65" s="1245" t="s">
        <v>1385</v>
      </c>
      <c r="L65" s="1245">
        <f ca="1">IF(M49&gt;1000,M49*0.1%,IF(AND(M49&gt;500,M49&lt;=1000),M49*0.5%,IF(AND(M49&gt;50,M49&lt;=500),M49*1%,IF(AND(M49&gt;1,M49&lt;=50),M49*1.5%))))</f>
        <v>8.65</v>
      </c>
      <c r="M65" s="294">
        <f t="shared" ca="1" si="1"/>
        <v>8.6999999999999993</v>
      </c>
      <c r="N65" s="2331" t="s">
        <v>1383</v>
      </c>
      <c r="Z65" s="1623"/>
      <c r="AI65" s="1561"/>
    </row>
    <row r="66" spans="1:35" ht="14.25" customHeight="1">
      <c r="A66" s="165" t="s">
        <v>327</v>
      </c>
      <c r="B66" s="166" t="s">
        <v>1386</v>
      </c>
      <c r="C66" s="2353"/>
      <c r="D66" s="166" t="s">
        <v>26</v>
      </c>
      <c r="E66" s="1251" t="s">
        <v>671</v>
      </c>
      <c r="F66" s="1670"/>
      <c r="G66" s="1670"/>
      <c r="H66" s="151"/>
      <c r="I66" s="121"/>
      <c r="J66" s="3350"/>
      <c r="K66" s="1245" t="s">
        <v>1387</v>
      </c>
      <c r="L66" s="1245">
        <f ca="1">M49*0.5%</f>
        <v>43.25</v>
      </c>
      <c r="M66" s="294">
        <f ca="1">IF(L66&gt;0.5,0.5,ROUND(L66,0))</f>
        <v>0.5</v>
      </c>
      <c r="N66" s="2331" t="s">
        <v>1388</v>
      </c>
      <c r="Z66" s="1623"/>
      <c r="AI66" s="1561"/>
    </row>
    <row r="67" spans="1:35" ht="14.25" customHeight="1">
      <c r="A67" s="165" t="s">
        <v>328</v>
      </c>
      <c r="B67" s="166" t="s">
        <v>1389</v>
      </c>
      <c r="C67" s="2354">
        <f ca="1">C63-C66</f>
        <v>8238</v>
      </c>
      <c r="D67" s="162" t="s">
        <v>26</v>
      </c>
      <c r="E67" s="164"/>
      <c r="F67" s="1670"/>
      <c r="G67" s="1670"/>
      <c r="H67" s="151"/>
      <c r="I67" s="121"/>
      <c r="J67" s="3350"/>
      <c r="K67" s="1245" t="s">
        <v>1390</v>
      </c>
      <c r="L67" s="1245">
        <f ca="1">IF(M49&gt;=10000,(8.25+(M49-10000)*0.01%),IF(AND(M49&gt;=8000,M49&lt;10000),(7.85+(M49-8000)*0.02%),IF(AND(M49&gt;=5000,M49&lt;8000),(6.65+(M49-5000)*0.04%),IF(AND(M49&gt;=2000,M49&lt;5000),(4.25+(PM49-2000)*0.08%),IF(AND(M49&gt;=1000,M49&lt;2000),(2.75+(M49-1000)*0.15%),IF(AND(M49&gt;=100,M49&lt;1000),(0.5+(M49-100)*0.25%),IF(AND(M49&gt;0,M49&lt;100),M49*0.5%)))))))</f>
        <v>7.9799999999999995</v>
      </c>
      <c r="M67" s="294">
        <f ca="1">ROUND(L67*0.9,1)</f>
        <v>7.2</v>
      </c>
      <c r="N67" s="2330"/>
      <c r="Z67" s="1623"/>
      <c r="AI67" s="1561"/>
    </row>
    <row r="68" spans="1:35" ht="14.25" customHeight="1" thickBot="1">
      <c r="A68" s="168" t="s">
        <v>329</v>
      </c>
      <c r="B68" s="169" t="s">
        <v>1391</v>
      </c>
      <c r="C68" s="2355">
        <f ca="1">IF(C67&lt;=0,0,ROUND(C67*D68,0))</f>
        <v>461</v>
      </c>
      <c r="D68" s="2356">
        <f>'数据-取费表'!B41</f>
        <v>5.6000000000000001E-2</v>
      </c>
      <c r="E68" s="170"/>
      <c r="F68" s="1670"/>
      <c r="G68" s="1670"/>
      <c r="H68" s="151"/>
      <c r="I68" s="121"/>
      <c r="J68" s="3350"/>
      <c r="K68" s="1245" t="s">
        <v>1392</v>
      </c>
      <c r="L68" s="1245">
        <f ca="1">IF(M49&gt;10000,M49*0.5%,IF(AND(M49&gt;5000,M49&lt;=10000),M49*1%,IF(AND(M49&gt;1000,M49&lt;=5000),M49*2%,IF(AND(M49&gt;200,M49&lt;=1000),M49*3%,M49*5%))))</f>
        <v>86.5</v>
      </c>
      <c r="M68" s="294">
        <f ca="1">ROUND(L68,1)</f>
        <v>86.5</v>
      </c>
      <c r="N68" s="2330"/>
      <c r="Z68" s="1623"/>
      <c r="AI68" s="1561"/>
    </row>
    <row r="69" spans="1:35" ht="16.5" customHeight="1">
      <c r="A69" s="1672"/>
      <c r="B69" s="1673"/>
      <c r="C69" s="1674"/>
      <c r="D69" s="1675"/>
      <c r="E69" s="1676"/>
      <c r="F69" s="1466"/>
      <c r="G69" s="1466"/>
      <c r="H69" s="1467"/>
      <c r="I69" s="646"/>
      <c r="J69" s="3350"/>
      <c r="K69" s="1245" t="s">
        <v>1393</v>
      </c>
      <c r="L69" s="1245"/>
      <c r="M69" s="294">
        <f ca="1">ROUND(SUM(M63:M68),0)</f>
        <v>233</v>
      </c>
      <c r="N69" s="2332">
        <f ca="1">M69/M49</f>
        <v>2.6936416184971099E-2</v>
      </c>
      <c r="Z69" s="1623"/>
      <c r="AI69" s="1561"/>
    </row>
    <row r="70" spans="1:35" s="642" customFormat="1" ht="15" thickBot="1">
      <c r="A70" s="3312" t="s">
        <v>1394</v>
      </c>
      <c r="B70" s="3313"/>
      <c r="C70" s="3313"/>
      <c r="D70" s="3313"/>
      <c r="E70" s="3313"/>
      <c r="F70" s="3313"/>
      <c r="G70" s="3313"/>
      <c r="H70" s="331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1" t="s">
        <v>1375</v>
      </c>
      <c r="B71" s="329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8238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49</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6" t="s">
        <v>1402</v>
      </c>
      <c r="F76" s="3260"/>
      <c r="G76" s="3260"/>
      <c r="H76" s="331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49</v>
      </c>
      <c r="D78" s="2363">
        <f>'数据-取费表'!B43</f>
        <v>6.000000000000001E-3</v>
      </c>
      <c r="E78" s="3270" t="s">
        <v>1406</v>
      </c>
      <c r="F78" s="3271"/>
      <c r="G78" s="3271"/>
      <c r="H78" s="328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8189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167.12244897959184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4896</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2" t="s">
        <v>1410</v>
      </c>
      <c r="B83" s="3313"/>
      <c r="C83" s="3313"/>
      <c r="D83" s="3313"/>
      <c r="E83" s="3313"/>
      <c r="F83" s="3313"/>
      <c r="G83" s="3313"/>
      <c r="H83" s="331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1" t="s">
        <v>1375</v>
      </c>
      <c r="B84" s="329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8238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49</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52" t="s">
        <v>2129</v>
      </c>
      <c r="H90" s="3353"/>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0" t="s">
        <v>1419</v>
      </c>
      <c r="F91" s="3271"/>
      <c r="G91" s="327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0" t="s">
        <v>1422</v>
      </c>
      <c r="F92" s="3271"/>
      <c r="G92" s="3271"/>
      <c r="H92" s="3280"/>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49</v>
      </c>
      <c r="D93" s="2363">
        <f>'数据-取费表'!B43</f>
        <v>6.000000000000001E-3</v>
      </c>
      <c r="E93" s="3270" t="s">
        <v>1406</v>
      </c>
      <c r="F93" s="3271"/>
      <c r="G93" s="3271"/>
      <c r="H93" s="328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81" t="s">
        <v>1426</v>
      </c>
      <c r="F94" s="3282"/>
      <c r="G94" s="3282"/>
      <c r="H94" s="328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8189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167.12244897959184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4896</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4" t="s">
        <v>1428</v>
      </c>
      <c r="B100" s="3255"/>
      <c r="C100" s="3255"/>
      <c r="D100" s="3272"/>
      <c r="E100" s="3255" t="s">
        <v>1429</v>
      </c>
      <c r="F100" s="3255"/>
      <c r="G100" s="3255"/>
      <c r="H100" s="3272"/>
      <c r="I100" s="121"/>
    </row>
    <row r="101" spans="1:35" ht="18.75" customHeight="1">
      <c r="A101" s="3333" t="s">
        <v>1430</v>
      </c>
      <c r="B101" s="3334"/>
      <c r="C101" s="2371" t="str">
        <f>C4</f>
        <v>成本法</v>
      </c>
      <c r="D101" s="2372" t="str">
        <f>D4</f>
        <v>收益法</v>
      </c>
      <c r="E101" s="3347" t="s">
        <v>1431</v>
      </c>
      <c r="F101" s="3304"/>
      <c r="G101" s="1687" t="s">
        <v>1432</v>
      </c>
      <c r="H101" s="2381">
        <f ca="1">H118</f>
        <v>8650</v>
      </c>
      <c r="I101" s="121"/>
    </row>
    <row r="102" spans="1:35" ht="18.75" customHeight="1">
      <c r="A102" s="3306" t="s">
        <v>1433</v>
      </c>
      <c r="B102" s="2370" t="s">
        <v>1432</v>
      </c>
      <c r="C102" s="2371">
        <f ca="1">IF(D32="楼面单价",ROUND(C19,0),C19)</f>
        <v>8897</v>
      </c>
      <c r="D102" s="2372">
        <f ca="1">IF(D32="楼面单价",ROUND(D19,0),D19)</f>
        <v>8402</v>
      </c>
      <c r="E102" s="3347"/>
      <c r="F102" s="3304"/>
      <c r="G102" s="1687" t="s">
        <v>1434</v>
      </c>
      <c r="H102" s="2341">
        <f ca="1">I118</f>
        <v>5629</v>
      </c>
      <c r="I102" s="121"/>
    </row>
    <row r="103" spans="1:35" ht="42.75" customHeight="1">
      <c r="A103" s="3306"/>
      <c r="B103" s="2370" t="s">
        <v>1434</v>
      </c>
      <c r="C103" s="2373">
        <f ca="1">C20</f>
        <v>5789</v>
      </c>
      <c r="D103" s="2374">
        <f ca="1">D20</f>
        <v>5467</v>
      </c>
      <c r="E103" s="3341" t="s">
        <v>1435</v>
      </c>
      <c r="F103" s="3342"/>
      <c r="G103" s="1688" t="s">
        <v>1436</v>
      </c>
      <c r="H103" s="2381">
        <f>IF(D36="正常操作",H104+H105+H106,H105+H106)</f>
        <v>0</v>
      </c>
      <c r="I103" s="121"/>
    </row>
    <row r="104" spans="1:35" ht="18.75" customHeight="1">
      <c r="A104" s="3306" t="s">
        <v>1437</v>
      </c>
      <c r="B104" s="2375" t="s">
        <v>1432</v>
      </c>
      <c r="C104" s="2376">
        <f ca="1">H118</f>
        <v>8650</v>
      </c>
      <c r="D104" s="2377"/>
      <c r="E104" s="1555" t="s">
        <v>1438</v>
      </c>
      <c r="F104" s="1548"/>
      <c r="G104" s="1688" t="s">
        <v>1436</v>
      </c>
      <c r="H104" s="2382">
        <f>IF(D36="同一抵押权人同一抵押物续贷",C36&amp;"（续贷，未扣减，详见特别提示）",C36)</f>
        <v>0</v>
      </c>
      <c r="I104" s="121"/>
    </row>
    <row r="105" spans="1:35" ht="18.75" customHeight="1" thickBot="1">
      <c r="A105" s="3307"/>
      <c r="B105" s="2378" t="s">
        <v>1434</v>
      </c>
      <c r="C105" s="2379">
        <f ca="1">I118</f>
        <v>5629</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3" t="str">
        <f>IF(项目基本情况!E8="已注销","——","3.房地产抵押价值")</f>
        <v>3.房地产抵押价值</v>
      </c>
      <c r="F107" s="3304"/>
      <c r="G107" s="1687" t="s">
        <v>1432</v>
      </c>
      <c r="H107" s="2381">
        <f ca="1">IF(E107="——","——",H101-H103)</f>
        <v>8650</v>
      </c>
      <c r="I107" s="121"/>
    </row>
    <row r="108" spans="1:35" ht="18.75" customHeight="1">
      <c r="A108" s="121"/>
      <c r="B108" s="121"/>
      <c r="C108" s="121"/>
      <c r="D108" s="121"/>
      <c r="E108" s="3303"/>
      <c r="F108" s="3304"/>
      <c r="G108" s="1687" t="s">
        <v>1434</v>
      </c>
      <c r="H108" s="2341">
        <f ca="1">IF(H107=H101,H102,ROUND(H107*10000/'数据-汇总表'!E3,0))</f>
        <v>5629</v>
      </c>
      <c r="I108" s="121"/>
    </row>
    <row r="109" spans="1:35" ht="18.75" customHeight="1">
      <c r="A109" s="121"/>
      <c r="B109" s="121"/>
      <c r="C109" s="121"/>
      <c r="D109" s="121"/>
      <c r="E109" s="3303" t="str">
        <f>IF(项目基本情况!E8="已注销及未注销","4.抵押担保权已注销时的房地产抵押价值",IF(项目基本情况!E8="已注销","3.抵押担保权已注销时的房地产抵押价值","——"))</f>
        <v>——</v>
      </c>
      <c r="F109" s="3304"/>
      <c r="G109" s="1687" t="s">
        <v>1432</v>
      </c>
      <c r="H109" s="2384" t="str">
        <f>IF(E109="——","——",H101-H105-H106)</f>
        <v>——</v>
      </c>
      <c r="I109" s="121"/>
    </row>
    <row r="110" spans="1:35" ht="18.75" customHeight="1">
      <c r="A110" s="121"/>
      <c r="B110" s="121"/>
      <c r="C110" s="121"/>
      <c r="D110" s="121"/>
      <c r="E110" s="3303"/>
      <c r="F110" s="3304"/>
      <c r="G110" s="1687" t="s">
        <v>1434</v>
      </c>
      <c r="H110" s="2341" t="str">
        <f>IF(H109="——","——",ROUND(H109*10000/'数据-汇总表'!E3,0))</f>
        <v>——</v>
      </c>
      <c r="I110" s="121"/>
    </row>
    <row r="111" spans="1:35" ht="18.75" customHeight="1">
      <c r="A111" s="121"/>
      <c r="B111" s="121"/>
      <c r="C111" s="121"/>
      <c r="D111" s="121"/>
      <c r="E111" s="3335" t="str">
        <f>IF(项目基本情况!E9="抵押净值",IF(OR(项目基本情况!E8="已注销",项目基本情况!E8="房地产抵押价值"),"4.抵押净值","5.抵押净值"),"——")</f>
        <v>——</v>
      </c>
      <c r="F111" s="3305"/>
      <c r="G111" s="1687" t="s">
        <v>1432</v>
      </c>
      <c r="H111" s="2381" t="str">
        <f>IF(E111="——","——",N59)</f>
        <v>——</v>
      </c>
      <c r="I111" s="121"/>
    </row>
    <row r="112" spans="1:35" ht="18.75" customHeight="1" thickBot="1">
      <c r="A112" s="121"/>
      <c r="B112" s="121"/>
      <c r="C112" s="121"/>
      <c r="D112" s="121"/>
      <c r="E112" s="3336"/>
      <c r="F112" s="3337"/>
      <c r="G112" s="1690" t="s">
        <v>1434</v>
      </c>
      <c r="H112" s="2385" t="str">
        <f>IF(E111="——","——",N61)</f>
        <v>——</v>
      </c>
      <c r="I112" s="121"/>
    </row>
    <row r="113" spans="1:27" ht="18.75" customHeight="1">
      <c r="A113" s="121"/>
      <c r="B113" s="121"/>
      <c r="C113" s="121"/>
      <c r="D113" s="121"/>
      <c r="E113" s="3308" t="s">
        <v>1440</v>
      </c>
      <c r="F113" s="3308"/>
      <c r="G113" s="3308"/>
      <c r="H113" s="3308"/>
      <c r="I113" s="121"/>
    </row>
    <row r="114" spans="1:27" ht="3.75" customHeight="1">
      <c r="A114" s="646"/>
      <c r="B114" s="646"/>
      <c r="C114" s="646"/>
      <c r="D114" s="646"/>
      <c r="E114" s="1671"/>
      <c r="F114" s="1671"/>
      <c r="G114" s="1671"/>
      <c r="H114" s="1671"/>
      <c r="I114" s="646"/>
    </row>
    <row r="115" spans="1:27" ht="18.75" customHeight="1">
      <c r="A115" s="3318" t="s">
        <v>1442</v>
      </c>
      <c r="B115" s="3319"/>
      <c r="C115" s="3319"/>
      <c r="D115" s="3319"/>
      <c r="E115" s="3319"/>
      <c r="F115" s="3319"/>
      <c r="G115" s="3319"/>
      <c r="H115" s="3319"/>
      <c r="I115" s="3320"/>
    </row>
    <row r="116" spans="1:27" ht="27" customHeight="1">
      <c r="A116" s="3274" t="s">
        <v>1443</v>
      </c>
      <c r="B116" s="3309" t="s">
        <v>1444</v>
      </c>
      <c r="C116" s="3309" t="s">
        <v>1445</v>
      </c>
      <c r="D116" s="3322" t="s">
        <v>1446</v>
      </c>
      <c r="E116" s="3323"/>
      <c r="F116" s="3317" t="s">
        <v>1447</v>
      </c>
      <c r="G116" s="3317"/>
      <c r="H116" s="3274" t="s">
        <v>1448</v>
      </c>
      <c r="I116" s="3274"/>
    </row>
    <row r="117" spans="1:27" ht="18.75" customHeight="1">
      <c r="A117" s="3274"/>
      <c r="B117" s="3310"/>
      <c r="C117" s="3310"/>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15367.93</v>
      </c>
      <c r="C118" s="2150">
        <f>M19</f>
        <v>15133.56</v>
      </c>
      <c r="D118" s="2150">
        <f ca="1">ROUND(IF(D32="总价",C34,E118*B118/10000),0)</f>
        <v>3979</v>
      </c>
      <c r="E118" s="2150">
        <f ca="1">ROUND(IF(C33="自定义",IF(D32="楼面单价",C34,D118*10000/B118),I118-G118),0)</f>
        <v>2590</v>
      </c>
      <c r="F118" s="2150">
        <f ca="1">ROUND(IF(D32="总价",C35,G118*B118/10000),0)</f>
        <v>4671</v>
      </c>
      <c r="G118" s="2150">
        <f ca="1">ROUND(IF(D32="楼面单价",C35,F118*10000/B118),0)</f>
        <v>3039</v>
      </c>
      <c r="H118" s="2150">
        <f ca="1">ROUND(IF(D32="总价",C32,I118*B118/10000),0)</f>
        <v>8650</v>
      </c>
      <c r="I118" s="2150">
        <f ca="1">ROUND(IF(D32="楼面单价",C32,H118*10000/B118),0)</f>
        <v>5629</v>
      </c>
    </row>
    <row r="119" spans="1:27" ht="18.75" customHeight="1">
      <c r="A119" s="3274" t="s">
        <v>1452</v>
      </c>
      <c r="B119" s="3274"/>
      <c r="C119" s="3274"/>
      <c r="D119" s="3314" t="str">
        <f ca="1">NUMBERSTRING(INT(D118*10000),2)&amp;"元整"</f>
        <v>叁仟玖佰柒拾玖万元整</v>
      </c>
      <c r="E119" s="3316"/>
      <c r="F119" s="3314" t="str">
        <f ca="1">NUMBERSTRING(INT(F118*10000),2)&amp;"元整"</f>
        <v>肆仟陆佰柒拾壹万元整</v>
      </c>
      <c r="G119" s="3316"/>
      <c r="H119" s="3314" t="str">
        <f ca="1">NUMBERSTRING(INT(H118*10000),2)&amp;"元整"</f>
        <v>捌仟陆佰伍拾万元整</v>
      </c>
      <c r="I119" s="3316"/>
    </row>
    <row r="120" spans="1:27" ht="18.75" customHeight="1">
      <c r="A120" s="3338" t="str">
        <f>IF(项目基本情况!B9="房地产市场价值","",MID(E103,3,LEN(E103)-2))</f>
        <v>估价师知悉的法定优先受偿款</v>
      </c>
      <c r="B120" s="3339"/>
      <c r="C120" s="3340"/>
      <c r="D120" s="3338">
        <f>H103</f>
        <v>0</v>
      </c>
      <c r="E120" s="3339"/>
      <c r="F120" s="3339"/>
      <c r="G120" s="3339"/>
      <c r="H120" s="3339"/>
      <c r="I120" s="334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4" t="s">
        <v>1452</v>
      </c>
      <c r="B121" s="3315"/>
      <c r="C121" s="3316"/>
      <c r="D121" s="3314" t="str">
        <f>IF(D120=0,"零元整",NUMBERSTRING(INT(D120*10000),2)&amp;"元整")</f>
        <v>零元整</v>
      </c>
      <c r="E121" s="3315"/>
      <c r="F121" s="3315"/>
      <c r="G121" s="3315"/>
      <c r="H121" s="3315"/>
      <c r="I121" s="3316"/>
      <c r="AA121" s="684"/>
    </row>
    <row r="122" spans="1:27" ht="18.75" customHeight="1">
      <c r="A122" s="3305" t="str">
        <f>IF(项目基本情况!B9="房地产市场价值","",MID(E107,3,LEN(E107)-2))</f>
        <v>房地产抵押价值</v>
      </c>
      <c r="B122" s="3305"/>
      <c r="C122" s="3305"/>
      <c r="D122" s="3338">
        <f ca="1">H107</f>
        <v>8650</v>
      </c>
      <c r="E122" s="3339"/>
      <c r="F122" s="3339"/>
      <c r="G122" s="3339"/>
      <c r="H122" s="3339"/>
      <c r="I122" s="3340"/>
      <c r="AA122" s="684"/>
    </row>
    <row r="123" spans="1:27" ht="18.75" customHeight="1">
      <c r="A123" s="3274" t="s">
        <v>1452</v>
      </c>
      <c r="B123" s="3274"/>
      <c r="C123" s="3274"/>
      <c r="D123" s="3314" t="str">
        <f ca="1">NUMBERSTRING(INT(D122*10000),2)&amp;"元整"</f>
        <v>捌仟陆佰伍拾万元整</v>
      </c>
      <c r="E123" s="3315"/>
      <c r="F123" s="3315"/>
      <c r="G123" s="3315"/>
      <c r="H123" s="3315"/>
      <c r="I123" s="3316"/>
      <c r="AA123" s="684"/>
    </row>
    <row r="124" spans="1:27" ht="18.75" customHeight="1">
      <c r="A124" s="3305" t="str">
        <f>IF(项目基本情况!B9="房地产市场价值","",MID(E109,3,LEN(E109)-2))</f>
        <v/>
      </c>
      <c r="B124" s="3305"/>
      <c r="C124" s="3305"/>
      <c r="D124" s="3338" t="str">
        <f>H109</f>
        <v>——</v>
      </c>
      <c r="E124" s="3339"/>
      <c r="F124" s="3339"/>
      <c r="G124" s="3339"/>
      <c r="H124" s="3339"/>
      <c r="I124" s="3340"/>
      <c r="AA124" s="684"/>
    </row>
    <row r="125" spans="1:27" ht="18.75" customHeight="1">
      <c r="A125" s="3274" t="s">
        <v>1452</v>
      </c>
      <c r="B125" s="3274"/>
      <c r="C125" s="3274"/>
      <c r="D125" s="3314" t="e">
        <f>NUMBERSTRING(INT(D124*10000),2)&amp;"元整"</f>
        <v>#VALUE!</v>
      </c>
      <c r="E125" s="3315"/>
      <c r="F125" s="3315"/>
      <c r="G125" s="3315"/>
      <c r="H125" s="3315"/>
      <c r="I125" s="3316"/>
      <c r="AA125" s="684"/>
    </row>
    <row r="126" spans="1:27" ht="18.75" customHeight="1">
      <c r="A126" s="3305" t="str">
        <f>IF(项目基本情况!B9="房地产市场价值","",MID(E111,3,LEN(E111)-2))</f>
        <v/>
      </c>
      <c r="B126" s="3305"/>
      <c r="C126" s="3305"/>
      <c r="D126" s="3338" t="str">
        <f>H111</f>
        <v>——</v>
      </c>
      <c r="E126" s="3339"/>
      <c r="F126" s="3339"/>
      <c r="G126" s="3339"/>
      <c r="H126" s="3339"/>
      <c r="I126" s="3340"/>
      <c r="AA126" s="684"/>
    </row>
    <row r="127" spans="1:27" ht="18.75" customHeight="1">
      <c r="A127" s="3274" t="s">
        <v>1452</v>
      </c>
      <c r="B127" s="3274"/>
      <c r="C127" s="3274"/>
      <c r="D127" s="3314" t="e">
        <f>NUMBERSTRING(INT(D126*10000),2)&amp;"元整"</f>
        <v>#VALUE!</v>
      </c>
      <c r="E127" s="3315"/>
      <c r="F127" s="3315"/>
      <c r="G127" s="3315"/>
      <c r="H127" s="3315"/>
      <c r="I127" s="3316"/>
      <c r="AA127" s="684"/>
    </row>
    <row r="128" spans="1:27" ht="21.75" customHeight="1">
      <c r="A128" s="3321" t="s">
        <v>1453</v>
      </c>
      <c r="B128" s="3321"/>
      <c r="C128" s="3321"/>
      <c r="D128" s="3321"/>
      <c r="E128" s="3321"/>
      <c r="F128" s="3321"/>
      <c r="G128" s="3321"/>
      <c r="H128" s="3321"/>
      <c r="I128" s="332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2" t="str">
        <f>项目基本情况!B1</f>
        <v>北京市房地产抵押价值预评估</v>
      </c>
      <c r="C37" s="3172"/>
      <c r="D37" s="3172"/>
      <c r="E37" s="3172"/>
      <c r="F37" s="3172"/>
      <c r="G37" s="3172"/>
      <c r="H37" s="3172"/>
      <c r="I37" s="317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5" zoomScaleNormal="70" zoomScaleSheetLayoutView="85" workbookViewId="0">
      <selection activeCell="G25" sqref="G25"/>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8897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5789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3240</v>
      </c>
      <c r="D5" s="203" t="s">
        <v>1469</v>
      </c>
      <c r="E5" s="204" t="s">
        <v>1470</v>
      </c>
      <c r="F5" s="204" t="s">
        <v>1471</v>
      </c>
      <c r="G5" s="205"/>
    </row>
    <row r="6" spans="1:9" s="206" customFormat="1" ht="13.5" customHeight="1">
      <c r="A6" s="732" t="s">
        <v>1472</v>
      </c>
      <c r="B6" s="207" t="s">
        <v>1473</v>
      </c>
      <c r="C6" s="208">
        <f>基准地价修正!B2</f>
        <v>2846</v>
      </c>
      <c r="D6" s="209"/>
      <c r="E6" s="210"/>
      <c r="F6" s="210"/>
      <c r="G6" s="211"/>
    </row>
    <row r="7" spans="1:9" s="206" customFormat="1" ht="13.5" customHeight="1">
      <c r="A7" s="732" t="s">
        <v>1474</v>
      </c>
      <c r="B7" s="207" t="s">
        <v>1475</v>
      </c>
      <c r="C7" s="212">
        <f>ROUND(C6*F7,0)</f>
        <v>87</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307</v>
      </c>
      <c r="D8" s="214"/>
      <c r="E8" s="212"/>
      <c r="F8" s="213"/>
      <c r="G8" s="1714" t="s">
        <v>3429</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3430</v>
      </c>
      <c r="H9" s="1070"/>
      <c r="I9" s="1716" t="s">
        <v>1479</v>
      </c>
    </row>
    <row r="10" spans="1:9" s="206" customFormat="1" ht="13.5" customHeight="1">
      <c r="A10" s="733" t="s">
        <v>356</v>
      </c>
      <c r="B10" s="216" t="s">
        <v>1480</v>
      </c>
      <c r="C10" s="217">
        <f ca="1">ROUND(D10*E10/10000,0)</f>
        <v>307</v>
      </c>
      <c r="D10" s="795">
        <f ca="1">IF(B1="",'数据-汇总表'!E6,IF(INDIRECT("'数据-取费表'!c"&amp;$G$1)="住宅",INDIRECT("'数据-取费表'!s"&amp;$G$1),INDIRECT("'数据-取费表'!k"&amp;$G$1)+INDIRECT("'数据-取费表'!s"&amp;$G$1)))</f>
        <v>15367.93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15367.93</v>
      </c>
      <c r="E19" s="203">
        <f>'数据-取费表'!B31</f>
        <v>200</v>
      </c>
      <c r="F19" s="223"/>
      <c r="G19" s="1714" t="s">
        <v>3431</v>
      </c>
    </row>
    <row r="20" spans="1:7" s="206" customFormat="1" ht="13.5" customHeight="1">
      <c r="A20" s="247" t="s">
        <v>1493</v>
      </c>
      <c r="B20" s="202" t="s">
        <v>1494</v>
      </c>
      <c r="C20" s="224">
        <f ca="1">ROUND((C5+C19)*F20,0)</f>
        <v>65</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148</v>
      </c>
      <c r="D22" s="227">
        <f ca="1">C26</f>
        <v>4.0000000000000002E-4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147</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v>
      </c>
      <c r="D25" s="230"/>
      <c r="E25" s="233"/>
      <c r="F25" s="231"/>
      <c r="G25" s="234" t="s">
        <v>1510</v>
      </c>
    </row>
    <row r="26" spans="1:7" s="206" customFormat="1">
      <c r="A26" s="734" t="s">
        <v>350</v>
      </c>
      <c r="B26" s="207" t="s">
        <v>1511</v>
      </c>
      <c r="C26" s="230">
        <f ca="1">ROUND(IF('数据-取费表'!B22&lt;=1,F21*F22*'数据-取费表'!B23/2,F21*(POWER((1+F22),'数据-取费表'!B23/2)-1)),4)</f>
        <v>4.0000000000000002E-4</v>
      </c>
      <c r="D26" s="230"/>
      <c r="E26" s="233"/>
      <c r="F26" s="231"/>
      <c r="G26" s="235"/>
    </row>
    <row r="27" spans="1:7" s="206" customFormat="1" ht="24.75">
      <c r="A27" s="247" t="s">
        <v>1512</v>
      </c>
      <c r="B27" s="236" t="s">
        <v>1513</v>
      </c>
      <c r="C27" s="237">
        <f ca="1">C28</f>
        <v>331</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331</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4094</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5240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4610</v>
      </c>
      <c r="D34" s="209"/>
      <c r="E34" s="212"/>
      <c r="F34" s="249">
        <f ca="1">IF('数据-取费表'!B24=0,1,IF(B1="",'数据-取费表'!N16,INDIRECT("'数据-取费表'!n"&amp;$G$1)))</f>
        <v>1</v>
      </c>
      <c r="G34" s="211" t="s">
        <v>1526</v>
      </c>
    </row>
    <row r="35" spans="1:7" ht="13.5" customHeight="1">
      <c r="A35" s="734" t="s">
        <v>351</v>
      </c>
      <c r="B35" s="207" t="s">
        <v>1527</v>
      </c>
      <c r="C35" s="212">
        <f ca="1">ROUND(C34*F35,0)</f>
        <v>231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307</v>
      </c>
      <c r="D37" s="209">
        <f ca="1">D19</f>
        <v>15367.93</v>
      </c>
      <c r="E37" s="241">
        <f>'数据-取费表'!B35</f>
        <v>200</v>
      </c>
      <c r="F37" s="251"/>
      <c r="G37" s="253" t="s">
        <v>1532</v>
      </c>
    </row>
    <row r="38" spans="1:7" ht="13.5" customHeight="1">
      <c r="A38" s="734" t="s">
        <v>354</v>
      </c>
      <c r="B38" s="207" t="s">
        <v>1533</v>
      </c>
      <c r="C38" s="212">
        <f ca="1">ROUND(C34*F38,0)</f>
        <v>92</v>
      </c>
      <c r="D38" s="212"/>
      <c r="E38" s="212"/>
      <c r="F38" s="251">
        <f>'数据-取费表'!B36</f>
        <v>0.02</v>
      </c>
      <c r="G38" s="211" t="s">
        <v>1528</v>
      </c>
    </row>
    <row r="39" spans="1:7" s="206" customFormat="1" ht="13.5" customHeight="1">
      <c r="A39" s="247" t="s">
        <v>1534</v>
      </c>
      <c r="B39" s="202" t="s">
        <v>1535</v>
      </c>
      <c r="C39" s="224">
        <f ca="1">ROUND(C33*F20,0)</f>
        <v>105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119</v>
      </c>
      <c r="D41" s="227">
        <f ca="1">C44</f>
        <v>4.0000000000000002E-4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117</v>
      </c>
      <c r="D42" s="230"/>
      <c r="E42" s="230"/>
      <c r="F42" s="231"/>
      <c r="G42" s="3354" t="s">
        <v>1544</v>
      </c>
    </row>
    <row r="43" spans="1:7" ht="13.5" customHeight="1">
      <c r="A43" s="734" t="s">
        <v>347</v>
      </c>
      <c r="B43" s="207" t="s">
        <v>1545</v>
      </c>
      <c r="C43" s="230">
        <f ca="1">ROUND(IF('数据-取费表'!B22&lt;=1,C39*F22*'数据-取费表'!B21/2,C39*(POWER((1+F22),'数据-取费表'!B21/2)-1)),0)</f>
        <v>2</v>
      </c>
      <c r="D43" s="230"/>
      <c r="E43" s="230"/>
      <c r="F43" s="231"/>
      <c r="G43" s="3355"/>
    </row>
    <row r="44" spans="1:7" ht="13.5" customHeight="1">
      <c r="A44" s="734" t="s">
        <v>348</v>
      </c>
      <c r="B44" s="207" t="s">
        <v>1546</v>
      </c>
      <c r="C44" s="230">
        <f ca="1">ROUND(IF('数据-取费表'!B22&lt;=1,C40*F22*'数据-取费表'!B21/2,C40*(POWER((1+F22),'数据-取费表'!B21/2)-1)),4)</f>
        <v>4.0000000000000002E-4</v>
      </c>
      <c r="D44" s="230"/>
      <c r="E44" s="230"/>
      <c r="F44" s="231"/>
      <c r="G44" s="3356"/>
    </row>
    <row r="45" spans="1:7" s="206" customFormat="1" ht="13.5" customHeight="1">
      <c r="A45" s="247" t="s">
        <v>1547</v>
      </c>
      <c r="B45" s="236" t="s">
        <v>1513</v>
      </c>
      <c r="C45" s="237">
        <f ca="1">C46</f>
        <v>535</v>
      </c>
      <c r="D45" s="227">
        <f ca="1">C47</f>
        <v>2E-3</v>
      </c>
      <c r="E45" s="228" t="s">
        <v>1539</v>
      </c>
      <c r="F45" s="238">
        <f ca="1">F27</f>
        <v>0.1</v>
      </c>
      <c r="G45" s="239" t="s">
        <v>1548</v>
      </c>
    </row>
    <row r="46" spans="1:7" s="206" customFormat="1" ht="13.5" customHeight="1">
      <c r="A46" s="734" t="s">
        <v>346</v>
      </c>
      <c r="B46" s="240" t="s">
        <v>1549</v>
      </c>
      <c r="C46" s="241">
        <f ca="1">ROUND((C33+C39)*F27,0)</f>
        <v>535</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6490</v>
      </c>
      <c r="D49" s="224"/>
      <c r="E49" s="224"/>
      <c r="F49" s="256"/>
      <c r="G49" s="226" t="s">
        <v>1554</v>
      </c>
    </row>
    <row r="50" spans="1:7" s="250" customFormat="1" ht="24">
      <c r="A50" s="247" t="s">
        <v>1555</v>
      </c>
      <c r="B50" s="202" t="s">
        <v>1556</v>
      </c>
      <c r="C50" s="224"/>
      <c r="D50" s="224"/>
      <c r="E50" s="224"/>
      <c r="F50" s="256">
        <f>IF('数据-取费表'!B24=0,'数据-取费表'!N16,1)</f>
        <v>0.74</v>
      </c>
      <c r="G50" s="239" t="s">
        <v>1557</v>
      </c>
    </row>
    <row r="51" spans="1:7" ht="16.5" customHeight="1">
      <c r="A51" s="247" t="s">
        <v>1558</v>
      </c>
      <c r="B51" s="202" t="s">
        <v>1559</v>
      </c>
      <c r="C51" s="224">
        <f ca="1">ROUND(C49*F50,0)</f>
        <v>4803</v>
      </c>
      <c r="D51" s="224"/>
      <c r="E51" s="224"/>
      <c r="F51" s="256"/>
      <c r="G51" s="226" t="s">
        <v>1560</v>
      </c>
    </row>
    <row r="52" spans="1:7" s="200" customFormat="1" ht="16.5" thickBot="1">
      <c r="A52" s="257" t="s">
        <v>1561</v>
      </c>
      <c r="B52" s="258"/>
      <c r="C52" s="259">
        <f ca="1">C31+C51</f>
        <v>8897</v>
      </c>
      <c r="D52" s="258"/>
      <c r="E52" s="258"/>
      <c r="F52" s="258"/>
      <c r="G52" s="260"/>
    </row>
    <row r="55" spans="1:7" ht="15">
      <c r="B55" s="262" t="s">
        <v>1562</v>
      </c>
      <c r="C55" s="263"/>
    </row>
    <row r="56" spans="1:7">
      <c r="B56" s="265" t="s">
        <v>802</v>
      </c>
      <c r="C56" s="267">
        <f ca="1">1-C57</f>
        <v>0.45999999999999996</v>
      </c>
    </row>
    <row r="57" spans="1:7">
      <c r="B57" s="265" t="s">
        <v>803</v>
      </c>
      <c r="C57" s="266">
        <f ca="1">ROUND(C51/C52,3)</f>
        <v>0.54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5579.9836999999998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3631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3073586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3073586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3073586</v>
      </c>
      <c r="D10" s="795">
        <f ca="1">IF(B1="",'数据-汇总表'!E6,IF(INDIRECT("'数据-取费表'!c"&amp;$G$1)="住宅",INDIRECT("'数据-取费表'!s"&amp;$G$1),INDIRECT("'数据-取费表'!k"&amp;$G$1)+INDIRECT("'数据-取费表'!s"&amp;$G$1)))</f>
        <v>15367.93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3073586</v>
      </c>
      <c r="D19" s="204">
        <f ca="1">D9+D10</f>
        <v>15367.93</v>
      </c>
      <c r="E19" s="203">
        <f>'数据-取费表'!B31</f>
        <v>200</v>
      </c>
      <c r="F19" s="223"/>
      <c r="G19" s="1714"/>
    </row>
    <row r="20" spans="1:7" s="206" customFormat="1" ht="13.5" customHeight="1">
      <c r="A20" s="247" t="s">
        <v>1574</v>
      </c>
      <c r="B20" s="202" t="s">
        <v>1575</v>
      </c>
      <c r="C20" s="224">
        <f ca="1">ROUND((C5+C19)*F20,0)</f>
        <v>122943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281444</v>
      </c>
      <c r="D22" s="227">
        <f ca="1">C26</f>
        <v>4.0000000000000002E-4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139344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139344</v>
      </c>
      <c r="D24" s="230"/>
      <c r="E24" s="230"/>
      <c r="F24" s="231"/>
      <c r="G24" s="232" t="s">
        <v>1586</v>
      </c>
    </row>
    <row r="25" spans="1:7" s="206" customFormat="1" ht="24">
      <c r="A25" s="734" t="s">
        <v>1476</v>
      </c>
      <c r="B25" s="207" t="s">
        <v>1587</v>
      </c>
      <c r="C25" s="230">
        <f ca="1">ROUND(IF('数据-取费表'!B22&lt;=1,C20*F22*'数据-取费表'!B22/2,C20*(POWER((1+F22),'数据-取费表'!B22/2)-1)),0)</f>
        <v>2756</v>
      </c>
      <c r="D25" s="230"/>
      <c r="E25" s="233"/>
      <c r="F25" s="231"/>
      <c r="G25" s="234" t="s">
        <v>1588</v>
      </c>
    </row>
    <row r="26" spans="1:7" s="206" customFormat="1">
      <c r="A26" s="734" t="s">
        <v>350</v>
      </c>
      <c r="B26" s="207" t="s">
        <v>1511</v>
      </c>
      <c r="C26" s="230">
        <f ca="1">ROUND(IF('数据-取费表'!B22&lt;=1,F21*F22*'数据-取费表'!B22/2,F21*(POWER((1+F22),'数据-取费表'!B22/2)-1)),4)</f>
        <v>4.0000000000000002E-4</v>
      </c>
      <c r="D26" s="230"/>
      <c r="E26" s="233"/>
      <c r="F26" s="231"/>
      <c r="G26" s="235"/>
    </row>
    <row r="27" spans="1:7" s="206" customFormat="1" ht="24.75">
      <c r="A27" s="247" t="s">
        <v>1512</v>
      </c>
      <c r="B27" s="236" t="s">
        <v>1513</v>
      </c>
      <c r="C27" s="237">
        <f ca="1">C28</f>
        <v>627012</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627012</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7766495</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52404642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46103790</v>
      </c>
      <c r="D34" s="209"/>
      <c r="E34" s="212"/>
      <c r="F34" s="249"/>
      <c r="G34" s="211"/>
    </row>
    <row r="35" spans="1:7" ht="13.5" customHeight="1">
      <c r="A35" s="734" t="s">
        <v>351</v>
      </c>
      <c r="B35" s="207" t="s">
        <v>1527</v>
      </c>
      <c r="C35" s="212">
        <f ca="1">ROUND(C34*F35,0)</f>
        <v>2305190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3073586</v>
      </c>
      <c r="D37" s="209">
        <f ca="1">D19</f>
        <v>15367.93</v>
      </c>
      <c r="E37" s="241">
        <f>'数据-取费表'!B35</f>
        <v>200</v>
      </c>
      <c r="F37" s="251"/>
      <c r="G37" s="253"/>
    </row>
    <row r="38" spans="1:7" ht="13.5" customHeight="1">
      <c r="A38" s="734" t="s">
        <v>354</v>
      </c>
      <c r="B38" s="207" t="s">
        <v>1533</v>
      </c>
      <c r="C38" s="212">
        <f ca="1">ROUND(C34*F38,0)</f>
        <v>922076</v>
      </c>
      <c r="D38" s="212"/>
      <c r="E38" s="212"/>
      <c r="F38" s="251">
        <f>'数据-取费表'!B36</f>
        <v>0.02</v>
      </c>
      <c r="G38" s="211" t="s">
        <v>1528</v>
      </c>
    </row>
    <row r="39" spans="1:7" s="206" customFormat="1" ht="13.5" customHeight="1">
      <c r="A39" s="247" t="s">
        <v>1534</v>
      </c>
      <c r="B39" s="202" t="s">
        <v>1535</v>
      </c>
      <c r="C39" s="224">
        <f ca="1">ROUND(C33*F20,0)</f>
        <v>1048093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1198232</v>
      </c>
      <c r="D41" s="227">
        <f ca="1">C44</f>
        <v>4.0000000000000002E-4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1174737</v>
      </c>
      <c r="D42" s="230"/>
      <c r="E42" s="230"/>
      <c r="F42" s="231"/>
      <c r="G42" s="3354" t="s">
        <v>1591</v>
      </c>
    </row>
    <row r="43" spans="1:7" ht="13.5" customHeight="1">
      <c r="A43" s="734" t="s">
        <v>347</v>
      </c>
      <c r="B43" s="207" t="s">
        <v>1545</v>
      </c>
      <c r="C43" s="230">
        <f ca="1">ROUND(IF('数据-取费表'!B22&lt;=1,C39*F22*'数据-取费表'!B20/2,C39*(POWER((1+F22),'数据-取费表'!B20/2)-1)),0)</f>
        <v>23495</v>
      </c>
      <c r="D43" s="230"/>
      <c r="E43" s="230"/>
      <c r="F43" s="231"/>
      <c r="G43" s="3355"/>
    </row>
    <row r="44" spans="1:7" ht="13.5" customHeight="1">
      <c r="A44" s="734" t="s">
        <v>348</v>
      </c>
      <c r="B44" s="207" t="s">
        <v>1546</v>
      </c>
      <c r="C44" s="230">
        <f ca="1">ROUND(IF('数据-取费表'!B22&lt;=1,C40*F22*'数据-取费表'!B20/2,C40*(POWER((1+F22),'数据-取费表'!B20/2)-1)),4)</f>
        <v>4.0000000000000002E-4</v>
      </c>
      <c r="D44" s="230"/>
      <c r="E44" s="230"/>
      <c r="F44" s="231"/>
      <c r="G44" s="3356"/>
    </row>
    <row r="45" spans="1:7" s="206" customFormat="1" ht="13.5" customHeight="1">
      <c r="A45" s="247" t="s">
        <v>1547</v>
      </c>
      <c r="B45" s="236" t="s">
        <v>1513</v>
      </c>
      <c r="C45" s="237">
        <f ca="1">C46</f>
        <v>5345274</v>
      </c>
      <c r="D45" s="227">
        <f ca="1">C47</f>
        <v>2E-3</v>
      </c>
      <c r="E45" s="228" t="s">
        <v>1539</v>
      </c>
      <c r="F45" s="238">
        <f ca="1">F27</f>
        <v>0.1</v>
      </c>
      <c r="G45" s="239" t="s">
        <v>1548</v>
      </c>
    </row>
    <row r="46" spans="1:7" s="206" customFormat="1" ht="13.5" customHeight="1">
      <c r="A46" s="734" t="s">
        <v>346</v>
      </c>
      <c r="B46" s="240" t="s">
        <v>1549</v>
      </c>
      <c r="C46" s="241">
        <f ca="1">ROUND((C33+C39)*F27,0)</f>
        <v>5345274</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64909922</v>
      </c>
      <c r="D49" s="224"/>
      <c r="E49" s="224"/>
      <c r="F49" s="256"/>
      <c r="G49" s="226" t="s">
        <v>1554</v>
      </c>
    </row>
    <row r="50" spans="1:7" s="250" customFormat="1">
      <c r="A50" s="247" t="s">
        <v>1555</v>
      </c>
      <c r="B50" s="202" t="s">
        <v>1556</v>
      </c>
      <c r="C50" s="224"/>
      <c r="D50" s="224"/>
      <c r="E50" s="224"/>
      <c r="F50" s="256">
        <f>IF('数据-取费表'!B24=0,'数据-取费表'!N16,1)</f>
        <v>0.74</v>
      </c>
      <c r="G50" s="239"/>
    </row>
    <row r="51" spans="1:7" ht="16.5" customHeight="1">
      <c r="A51" s="247" t="s">
        <v>1558</v>
      </c>
      <c r="B51" s="202" t="s">
        <v>1593</v>
      </c>
      <c r="C51" s="224">
        <f ca="1">ROUND(C49*F50,0)</f>
        <v>48033342</v>
      </c>
      <c r="D51" s="224"/>
      <c r="E51" s="224"/>
      <c r="F51" s="256"/>
      <c r="G51" s="226" t="s">
        <v>1560</v>
      </c>
    </row>
    <row r="52" spans="1:7" s="200" customFormat="1" ht="16.5" thickBot="1">
      <c r="A52" s="257" t="s">
        <v>1561</v>
      </c>
      <c r="B52" s="258"/>
      <c r="C52" s="259">
        <f ca="1">C31+C51</f>
        <v>55799837</v>
      </c>
      <c r="D52" s="258"/>
      <c r="E52" s="258"/>
      <c r="F52" s="258"/>
      <c r="G52" s="260"/>
    </row>
    <row r="55" spans="1:7" ht="15">
      <c r="B55" s="262" t="s">
        <v>1562</v>
      </c>
      <c r="C55" s="263"/>
    </row>
    <row r="56" spans="1:7">
      <c r="B56" s="265" t="s">
        <v>802</v>
      </c>
      <c r="C56" s="267">
        <f ca="1">1-C57</f>
        <v>0.13900000000000001</v>
      </c>
    </row>
    <row r="57" spans="1:7">
      <c r="B57" s="265" t="s">
        <v>803</v>
      </c>
      <c r="C57" s="266">
        <f ca="1">ROUND(C51/C52,3)</f>
        <v>0.86099999999999999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15367.93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15367.93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307</v>
      </c>
      <c r="D20" s="796">
        <f ca="1">IF(C1="",'数据-汇总表'!E6,IF(INDIRECT("'数据-取费表'!c"&amp;$K$1)="住宅",INDIRECT("'数据-取费表'!s"&amp;$K$1),INDIRECT("'数据-取费表'!k"&amp;$K$1)+INDIRECT("'数据-取费表'!s"&amp;$K$1)))</f>
        <v>15367.93</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26" sqref="H26"/>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15367.93</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2846</v>
      </c>
      <c r="C2" s="1846" t="s">
        <v>1935</v>
      </c>
      <c r="D2" s="162" t="s">
        <v>1936</v>
      </c>
      <c r="E2" s="3121" t="s">
        <v>3</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Ⅶ-亦1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2643</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1852</v>
      </c>
      <c r="C3" s="1846" t="s">
        <v>1941</v>
      </c>
      <c r="D3" s="162" t="s">
        <v>1942</v>
      </c>
      <c r="E3" s="3119" t="s">
        <v>2470</v>
      </c>
      <c r="F3" s="1848" t="s">
        <v>3424</v>
      </c>
      <c r="G3" s="708">
        <f>IF(F3="宗地容积率",'数据-汇总表'!I4,IF(F3="估价对象容积率",'数据-汇总表'!I6,'数据-汇总表'!I7))</f>
        <v>1.02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2083</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64"/>
      <c r="B4" s="3365"/>
      <c r="C4" s="3365"/>
      <c r="D4" s="3366"/>
      <c r="E4" s="3366"/>
      <c r="F4" s="3366"/>
      <c r="G4" s="3366"/>
      <c r="H4" s="3366"/>
      <c r="I4" s="3366"/>
      <c r="J4" s="336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1761</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1690</v>
      </c>
      <c r="D5" s="1252">
        <f>ROUND(C6*C17+C20,0)</f>
        <v>1690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1553</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1690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1492</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1690</v>
      </c>
      <c r="N7" s="813">
        <f>SUMPRODUCT((因素修正幅度!B190:B233=I2)*(因素修正幅度!C3:G3=E2)*(因素修正幅度!C190:G233))</f>
        <v>0.13</v>
      </c>
      <c r="O7" s="1056"/>
      <c r="P7" s="1056"/>
      <c r="Q7" s="1056"/>
      <c r="R7" s="1129">
        <v>6</v>
      </c>
      <c r="S7" s="3118"/>
      <c r="T7" s="3064">
        <f t="shared" si="0"/>
        <v>0</v>
      </c>
      <c r="U7" s="1130"/>
      <c r="V7" s="3064">
        <f t="shared" si="1"/>
        <v>0</v>
      </c>
      <c r="W7" s="1267" t="s">
        <v>1955</v>
      </c>
      <c r="X7" s="1131" t="str">
        <f>G2</f>
        <v>七级</v>
      </c>
      <c r="Y7" s="1131" t="s">
        <v>1956</v>
      </c>
      <c r="Z7" s="1132">
        <f>G3</f>
        <v>1.02</v>
      </c>
      <c r="AA7" s="1133"/>
      <c r="AB7" s="1133"/>
      <c r="AC7" s="1134"/>
      <c r="AD7" s="1135"/>
      <c r="AE7" s="1135"/>
      <c r="AF7" s="1135"/>
      <c r="AG7" s="1135"/>
      <c r="AH7" s="1135"/>
      <c r="AI7" s="1135"/>
      <c r="AJ7" s="1136"/>
    </row>
    <row r="8" spans="1:36" ht="25.5">
      <c r="A8" s="3010"/>
      <c r="B8" s="162" t="s">
        <v>1957</v>
      </c>
      <c r="C8" s="1870" t="s">
        <v>3425</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61" t="s">
        <v>1960</v>
      </c>
      <c r="X8" s="336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63"/>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63"/>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68" t="s">
        <v>3245</v>
      </c>
      <c r="B20" s="159" t="s">
        <v>1994</v>
      </c>
      <c r="C20" s="3032">
        <f>ROUND(IF(F21="与级别开发程度一致",0,(G21-E21)/C21),0)</f>
        <v>0</v>
      </c>
      <c r="D20" s="3047" t="s">
        <v>1998</v>
      </c>
      <c r="E20" s="3048"/>
      <c r="F20" s="3374" t="s">
        <v>1995</v>
      </c>
      <c r="G20" s="3375"/>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69"/>
      <c r="B21" s="2002" t="s">
        <v>1997</v>
      </c>
      <c r="C21" s="2003">
        <f>IF(E3="M4科研用地",SUMPRODUCT((修正!A2:A7=E3)*(修正!B1:M1=G2)*(修正!B2:M7)),SUMPRODUCT((修正!A2:A7=E2)*(修正!B1:M1=G2)*(修正!B2:M7)))</f>
        <v>1.2</v>
      </c>
      <c r="D21" s="179" t="str">
        <f>IF(OR(G2="八级",G2="九级",G2="十级",G2="十一级",G2="十二级"),"五通一平","七通一平")</f>
        <v>七通一平</v>
      </c>
      <c r="E21" s="1993">
        <f>SUMPRODUCT((修正!B1:M1=G2)*(修正!B17:M17))</f>
        <v>315</v>
      </c>
      <c r="F21" s="1994" t="s">
        <v>3426</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896" t="s">
        <v>2002</v>
      </c>
      <c r="E23" s="717">
        <v>44197</v>
      </c>
      <c r="F23" s="1896" t="s">
        <v>2003</v>
      </c>
      <c r="G23" s="718">
        <f>'数据-取费表'!B2</f>
        <v>45845</v>
      </c>
      <c r="H23" s="3049" t="s">
        <v>3247</v>
      </c>
      <c r="I23" s="3050" t="str">
        <f>IF(H23="季度增幅（自定义）",SUMIF(N25:N28,E2,O25:O28),"")</f>
        <v/>
      </c>
      <c r="J23" s="3142" t="s">
        <v>3246</v>
      </c>
      <c r="K23" s="1061"/>
      <c r="L23" s="1897" t="s">
        <v>2004</v>
      </c>
      <c r="M23" s="1241">
        <f>ROUND(SUMIF(地价!B2:G2,E2,地价!B16:G16),0)</f>
        <v>318</v>
      </c>
      <c r="N23" s="1898" t="s">
        <v>2005</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0.90659999999999996</v>
      </c>
      <c r="D24" s="1902" t="s">
        <v>2007</v>
      </c>
      <c r="E24" s="1248">
        <f>存贷款利率!E28/100</f>
        <v>4.3499999999999997E-2</v>
      </c>
      <c r="F24" s="1902" t="s">
        <v>1999</v>
      </c>
      <c r="G24" s="724">
        <f>SUMIF(M30:Q30,E2,M33:Q33)</f>
        <v>0.05</v>
      </c>
      <c r="H24" s="1902" t="s">
        <v>2008</v>
      </c>
      <c r="I24" s="725">
        <f>SUMIF('数据-取费表'!C6:C15,E2,'数据-取费表'!F6:F15)/COUNTIF('数据-取费表'!C6:C15,E2)</f>
        <v>36.020000000000003</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3326</v>
      </c>
      <c r="C25" s="461">
        <f>IF(B25="容积率修正",IF(G3&lt;10,D26,J26),C27)</f>
        <v>1.0523</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1.0523</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08">
        <f>ROUNDUP(G3,1)</f>
        <v>1.1000000000000001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1.0284</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1.0546</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2846</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1852</v>
      </c>
      <c r="D33" s="1940">
        <f>'数据-汇总表'!F19</f>
        <v>15367.93</v>
      </c>
      <c r="E33" s="727">
        <f>ROUND(C33*D33/10000,0)</f>
        <v>2846</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278</v>
      </c>
      <c r="D34" s="1945"/>
      <c r="E34" s="727">
        <f>ROUND(IF(B25="楼层修正",SUM(V2:V16)*M40,C34*D34/10000),0)</f>
        <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72"/>
      <c r="B37" s="1955" t="s">
        <v>2036</v>
      </c>
      <c r="C37" s="167">
        <f>ROUND(D5*C22*C23*C24*C28*F37,0)</f>
        <v>1056</v>
      </c>
      <c r="D37" s="1940"/>
      <c r="E37" s="163">
        <f>ROUND(C37*D37/10000,0)</f>
        <v>0</v>
      </c>
      <c r="F37" s="163">
        <f>SUMIF(修正!A59:A70,G2,修正!B59:B70)</f>
        <v>0.6</v>
      </c>
      <c r="G37" s="163">
        <f>ROUND(IF(E2="工业",C37*$M$42,C37*$M$41),0)</f>
        <v>158</v>
      </c>
      <c r="H37" s="163">
        <f>D37</f>
        <v>0</v>
      </c>
      <c r="I37" s="163">
        <f>ROUND(G37*H37/10000,0)</f>
        <v>0</v>
      </c>
      <c r="J37" s="2755"/>
      <c r="K37" s="3062" t="s">
        <v>3257</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73"/>
      <c r="B38" s="1884" t="s">
        <v>2037</v>
      </c>
      <c r="C38" s="167">
        <f>ROUND(D5*C22*C23*C24*C28*F38,0)</f>
        <v>528</v>
      </c>
      <c r="D38" s="1940"/>
      <c r="E38" s="163">
        <f t="shared" ref="E38:E42" si="4">ROUND(C38*D38/10000,0)</f>
        <v>0</v>
      </c>
      <c r="F38" s="163">
        <f>SUMIF(修正!A59:A70,G2,修正!C59:C70)</f>
        <v>0.3</v>
      </c>
      <c r="G38" s="163">
        <f>ROUND(IF(E2="工业",C38*$M$42,C38*$M$41),0)</f>
        <v>79</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73"/>
      <c r="B39" s="1884" t="s">
        <v>3250</v>
      </c>
      <c r="C39" s="167">
        <f>ROUND(D5*C22*C23*C24*C28*F39,0)</f>
        <v>440</v>
      </c>
      <c r="D39" s="1940"/>
      <c r="E39" s="163">
        <f t="shared" si="4"/>
        <v>0</v>
      </c>
      <c r="F39" s="163">
        <f>SUMIF(修正!A59:A70,G2,修正!D59:D70)</f>
        <v>0.25</v>
      </c>
      <c r="G39" s="163">
        <f>ROUND(IF(E2="工业",C39*$M$42,C39*$M$41),0)</f>
        <v>66</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440</v>
      </c>
      <c r="D40" s="1940"/>
      <c r="E40" s="163">
        <f t="shared" si="4"/>
        <v>0</v>
      </c>
      <c r="F40" s="167">
        <f>SUMIF(修正!A59:A70,G2,修正!E59:E70)</f>
        <v>0.25</v>
      </c>
      <c r="G40" s="163">
        <f>ROUND(IF(E2="工业",C40*$M$42,C40*$M$41),0)</f>
        <v>66</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3"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3260</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3260</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3260</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1.0546</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t="s">
        <v>3427</v>
      </c>
      <c r="D83" s="1002">
        <f t="shared" ref="D83:D90" si="22">SUMIF($J$82:$N$82,C83,J83:N83)</f>
        <v>1.6899999999999998E-2</v>
      </c>
      <c r="E83" s="702">
        <f>ROUND(SUM(D83:D90),4)</f>
        <v>5.4600000000000003E-2</v>
      </c>
      <c r="F83" s="1675">
        <f>IF(E2="工业",SUMIF(L1:L12,G2,N1:N12),"——")</f>
        <v>0.13</v>
      </c>
      <c r="G83" s="1000">
        <f>H83</f>
        <v>1.6899999999999998E-2</v>
      </c>
      <c r="H83" s="1003">
        <f t="shared" ref="H83:H90" si="23">IFERROR(ROUNDDOWN($F$83*I83/2,4),"——")</f>
        <v>1.6899999999999998E-2</v>
      </c>
      <c r="I83" s="3069">
        <v>0.26</v>
      </c>
      <c r="J83" s="1001">
        <f t="shared" ref="J83:J90" si="24">K83+$G83</f>
        <v>3.3799999999999997E-2</v>
      </c>
      <c r="K83" s="1001">
        <f t="shared" ref="K83:K90" si="25">$L83+$G83</f>
        <v>1.6899999999999998E-2</v>
      </c>
      <c r="L83" s="1001">
        <v>0</v>
      </c>
      <c r="M83" s="1001">
        <f t="shared" ref="M83:N90" si="26">L83-$G83</f>
        <v>-1.6899999999999998E-2</v>
      </c>
      <c r="N83" s="1001">
        <f t="shared" si="26"/>
        <v>-3.3799999999999997E-2</v>
      </c>
      <c r="Z83" s="1845"/>
      <c r="AA83" s="1895"/>
      <c r="AG83" s="1058"/>
      <c r="AK83" s="1895"/>
    </row>
    <row r="84" spans="1:37" ht="14.25">
      <c r="A84" s="1970" t="s">
        <v>2053</v>
      </c>
      <c r="B84" s="1262">
        <f>估价对象房地状况!G16</f>
        <v>0</v>
      </c>
      <c r="C84" s="1887" t="s">
        <v>3427</v>
      </c>
      <c r="D84" s="1002">
        <f t="shared" si="22"/>
        <v>1.95E-2</v>
      </c>
      <c r="E84" s="705"/>
      <c r="F84" s="1675"/>
      <c r="G84" s="1000">
        <f t="shared" ref="G84:G90" si="27">H84</f>
        <v>1.95E-2</v>
      </c>
      <c r="H84" s="1003">
        <f t="shared" si="23"/>
        <v>1.95E-2</v>
      </c>
      <c r="I84" s="3069">
        <v>0.3</v>
      </c>
      <c r="J84" s="1001">
        <f t="shared" si="24"/>
        <v>3.9E-2</v>
      </c>
      <c r="K84" s="1001">
        <f t="shared" si="25"/>
        <v>1.95E-2</v>
      </c>
      <c r="L84" s="1001">
        <v>0</v>
      </c>
      <c r="M84" s="1001">
        <f t="shared" si="26"/>
        <v>-1.95E-2</v>
      </c>
      <c r="N84" s="1001">
        <f t="shared" si="26"/>
        <v>-3.9E-2</v>
      </c>
      <c r="Z84" s="1845"/>
      <c r="AA84" s="1895"/>
      <c r="AG84" s="1058"/>
      <c r="AK84" s="1895"/>
    </row>
    <row r="85" spans="1:37" ht="36">
      <c r="A85" s="3071" t="s">
        <v>3261</v>
      </c>
      <c r="B85" s="1262">
        <f>估价对象房地状况!G17</f>
        <v>0</v>
      </c>
      <c r="C85" s="1887" t="s">
        <v>3427</v>
      </c>
      <c r="D85" s="1002">
        <f t="shared" si="22"/>
        <v>6.4999999999999997E-3</v>
      </c>
      <c r="E85" s="705"/>
      <c r="F85" s="1675"/>
      <c r="G85" s="1000">
        <f t="shared" si="27"/>
        <v>6.4999999999999997E-3</v>
      </c>
      <c r="H85" s="1003">
        <f t="shared" si="23"/>
        <v>6.4999999999999997E-3</v>
      </c>
      <c r="I85" s="3069">
        <v>0.1</v>
      </c>
      <c r="J85" s="1001">
        <f t="shared" si="24"/>
        <v>1.2999999999999999E-2</v>
      </c>
      <c r="K85" s="1001">
        <f t="shared" si="25"/>
        <v>6.4999999999999997E-3</v>
      </c>
      <c r="L85" s="1001">
        <v>0</v>
      </c>
      <c r="M85" s="1001">
        <f t="shared" si="26"/>
        <v>-6.4999999999999997E-3</v>
      </c>
      <c r="N85" s="1001">
        <f t="shared" si="26"/>
        <v>-1.2999999999999999E-2</v>
      </c>
      <c r="Z85" s="1845"/>
      <c r="AA85" s="1895"/>
      <c r="AG85" s="1058"/>
      <c r="AK85" s="1895"/>
    </row>
    <row r="86" spans="1:37" ht="14.25">
      <c r="A86" s="1970" t="s">
        <v>2067</v>
      </c>
      <c r="B86" s="1262">
        <f>估价对象房地状况!G22</f>
        <v>0</v>
      </c>
      <c r="C86" s="1887" t="s">
        <v>3428</v>
      </c>
      <c r="D86" s="1002">
        <f t="shared" si="22"/>
        <v>0</v>
      </c>
      <c r="E86" s="705"/>
      <c r="F86" s="1675"/>
      <c r="G86" s="1000">
        <f t="shared" si="27"/>
        <v>3.2000000000000002E-3</v>
      </c>
      <c r="H86" s="1003">
        <f t="shared" si="23"/>
        <v>3.2000000000000002E-3</v>
      </c>
      <c r="I86" s="3069">
        <v>0.05</v>
      </c>
      <c r="J86" s="1001">
        <f t="shared" si="24"/>
        <v>6.4000000000000003E-3</v>
      </c>
      <c r="K86" s="1001">
        <f t="shared" si="25"/>
        <v>3.2000000000000002E-3</v>
      </c>
      <c r="L86" s="1001">
        <v>0</v>
      </c>
      <c r="M86" s="1001">
        <f t="shared" si="26"/>
        <v>-3.2000000000000002E-3</v>
      </c>
      <c r="N86" s="1001">
        <f t="shared" si="26"/>
        <v>-6.4000000000000003E-3</v>
      </c>
      <c r="Z86" s="1845"/>
      <c r="AA86" s="1895"/>
      <c r="AG86" s="1058"/>
      <c r="AK86" s="1895"/>
    </row>
    <row r="87" spans="1:37" ht="24">
      <c r="A87" s="1970" t="s">
        <v>2059</v>
      </c>
      <c r="B87" s="1240">
        <f>估价对象房地状况!G19</f>
        <v>0</v>
      </c>
      <c r="C87" s="1887" t="s">
        <v>3428</v>
      </c>
      <c r="D87" s="1002">
        <f t="shared" si="22"/>
        <v>0</v>
      </c>
      <c r="E87" s="705"/>
      <c r="F87" s="1675"/>
      <c r="G87" s="1000">
        <f t="shared" si="27"/>
        <v>3.8999999999999998E-3</v>
      </c>
      <c r="H87" s="1003">
        <f t="shared" si="23"/>
        <v>3.8999999999999998E-3</v>
      </c>
      <c r="I87" s="3069">
        <v>0.06</v>
      </c>
      <c r="J87" s="1001">
        <f t="shared" si="24"/>
        <v>7.7999999999999996E-3</v>
      </c>
      <c r="K87" s="1001">
        <f t="shared" si="25"/>
        <v>3.8999999999999998E-3</v>
      </c>
      <c r="L87" s="1001">
        <v>0</v>
      </c>
      <c r="M87" s="1001">
        <f t="shared" si="26"/>
        <v>-3.8999999999999998E-3</v>
      </c>
      <c r="N87" s="1001">
        <f t="shared" si="26"/>
        <v>-7.7999999999999996E-3</v>
      </c>
    </row>
    <row r="88" spans="1:37" ht="24">
      <c r="A88" s="1970" t="s">
        <v>2060</v>
      </c>
      <c r="B88" s="1240">
        <f>估价对象房地状况!G20</f>
        <v>0</v>
      </c>
      <c r="C88" s="1887" t="s">
        <v>3427</v>
      </c>
      <c r="D88" s="1002">
        <f t="shared" si="22"/>
        <v>7.7999999999999996E-3</v>
      </c>
      <c r="E88" s="705"/>
      <c r="F88" s="1675"/>
      <c r="G88" s="1000">
        <f t="shared" si="27"/>
        <v>7.7999999999999996E-3</v>
      </c>
      <c r="H88" s="1003">
        <f t="shared" si="23"/>
        <v>7.7999999999999996E-3</v>
      </c>
      <c r="I88" s="3069">
        <v>0.12</v>
      </c>
      <c r="J88" s="1001">
        <f t="shared" si="24"/>
        <v>1.5599999999999999E-2</v>
      </c>
      <c r="K88" s="1001">
        <f t="shared" si="25"/>
        <v>7.7999999999999996E-3</v>
      </c>
      <c r="L88" s="1001">
        <v>0</v>
      </c>
      <c r="M88" s="1001">
        <f t="shared" si="26"/>
        <v>-7.7999999999999996E-3</v>
      </c>
      <c r="N88" s="1001">
        <f t="shared" si="26"/>
        <v>-1.5599999999999999E-2</v>
      </c>
    </row>
    <row r="89" spans="1:37" ht="24">
      <c r="A89" s="1970" t="s">
        <v>2057</v>
      </c>
      <c r="B89" s="1975" t="s">
        <v>2071</v>
      </c>
      <c r="C89" s="1887" t="s">
        <v>3427</v>
      </c>
      <c r="D89" s="1002">
        <f t="shared" si="22"/>
        <v>3.8999999999999998E-3</v>
      </c>
      <c r="E89" s="705"/>
      <c r="F89" s="1675"/>
      <c r="G89" s="1000">
        <f t="shared" si="27"/>
        <v>3.8999999999999998E-3</v>
      </c>
      <c r="H89" s="1003">
        <f t="shared" si="23"/>
        <v>3.8999999999999998E-3</v>
      </c>
      <c r="I89" s="3069">
        <v>0.06</v>
      </c>
      <c r="J89" s="1001">
        <f t="shared" si="24"/>
        <v>7.7999999999999996E-3</v>
      </c>
      <c r="K89" s="1001">
        <f t="shared" si="25"/>
        <v>3.8999999999999998E-3</v>
      </c>
      <c r="L89" s="1001">
        <v>0</v>
      </c>
      <c r="M89" s="1001">
        <f t="shared" si="26"/>
        <v>-3.8999999999999998E-3</v>
      </c>
      <c r="N89" s="1001">
        <f t="shared" si="26"/>
        <v>-7.7999999999999996E-3</v>
      </c>
    </row>
    <row r="90" spans="1:37" ht="15" thickBot="1">
      <c r="A90" s="1977" t="s">
        <v>2072</v>
      </c>
      <c r="B90" s="1982">
        <f>估价对象房地状况!G18</f>
        <v>0</v>
      </c>
      <c r="C90" s="1887" t="s">
        <v>3428</v>
      </c>
      <c r="D90" s="1002">
        <f t="shared" si="22"/>
        <v>0</v>
      </c>
      <c r="E90" s="706"/>
      <c r="F90" s="1675"/>
      <c r="G90" s="1000">
        <f t="shared" si="27"/>
        <v>3.2000000000000002E-3</v>
      </c>
      <c r="H90" s="1003">
        <f t="shared" si="23"/>
        <v>3.2000000000000002E-3</v>
      </c>
      <c r="I90" s="3070">
        <v>0.05</v>
      </c>
      <c r="J90" s="1001">
        <f t="shared" si="24"/>
        <v>6.4000000000000003E-3</v>
      </c>
      <c r="K90" s="1001">
        <f t="shared" si="25"/>
        <v>3.2000000000000002E-3</v>
      </c>
      <c r="L90" s="1001">
        <v>0</v>
      </c>
      <c r="M90" s="1001">
        <f t="shared" si="26"/>
        <v>-3.2000000000000002E-3</v>
      </c>
      <c r="N90" s="1001">
        <f t="shared" si="26"/>
        <v>-6.4000000000000003E-3</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3264</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3260</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3265</v>
      </c>
      <c r="B96" s="3087" t="s">
        <v>3276</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3266</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3267</v>
      </c>
      <c r="B98" s="3088" t="s">
        <v>3277</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3268</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3269</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3270</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70" t="s">
        <v>3285</v>
      </c>
      <c r="B103" s="3370"/>
      <c r="C103" s="3370"/>
      <c r="D103" s="3370"/>
      <c r="E103" s="3370"/>
      <c r="F103" s="3370"/>
      <c r="G103" s="3370"/>
      <c r="H103" s="3370"/>
      <c r="I103" s="3370"/>
      <c r="J103" s="3370"/>
      <c r="K103" s="1667"/>
      <c r="L103" s="1667"/>
      <c r="M103" s="1667"/>
      <c r="N103" s="1667"/>
    </row>
    <row r="104" spans="1:14">
      <c r="A104" s="3371" t="s">
        <v>3286</v>
      </c>
      <c r="B104" s="3371" t="s">
        <v>3287</v>
      </c>
      <c r="C104" s="3091" t="s">
        <v>3288</v>
      </c>
      <c r="D104" s="3092"/>
      <c r="E104" s="3092"/>
      <c r="F104" s="3092"/>
      <c r="G104" s="3092"/>
      <c r="H104" s="3092"/>
      <c r="I104" s="3092"/>
      <c r="J104" s="3093"/>
      <c r="K104" s="3094"/>
      <c r="L104" s="3094"/>
      <c r="M104" s="3094"/>
      <c r="N104" s="3094"/>
    </row>
    <row r="105" spans="1:14">
      <c r="A105" s="3371"/>
      <c r="B105" s="3371"/>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357"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58"/>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58"/>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58"/>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58"/>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58"/>
      <c r="B111" s="3095" t="s">
        <v>3259</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359"/>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360" t="s">
        <v>3302</v>
      </c>
      <c r="B113" s="3360"/>
      <c r="C113" s="3360"/>
      <c r="D113" s="3360"/>
      <c r="E113" s="3360"/>
      <c r="F113" s="3360"/>
      <c r="G113" s="3360"/>
      <c r="H113" s="3360"/>
      <c r="I113" s="3360"/>
      <c r="J113" s="3360"/>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3303</v>
      </c>
      <c r="B116" s="3115">
        <f>G3</f>
        <v>1.02</v>
      </c>
      <c r="C116" s="3100" t="s">
        <v>3304</v>
      </c>
      <c r="D116" s="3101">
        <f>SUMPRODUCT((A118:A122=F116)*(B117:M117=H116)*B118:M122)</f>
        <v>0.64280000000000004</v>
      </c>
      <c r="E116" s="162" t="s">
        <v>3305</v>
      </c>
      <c r="F116" s="3102" t="str">
        <f>E2</f>
        <v>工业</v>
      </c>
      <c r="G116" s="162" t="s">
        <v>3306</v>
      </c>
      <c r="H116" s="3102" t="str">
        <f>G2</f>
        <v>七级</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0.98560000000000003</v>
      </c>
      <c r="C118" s="3090">
        <f>B118</f>
        <v>0.98560000000000003</v>
      </c>
      <c r="D118" s="3090">
        <f>ROUND(0.949-0.014*B116,4)</f>
        <v>0.93469999999999998</v>
      </c>
      <c r="E118" s="3090">
        <f>D118</f>
        <v>0.93469999999999998</v>
      </c>
      <c r="F118" s="3090">
        <f>E118</f>
        <v>0.93469999999999998</v>
      </c>
      <c r="G118" s="3090">
        <f>F118</f>
        <v>0.93469999999999998</v>
      </c>
      <c r="H118" s="3090">
        <f>G118</f>
        <v>0.93469999999999998</v>
      </c>
      <c r="I118" s="3090">
        <f>ROUND(0.8486-0.018*B116,4)</f>
        <v>0.83020000000000005</v>
      </c>
      <c r="J118" s="3090">
        <f t="shared" ref="J118:M122" si="36">I118</f>
        <v>0.83020000000000005</v>
      </c>
      <c r="K118" s="3090">
        <f t="shared" si="36"/>
        <v>0.83020000000000005</v>
      </c>
      <c r="L118" s="3090">
        <f t="shared" si="36"/>
        <v>0.83020000000000005</v>
      </c>
      <c r="M118" s="3110">
        <f t="shared" si="36"/>
        <v>0.83020000000000005</v>
      </c>
      <c r="N118" s="3098"/>
    </row>
    <row r="119" spans="1:14">
      <c r="A119" s="3058" t="s">
        <v>3320</v>
      </c>
      <c r="B119" s="3090">
        <f>ROUND(0.993-0.0112*B116,4)</f>
        <v>0.98160000000000003</v>
      </c>
      <c r="C119" s="3090">
        <f>B119</f>
        <v>0.98160000000000003</v>
      </c>
      <c r="D119" s="3090">
        <f>ROUND(0.9415-0.0142*B116,4)</f>
        <v>0.92700000000000005</v>
      </c>
      <c r="E119" s="3090">
        <f t="shared" ref="E119:H120" si="37">D119</f>
        <v>0.92700000000000005</v>
      </c>
      <c r="F119" s="3090">
        <f t="shared" si="37"/>
        <v>0.92700000000000005</v>
      </c>
      <c r="G119" s="3090">
        <f t="shared" si="37"/>
        <v>0.92700000000000005</v>
      </c>
      <c r="H119" s="3090">
        <f t="shared" si="37"/>
        <v>0.92700000000000005</v>
      </c>
      <c r="I119" s="3090">
        <f>ROUND(0.838-0.0182*B116,4)</f>
        <v>0.81940000000000002</v>
      </c>
      <c r="J119" s="3090">
        <f t="shared" si="36"/>
        <v>0.81940000000000002</v>
      </c>
      <c r="K119" s="3090">
        <f t="shared" si="36"/>
        <v>0.81940000000000002</v>
      </c>
      <c r="L119" s="3090">
        <f t="shared" si="36"/>
        <v>0.81940000000000002</v>
      </c>
      <c r="M119" s="3110">
        <f t="shared" si="36"/>
        <v>0.81940000000000002</v>
      </c>
      <c r="N119" s="3098"/>
    </row>
    <row r="120" spans="1:14">
      <c r="A120" s="3058" t="s">
        <v>3321</v>
      </c>
      <c r="B120" s="3090">
        <f>ROUND(0.9448-0.0115*B116,4)</f>
        <v>0.93310000000000004</v>
      </c>
      <c r="C120" s="3090">
        <f>B120</f>
        <v>0.93310000000000004</v>
      </c>
      <c r="D120" s="3090">
        <f>ROUND(0.937-0.0145*B116,4)</f>
        <v>0.92220000000000002</v>
      </c>
      <c r="E120" s="3090">
        <f t="shared" si="37"/>
        <v>0.92220000000000002</v>
      </c>
      <c r="F120" s="3090">
        <f t="shared" si="37"/>
        <v>0.92220000000000002</v>
      </c>
      <c r="G120" s="3090">
        <f t="shared" si="37"/>
        <v>0.92220000000000002</v>
      </c>
      <c r="H120" s="3090">
        <f t="shared" si="37"/>
        <v>0.92220000000000002</v>
      </c>
      <c r="I120" s="3090">
        <f>ROUND(0.7965-0.0185*B116,4)</f>
        <v>0.77759999999999996</v>
      </c>
      <c r="J120" s="3090">
        <f t="shared" si="36"/>
        <v>0.77759999999999996</v>
      </c>
      <c r="K120" s="3090">
        <f t="shared" si="36"/>
        <v>0.77759999999999996</v>
      </c>
      <c r="L120" s="3090">
        <f t="shared" si="36"/>
        <v>0.77759999999999996</v>
      </c>
      <c r="M120" s="3110">
        <f t="shared" si="36"/>
        <v>0.77759999999999996</v>
      </c>
      <c r="N120" s="3098"/>
    </row>
    <row r="121" spans="1:14" ht="13.5" thickBot="1">
      <c r="A121" s="3111" t="s">
        <v>3322</v>
      </c>
      <c r="B121" s="3112">
        <f>ROUND(0.7836-0.012*B116,4)</f>
        <v>0.77139999999999997</v>
      </c>
      <c r="C121" s="3112">
        <f>B121</f>
        <v>0.77139999999999997</v>
      </c>
      <c r="D121" s="3112">
        <f>ROUND(0.753-0.015*B116,4)</f>
        <v>0.73770000000000002</v>
      </c>
      <c r="E121" s="3112">
        <f>D121</f>
        <v>0.73770000000000002</v>
      </c>
      <c r="F121" s="3112">
        <f>E121</f>
        <v>0.73770000000000002</v>
      </c>
      <c r="G121" s="3112">
        <f>ROUND(0.6612-0.018*B116,4)</f>
        <v>0.64280000000000004</v>
      </c>
      <c r="H121" s="3112">
        <f>G121</f>
        <v>0.64280000000000004</v>
      </c>
      <c r="I121" s="3112">
        <f>ROUND(0.5905-0.019*B116,4)</f>
        <v>0.57110000000000005</v>
      </c>
      <c r="J121" s="3112">
        <f t="shared" si="36"/>
        <v>0.57110000000000005</v>
      </c>
      <c r="K121" s="3112">
        <f t="shared" si="36"/>
        <v>0.57110000000000005</v>
      </c>
      <c r="L121" s="3112">
        <f t="shared" si="36"/>
        <v>0.57110000000000005</v>
      </c>
      <c r="M121" s="3113">
        <f t="shared" si="36"/>
        <v>0.57110000000000005</v>
      </c>
      <c r="N121" s="3098"/>
    </row>
    <row r="122" spans="1:14">
      <c r="A122" s="3114" t="s">
        <v>2603</v>
      </c>
      <c r="B122" s="3090">
        <f>ROUND(0.9404-0.0106*B116,4)</f>
        <v>0.92959999999999998</v>
      </c>
      <c r="C122" s="3090">
        <f>B122</f>
        <v>0.92959999999999998</v>
      </c>
      <c r="D122" s="3090">
        <f>ROUND(0.8955-0.0135*B116,4)</f>
        <v>0.88170000000000004</v>
      </c>
      <c r="E122" s="3090">
        <f t="shared" ref="E122:H122" si="38">D122</f>
        <v>0.88170000000000004</v>
      </c>
      <c r="F122" s="3090">
        <f t="shared" si="38"/>
        <v>0.88170000000000004</v>
      </c>
      <c r="G122" s="3090">
        <f t="shared" si="38"/>
        <v>0.88170000000000004</v>
      </c>
      <c r="H122" s="3090">
        <f t="shared" si="38"/>
        <v>0.88170000000000004</v>
      </c>
      <c r="I122" s="3090">
        <f>ROUND(0.7632-0.0166*B116,4)</f>
        <v>0.74629999999999996</v>
      </c>
      <c r="J122" s="3090">
        <f t="shared" si="36"/>
        <v>0.74629999999999996</v>
      </c>
      <c r="K122" s="3090">
        <f t="shared" si="36"/>
        <v>0.74629999999999996</v>
      </c>
      <c r="L122" s="3090">
        <f t="shared" si="36"/>
        <v>0.74629999999999996</v>
      </c>
      <c r="M122" s="3110">
        <f t="shared" si="36"/>
        <v>0.74629999999999996</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L41" sqref="L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36.020000000000003</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8402</v>
      </c>
      <c r="C2" s="1289" t="s">
        <v>805</v>
      </c>
      <c r="D2" s="1289"/>
      <c r="E2" s="1295"/>
      <c r="F2" s="1296"/>
      <c r="G2" s="2479"/>
      <c r="H2" s="2469"/>
      <c r="I2" s="2469"/>
      <c r="J2" s="2469"/>
      <c r="K2" s="2470"/>
      <c r="L2" s="2469"/>
      <c r="M2" s="2469"/>
    </row>
    <row r="3" spans="1:37" ht="18" customHeight="1" thickBot="1">
      <c r="A3" s="1297" t="s">
        <v>806</v>
      </c>
      <c r="B3" s="1298">
        <f ca="1">IF(ISERROR(B2*10000/F43),0,ROUND(B2*10000/F43,0))</f>
        <v>5467</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556</v>
      </c>
      <c r="D5" s="1273" t="s">
        <v>693</v>
      </c>
      <c r="E5" s="1008"/>
      <c r="F5" s="1009"/>
      <c r="G5" s="1292"/>
      <c r="H5" s="291">
        <v>1</v>
      </c>
      <c r="I5" s="292" t="s">
        <v>692</v>
      </c>
      <c r="J5" s="1007">
        <f ca="1">J6+J10+J12</f>
        <v>0</v>
      </c>
      <c r="K5" s="1273" t="s">
        <v>693</v>
      </c>
      <c r="L5" s="1008"/>
      <c r="M5" s="1009"/>
    </row>
    <row r="6" spans="1:37" ht="18" customHeight="1">
      <c r="A6" s="1006" t="s">
        <v>398</v>
      </c>
      <c r="B6" s="3378" t="s">
        <v>694</v>
      </c>
      <c r="C6" s="1011">
        <f ca="1">ROUND(F6*F8*F7*(1-F9)/10000,0)</f>
        <v>555</v>
      </c>
      <c r="D6" s="147" t="s">
        <v>2109</v>
      </c>
      <c r="E6" s="294" t="s">
        <v>696</v>
      </c>
      <c r="F6" s="295">
        <f ca="1">INDIRECT("'数据-取费表'!u"&amp;$G$1)</f>
        <v>1.1000000000000001</v>
      </c>
      <c r="G6" s="1292"/>
      <c r="H6" s="1006" t="s">
        <v>398</v>
      </c>
      <c r="I6" s="3378" t="s">
        <v>694</v>
      </c>
      <c r="J6" s="293">
        <f ca="1">ROUND(M6*M8*M7*(1-M9)/10000,0)</f>
        <v>0</v>
      </c>
      <c r="K6" s="147" t="s">
        <v>2108</v>
      </c>
      <c r="L6" s="294" t="s">
        <v>696</v>
      </c>
      <c r="M6" s="295">
        <f ca="1">INDIRECT("'数据-取费表'!z"&amp;$G$1)</f>
        <v>0</v>
      </c>
    </row>
    <row r="7" spans="1:37" ht="18" customHeight="1">
      <c r="A7" s="1010"/>
      <c r="B7" s="3379"/>
      <c r="C7" s="1012"/>
      <c r="D7" s="299"/>
      <c r="E7" s="1013" t="s">
        <v>697</v>
      </c>
      <c r="F7" s="295">
        <f ca="1">IF(INDIRECT("'数据-取费表'!ah"&amp;$G$1)="",INDIRECT("'数据-取费表'!k"&amp;$G$1),INDIRECT("'数据-取费表'!ah"&amp;$G$1))</f>
        <v>15367.93</v>
      </c>
      <c r="G7" s="1292"/>
      <c r="H7" s="296"/>
      <c r="I7" s="3379"/>
      <c r="J7" s="298"/>
      <c r="K7" s="299"/>
      <c r="L7" s="294" t="s">
        <v>697</v>
      </c>
      <c r="M7" s="295">
        <f ca="1">F7</f>
        <v>15367.93</v>
      </c>
    </row>
    <row r="8" spans="1:37" ht="18" customHeight="1">
      <c r="A8" s="296"/>
      <c r="B8" s="3379"/>
      <c r="C8" s="298"/>
      <c r="D8" s="299"/>
      <c r="E8" s="294" t="s">
        <v>698</v>
      </c>
      <c r="F8" s="295">
        <f ca="1">INDIRECT("'数据-取费表'!ai"&amp;$G$1)</f>
        <v>365</v>
      </c>
      <c r="G8" s="1292"/>
      <c r="H8" s="296"/>
      <c r="I8" s="3379"/>
      <c r="J8" s="298"/>
      <c r="K8" s="299"/>
      <c r="L8" s="294" t="s">
        <v>698</v>
      </c>
      <c r="M8" s="295">
        <f ca="1">INDIRECT("'数据-取费表'!ai"&amp;$G$1)</f>
        <v>365</v>
      </c>
    </row>
    <row r="9" spans="1:37" ht="18" customHeight="1">
      <c r="A9" s="296"/>
      <c r="B9" s="3380"/>
      <c r="C9" s="298"/>
      <c r="D9" s="299"/>
      <c r="E9" s="294" t="s">
        <v>699</v>
      </c>
      <c r="F9" s="304">
        <f ca="1">INDIRECT("'数据-取费表'!w"&amp;$G$1)</f>
        <v>0.1</v>
      </c>
      <c r="G9" s="1292"/>
      <c r="H9" s="296"/>
      <c r="I9" s="3380"/>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2117</v>
      </c>
      <c r="E10" s="305" t="s">
        <v>701</v>
      </c>
      <c r="F10" s="1053" t="s">
        <v>3420</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4803</v>
      </c>
      <c r="D13" s="1018" t="s">
        <v>705</v>
      </c>
      <c r="E13" s="1018" t="s">
        <v>706</v>
      </c>
      <c r="F13" s="1019">
        <f ca="1">INDIRECT("'数据-取费表'!y"&amp;$G$1)</f>
        <v>0.74</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4610</v>
      </c>
      <c r="D14" s="1257" t="s">
        <v>708</v>
      </c>
      <c r="E14" s="1255"/>
      <c r="F14" s="311"/>
      <c r="G14" s="1292"/>
      <c r="H14" s="928" t="s">
        <v>398</v>
      </c>
      <c r="I14" s="294" t="s">
        <v>709</v>
      </c>
      <c r="J14" s="21">
        <f ca="1">C29</f>
        <v>6490</v>
      </c>
      <c r="K14" s="12"/>
      <c r="L14" s="759"/>
      <c r="M14" s="760"/>
    </row>
    <row r="15" spans="1:37" s="1304" customFormat="1" ht="18" customHeight="1" thickBot="1">
      <c r="A15" s="928" t="s">
        <v>399</v>
      </c>
      <c r="B15" s="294" t="s">
        <v>710</v>
      </c>
      <c r="C15" s="21">
        <f ca="1">ROUND(C14*F15,0)</f>
        <v>231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15</v>
      </c>
      <c r="K16" s="1024" t="s">
        <v>715</v>
      </c>
      <c r="L16" s="1025"/>
      <c r="M16" s="1009"/>
    </row>
    <row r="17" spans="1:37" s="1304" customFormat="1" ht="18" customHeight="1">
      <c r="A17" s="928" t="s">
        <v>681</v>
      </c>
      <c r="B17" s="294" t="s">
        <v>716</v>
      </c>
      <c r="C17" s="21">
        <f ca="1">ROUND(F17*(F43+INDIRECT("'数据-取费表'!S"&amp;$G$1))/10000,0)</f>
        <v>307</v>
      </c>
      <c r="D17" s="294" t="s">
        <v>717</v>
      </c>
      <c r="E17" s="294" t="s">
        <v>718</v>
      </c>
      <c r="F17" s="23">
        <f>'数据-取费表'!B35</f>
        <v>200</v>
      </c>
      <c r="G17" s="1303"/>
      <c r="H17" s="928" t="s">
        <v>398</v>
      </c>
      <c r="I17" s="294" t="s">
        <v>719</v>
      </c>
      <c r="J17" s="2140">
        <f ca="1">ROUND(IF(AND(项目基本情况!B11="自然人",项目基本情况!B10="北京市"),J6*M17/(1+'数据-取费表'!C42),J18+J19+J20),2)</f>
        <v>2.27</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92</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5240</v>
      </c>
      <c r="D19" s="123" t="s">
        <v>726</v>
      </c>
      <c r="E19" s="1269"/>
      <c r="F19" s="23"/>
      <c r="G19" s="1292"/>
      <c r="H19" s="928" t="s">
        <v>399</v>
      </c>
      <c r="I19" s="294" t="s">
        <v>727</v>
      </c>
      <c r="J19" s="21">
        <f ca="1">IF(K19="按租金收入计税",ROUND(J6*M19/(1+'数据-取费表'!C42),2),ROUND(C29*M19*0.7,2))</f>
        <v>0</v>
      </c>
      <c r="K19" s="1278" t="s">
        <v>3327</v>
      </c>
      <c r="L19" s="294" t="s">
        <v>712</v>
      </c>
      <c r="M19" s="314">
        <f>IF(K19="按租金收入计税",'数据-取费表'!B51,'数据-取费表'!B50)</f>
        <v>0.12</v>
      </c>
    </row>
    <row r="20" spans="1:37" s="1304" customFormat="1" ht="18" customHeight="1">
      <c r="A20" s="928" t="s">
        <v>402</v>
      </c>
      <c r="B20" s="294" t="s">
        <v>728</v>
      </c>
      <c r="C20" s="21">
        <f ca="1">ROUND(C19*F20,0)</f>
        <v>105</v>
      </c>
      <c r="D20" s="315" t="s">
        <v>729</v>
      </c>
      <c r="E20" s="294" t="s">
        <v>712</v>
      </c>
      <c r="F20" s="314">
        <f>'数据-取费表'!B37</f>
        <v>0.02</v>
      </c>
      <c r="G20" s="1303"/>
      <c r="H20" s="928" t="s">
        <v>680</v>
      </c>
      <c r="I20" s="147" t="s">
        <v>730</v>
      </c>
      <c r="J20" s="22">
        <f ca="1">ROUND(M20*M21/10000,2)</f>
        <v>2.27</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15133.56</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12.98</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119</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-15</v>
      </c>
      <c r="K25" s="1032" t="s">
        <v>753</v>
      </c>
      <c r="L25" s="1033"/>
      <c r="M25" s="1034"/>
    </row>
    <row r="26" spans="1:37">
      <c r="A26" s="928" t="s">
        <v>397</v>
      </c>
      <c r="B26" s="294" t="s">
        <v>754</v>
      </c>
      <c r="C26" s="21">
        <f ca="1">ROUND((C19+C20)*F26,0)</f>
        <v>535</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6490</v>
      </c>
      <c r="D29" s="1029"/>
      <c r="E29" s="1027"/>
      <c r="F29" s="1030"/>
      <c r="G29" s="1303"/>
      <c r="H29" s="325" t="s">
        <v>396</v>
      </c>
      <c r="I29" s="326" t="s">
        <v>768</v>
      </c>
      <c r="J29" s="327">
        <f ca="1">ROUND(J26/(1+F40)^F41,0)</f>
        <v>0</v>
      </c>
      <c r="K29" s="328" t="s">
        <v>769</v>
      </c>
      <c r="L29" s="329"/>
      <c r="M29" s="330">
        <f ca="1">INDIRECT("'数据-取费表'!k"&amp;$G$1)</f>
        <v>15367.93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119</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95.3</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29.6</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63.43</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2.27</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15133.56</v>
      </c>
      <c r="G35" s="1292"/>
      <c r="H35" s="2471"/>
      <c r="I35" s="1305"/>
      <c r="J35" s="1306"/>
      <c r="K35" s="2475"/>
      <c r="L35" s="2474"/>
      <c r="M35" s="2474"/>
    </row>
    <row r="36" spans="1:18" ht="18" customHeight="1">
      <c r="A36" s="1039" t="s">
        <v>402</v>
      </c>
      <c r="B36" s="294" t="s">
        <v>738</v>
      </c>
      <c r="C36" s="21">
        <f ca="1">ROUND(C29*F36,2)</f>
        <v>12.98</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4.8</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5.56</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437</v>
      </c>
      <c r="D39" s="1032" t="s">
        <v>773</v>
      </c>
      <c r="E39" s="1033"/>
      <c r="F39" s="1034"/>
      <c r="G39" s="1292"/>
      <c r="H39" s="2474"/>
      <c r="I39" s="1305"/>
      <c r="J39" s="1306"/>
      <c r="K39" s="2472"/>
      <c r="L39" s="2474"/>
      <c r="M39" s="2474"/>
    </row>
    <row r="40" spans="1:18" ht="18" customHeight="1">
      <c r="A40" s="291" t="s">
        <v>395</v>
      </c>
      <c r="B40" s="292" t="s">
        <v>774</v>
      </c>
      <c r="C40" s="293">
        <f ca="1">ROUND(C39*(1-((1+F42)/(1+F40))^F41)/(F40-F42),0)</f>
        <v>8210</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36.020000000000003</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ROUND(C40*10000/F43,0)</f>
        <v>5342</v>
      </c>
      <c r="D43" s="328" t="s">
        <v>777</v>
      </c>
      <c r="E43" s="329" t="s">
        <v>778</v>
      </c>
      <c r="F43" s="330">
        <f ca="1">INDIRECT("'数据-取费表'!k"&amp;$G$1)</f>
        <v>15367.93</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-8521</v>
      </c>
      <c r="D46" s="1313" t="str">
        <f>C2</f>
        <v>万元</v>
      </c>
      <c r="E46" s="1307"/>
      <c r="F46" s="1307"/>
      <c r="I46" s="1314" t="s">
        <v>810</v>
      </c>
      <c r="J46" s="1315"/>
      <c r="K46" s="1316"/>
      <c r="L46" s="1317">
        <f ca="1">IF(M47="住宅",0,IF(L48&gt;J51,L60,J60))</f>
        <v>192</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3421</v>
      </c>
      <c r="K47" s="1323" t="s">
        <v>816</v>
      </c>
      <c r="L47" s="1324">
        <f ca="1">INDIRECT("'数据-取费表'!d"&amp;$G$1)</f>
        <v>50</v>
      </c>
      <c r="M47" s="1288" t="str">
        <f>IF(ISNUMBER(FIND("住宅",C1)),"住宅","非住宅")</f>
        <v>非住宅</v>
      </c>
      <c r="O47" s="1325" t="s">
        <v>403</v>
      </c>
      <c r="P47" s="1326" t="s">
        <v>817</v>
      </c>
      <c r="Q47" s="1327">
        <f ca="1">C40+J29</f>
        <v>8210</v>
      </c>
      <c r="R47" s="1327" t="s">
        <v>818</v>
      </c>
    </row>
    <row r="48" spans="1:18" s="1292" customFormat="1" ht="28.5" thickBot="1">
      <c r="A48" s="1047" t="s">
        <v>438</v>
      </c>
      <c r="B48" s="292" t="s">
        <v>692</v>
      </c>
      <c r="C48" s="1268">
        <f ca="1">C49+C53+C55</f>
        <v>0</v>
      </c>
      <c r="D48" s="1049"/>
      <c r="E48" s="1050"/>
      <c r="F48" s="908"/>
      <c r="G48" s="681"/>
      <c r="H48" s="682"/>
      <c r="I48" s="1328" t="s">
        <v>819</v>
      </c>
      <c r="J48" s="1329" t="s">
        <v>3422</v>
      </c>
      <c r="K48" s="1330" t="s">
        <v>820</v>
      </c>
      <c r="L48" s="1331">
        <f ca="1">INDIRECT("'数据-取费表'!f"&amp;$G$1)</f>
        <v>36.020000000000003</v>
      </c>
      <c r="O48" s="1325" t="s">
        <v>404</v>
      </c>
      <c r="P48" s="1326" t="s">
        <v>821</v>
      </c>
      <c r="Q48" s="1327">
        <f ca="1">J60</f>
        <v>192</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2012</v>
      </c>
      <c r="K49" s="1330" t="s">
        <v>824</v>
      </c>
      <c r="L49" s="1333"/>
      <c r="O49" s="1334" t="s">
        <v>405</v>
      </c>
      <c r="P49" s="1326" t="s">
        <v>825</v>
      </c>
      <c r="Q49" s="1327">
        <f ca="1">C29</f>
        <v>6490</v>
      </c>
      <c r="R49" s="1327" t="s">
        <v>818</v>
      </c>
    </row>
    <row r="50" spans="1:18" s="1292" customFormat="1" ht="13.5" thickBot="1">
      <c r="A50" s="922"/>
      <c r="B50" s="925"/>
      <c r="C50" s="1055"/>
      <c r="D50" s="899"/>
      <c r="E50" s="993" t="s">
        <v>697</v>
      </c>
      <c r="F50" s="994">
        <f ca="1">F7</f>
        <v>15367.93</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37</v>
      </c>
      <c r="K51" s="1339" t="s">
        <v>830</v>
      </c>
      <c r="L51" s="1340">
        <f ca="1">ROUND(-PV(INDIRECT("'数据-取费表'!h"&amp;$G$1),J51,(C39-C13*C76),0),0)</f>
        <v>1684</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36.020000000000003</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36.020000000000003</v>
      </c>
      <c r="K53" s="3376" t="s">
        <v>837</v>
      </c>
      <c r="L53" s="3377"/>
      <c r="O53" s="1325" t="s">
        <v>409</v>
      </c>
      <c r="P53" s="1326" t="s">
        <v>838</v>
      </c>
      <c r="Q53" s="1327">
        <f ca="1">Q47+Q48</f>
        <v>8402</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0.02</v>
      </c>
      <c r="K55" s="1350" t="s">
        <v>841</v>
      </c>
      <c r="L55" s="1351"/>
      <c r="O55" s="1318" t="s">
        <v>811</v>
      </c>
      <c r="P55" s="1319" t="s">
        <v>812</v>
      </c>
      <c r="Q55" s="1320" t="s">
        <v>813</v>
      </c>
      <c r="R55" s="1320" t="s">
        <v>814</v>
      </c>
    </row>
    <row r="56" spans="1:18" s="1292" customFormat="1" ht="25.5" thickTop="1" thickBot="1">
      <c r="A56" s="903">
        <v>2</v>
      </c>
      <c r="B56" s="904" t="s">
        <v>704</v>
      </c>
      <c r="C56" s="224">
        <f ca="1">C13</f>
        <v>4803</v>
      </c>
      <c r="D56" s="1352"/>
      <c r="E56" s="1353"/>
      <c r="F56" s="1345"/>
      <c r="I56" s="1354" t="s">
        <v>842</v>
      </c>
      <c r="J56" s="1355" t="s">
        <v>3423</v>
      </c>
      <c r="K56" s="1328" t="s">
        <v>843</v>
      </c>
      <c r="L56" s="1331" t="str">
        <f ca="1">IF(L48&lt;J51,"——",L48-J53)</f>
        <v>——</v>
      </c>
      <c r="O56" s="1325" t="s">
        <v>403</v>
      </c>
      <c r="P56" s="1326" t="s">
        <v>817</v>
      </c>
      <c r="Q56" s="1327">
        <f ca="1">C40+J29</f>
        <v>8210</v>
      </c>
      <c r="R56" s="1327" t="s">
        <v>818</v>
      </c>
    </row>
    <row r="57" spans="1:18" s="1292" customFormat="1" ht="24.75" thickBot="1">
      <c r="A57" s="1356"/>
      <c r="B57" s="896" t="s">
        <v>767</v>
      </c>
      <c r="C57" s="230">
        <f ca="1">C29</f>
        <v>6490</v>
      </c>
      <c r="D57" s="1357"/>
      <c r="E57" s="1358"/>
      <c r="F57" s="1359"/>
      <c r="I57" s="1360" t="s">
        <v>844</v>
      </c>
      <c r="J57" s="1361">
        <f ca="1">IF(OR(M47="住宅",J51&lt;L48,J56="是"),"——",J51-L48)</f>
        <v>0.97999999999999687</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20</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2</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2596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192</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2.27</v>
      </c>
      <c r="D62" s="911" t="s">
        <v>786</v>
      </c>
      <c r="E62" s="896" t="s">
        <v>787</v>
      </c>
      <c r="F62" s="317">
        <f t="shared" si="0"/>
        <v>1.5</v>
      </c>
      <c r="I62" s="1367" t="s">
        <v>858</v>
      </c>
      <c r="J62" s="610" t="s">
        <v>859</v>
      </c>
      <c r="K62" s="610" t="s">
        <v>860</v>
      </c>
      <c r="L62" s="610" t="s">
        <v>861</v>
      </c>
      <c r="M62" s="1368" t="s">
        <v>862</v>
      </c>
      <c r="O62" s="1325" t="s">
        <v>409</v>
      </c>
      <c r="P62" s="1326" t="s">
        <v>863</v>
      </c>
      <c r="Q62" s="1327">
        <f ca="1">Q56+Q57</f>
        <v>8210</v>
      </c>
      <c r="R62" s="1327" t="s">
        <v>410</v>
      </c>
    </row>
    <row r="63" spans="1:18" s="1292" customFormat="1" ht="13.5" thickBot="1">
      <c r="A63" s="318"/>
      <c r="B63" s="902"/>
      <c r="C63" s="26"/>
      <c r="D63" s="912"/>
      <c r="E63" s="896" t="s">
        <v>788</v>
      </c>
      <c r="F63" s="295">
        <f t="shared" ca="1" si="0"/>
        <v>15133.56</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12.98</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4.8</v>
      </c>
      <c r="D65" s="910" t="s">
        <v>743</v>
      </c>
      <c r="E65" s="896" t="s">
        <v>744</v>
      </c>
      <c r="F65" s="321">
        <f t="shared" ca="1" si="0"/>
        <v>1E-3</v>
      </c>
      <c r="I65" s="1367" t="s">
        <v>867</v>
      </c>
      <c r="J65" s="610">
        <v>40</v>
      </c>
      <c r="K65" s="610">
        <v>30</v>
      </c>
      <c r="L65" s="610">
        <v>50</v>
      </c>
      <c r="M65" s="1369">
        <v>0.02</v>
      </c>
      <c r="O65" s="1325" t="s">
        <v>403</v>
      </c>
      <c r="P65" s="1326" t="s">
        <v>868</v>
      </c>
      <c r="Q65" s="1327">
        <f ca="1">C40+J29</f>
        <v>8210</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-20</v>
      </c>
      <c r="D67" s="909" t="s">
        <v>753</v>
      </c>
      <c r="E67" s="914"/>
      <c r="F67" s="915"/>
      <c r="O67" s="1334" t="s">
        <v>405</v>
      </c>
      <c r="P67" s="1326" t="s">
        <v>850</v>
      </c>
      <c r="Q67" s="1370">
        <f ca="1">L51</f>
        <v>1684</v>
      </c>
      <c r="R67" s="1327" t="s">
        <v>870</v>
      </c>
    </row>
    <row r="68" spans="1:18" s="1292" customFormat="1" ht="16.5" thickBot="1">
      <c r="A68" s="893" t="s">
        <v>395</v>
      </c>
      <c r="B68" s="894" t="s">
        <v>774</v>
      </c>
      <c r="C68" s="293">
        <f ca="1">ROUND(C67*(1-((1+F70)/(1+F68))^F69)/(F68-F70),0)</f>
        <v>-311</v>
      </c>
      <c r="D68" s="911" t="s">
        <v>758</v>
      </c>
      <c r="E68" s="896" t="s">
        <v>759</v>
      </c>
      <c r="F68" s="304">
        <f ca="1">F40</f>
        <v>5.5E-2</v>
      </c>
      <c r="O68" s="1334" t="s">
        <v>406</v>
      </c>
      <c r="P68" s="1371" t="s">
        <v>871</v>
      </c>
      <c r="Q68" s="1327">
        <f ca="1">ROUND(Q69-Q70*Q71,0)</f>
        <v>101</v>
      </c>
      <c r="R68" s="1327" t="s">
        <v>414</v>
      </c>
    </row>
    <row r="69" spans="1:18" s="1292" customFormat="1" ht="13.5" thickBot="1">
      <c r="A69" s="897"/>
      <c r="B69" s="898"/>
      <c r="C69" s="298"/>
      <c r="D69" s="916" t="s">
        <v>762</v>
      </c>
      <c r="E69" s="896" t="s">
        <v>763</v>
      </c>
      <c r="F69" s="324">
        <f ca="1">F41</f>
        <v>36.020000000000003</v>
      </c>
      <c r="O69" s="1334" t="s">
        <v>411</v>
      </c>
      <c r="P69" s="1371" t="s">
        <v>872</v>
      </c>
      <c r="Q69" s="1327">
        <f ca="1">C39</f>
        <v>437</v>
      </c>
      <c r="R69" s="1327" t="s">
        <v>818</v>
      </c>
    </row>
    <row r="70" spans="1:18" s="1292" customFormat="1" ht="13.5" thickBot="1">
      <c r="A70" s="900"/>
      <c r="B70" s="901"/>
      <c r="C70" s="302"/>
      <c r="D70" s="912"/>
      <c r="E70" s="896" t="s">
        <v>766</v>
      </c>
      <c r="F70" s="991"/>
      <c r="O70" s="1334" t="s">
        <v>412</v>
      </c>
      <c r="P70" s="1371" t="s">
        <v>873</v>
      </c>
      <c r="Q70" s="1327">
        <f ca="1">C13</f>
        <v>4803</v>
      </c>
      <c r="R70" s="1327" t="s">
        <v>818</v>
      </c>
    </row>
    <row r="71" spans="1:18" s="1292" customFormat="1" ht="13.5" thickBot="1">
      <c r="A71" s="917" t="s">
        <v>396</v>
      </c>
      <c r="B71" s="918" t="s">
        <v>776</v>
      </c>
      <c r="C71" s="327">
        <f ca="1">ROUND(C68*10000/F71,0)</f>
        <v>-202</v>
      </c>
      <c r="D71" s="919" t="s">
        <v>777</v>
      </c>
      <c r="E71" s="920" t="s">
        <v>778</v>
      </c>
      <c r="F71" s="330">
        <f ca="1">F43</f>
        <v>15367.93</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336</v>
      </c>
      <c r="D75" s="1292"/>
      <c r="E75" s="1292"/>
      <c r="F75" s="1292"/>
      <c r="K75" s="1309"/>
      <c r="L75" s="1292"/>
      <c r="O75" s="1325" t="s">
        <v>409</v>
      </c>
      <c r="P75" s="1326" t="s">
        <v>838</v>
      </c>
      <c r="Q75" s="1327">
        <f ca="1">Q65+Q66</f>
        <v>8210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0.23099999999999998</v>
      </c>
    </row>
    <row r="80" spans="1:18">
      <c r="B80" s="331" t="s">
        <v>800</v>
      </c>
      <c r="C80" s="266">
        <f ca="1">ROUND(C75/C39,3)</f>
        <v>0.76900000000000002</v>
      </c>
    </row>
    <row r="81" spans="2:3">
      <c r="B81" s="262" t="s">
        <v>801</v>
      </c>
      <c r="C81" s="230"/>
    </row>
    <row r="82" spans="2:3">
      <c r="B82" s="265" t="s">
        <v>802</v>
      </c>
      <c r="C82" s="267">
        <f ca="1">1-C83</f>
        <v>0.41500000000000004</v>
      </c>
    </row>
    <row r="83" spans="2:3">
      <c r="B83" s="265" t="s">
        <v>803</v>
      </c>
      <c r="C83" s="266">
        <f ca="1">ROUND(C13/C40,3)</f>
        <v>0.58499999999999996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78" t="s">
        <v>694</v>
      </c>
      <c r="C6" s="1011">
        <f ca="1">ROUND(F6*F8*F7*(1-F9),0)</f>
        <v>0</v>
      </c>
      <c r="D6" s="147" t="s">
        <v>2106</v>
      </c>
      <c r="E6" s="294" t="s">
        <v>696</v>
      </c>
      <c r="F6" s="295">
        <f ca="1">INDIRECT("'数据-取费表'!u"&amp;$G$1)</f>
        <v>0</v>
      </c>
      <c r="G6" s="1292"/>
      <c r="H6" s="1006" t="s">
        <v>398</v>
      </c>
      <c r="I6" s="3378" t="s">
        <v>694</v>
      </c>
      <c r="J6" s="293">
        <f ca="1">ROUND(M6*M8*M7*(1-M9),0)</f>
        <v>0</v>
      </c>
      <c r="K6" s="1284" t="s">
        <v>2107</v>
      </c>
      <c r="L6" s="294" t="s">
        <v>696</v>
      </c>
      <c r="M6" s="295">
        <f ca="1">INDIRECT("'数据-取费表'!z"&amp;$G$1)</f>
        <v>0</v>
      </c>
    </row>
    <row r="7" spans="1:37" ht="18" customHeight="1">
      <c r="A7" s="1010"/>
      <c r="B7" s="3379"/>
      <c r="C7" s="1012"/>
      <c r="D7" s="299"/>
      <c r="E7" s="1013" t="s">
        <v>697</v>
      </c>
      <c r="F7" s="295">
        <f ca="1">IF(INDIRECT("'数据-取费表'!ah"&amp;$G$1)="",INDIRECT("'数据-取费表'!k"&amp;$G$1),INDIRECT("'数据-取费表'!ah"&amp;$G$1))</f>
        <v>0</v>
      </c>
      <c r="G7" s="1292"/>
      <c r="H7" s="296"/>
      <c r="I7" s="3379"/>
      <c r="J7" s="298"/>
      <c r="K7" s="299"/>
      <c r="L7" s="294" t="s">
        <v>697</v>
      </c>
      <c r="M7" s="295">
        <f ca="1">F7</f>
        <v>0</v>
      </c>
    </row>
    <row r="8" spans="1:37" ht="18" customHeight="1">
      <c r="A8" s="296"/>
      <c r="B8" s="3379"/>
      <c r="C8" s="298"/>
      <c r="D8" s="299"/>
      <c r="E8" s="294" t="s">
        <v>698</v>
      </c>
      <c r="F8" s="295">
        <f ca="1">INDIRECT("'数据-取费表'!ai"&amp;$G$1)</f>
        <v>0</v>
      </c>
      <c r="G8" s="1292"/>
      <c r="H8" s="296"/>
      <c r="I8" s="3379"/>
      <c r="J8" s="298"/>
      <c r="K8" s="299"/>
      <c r="L8" s="294" t="s">
        <v>698</v>
      </c>
      <c r="M8" s="295">
        <f ca="1">INDIRECT("'数据-取费表'!ai"&amp;$G$1)</f>
        <v>0</v>
      </c>
    </row>
    <row r="9" spans="1:37" ht="18" customHeight="1">
      <c r="A9" s="296"/>
      <c r="B9" s="3380"/>
      <c r="C9" s="298"/>
      <c r="D9" s="299"/>
      <c r="E9" s="294" t="s">
        <v>699</v>
      </c>
      <c r="F9" s="304">
        <f ca="1">INDIRECT("'数据-取费表'!w"&amp;$G$1)</f>
        <v>0</v>
      </c>
      <c r="G9" s="1292"/>
      <c r="H9" s="296"/>
      <c r="I9" s="338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3343</v>
      </c>
      <c r="B45" s="1307"/>
      <c r="C45" s="1376" t="e">
        <f ca="1">ROUND((C68-C40)/10000,4)</f>
        <v>#DIV/0!</v>
      </c>
      <c r="D45" s="3131" t="s">
        <v>3344</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76" t="s">
        <v>837</v>
      </c>
      <c r="L53" s="3377"/>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3350</v>
      </c>
      <c r="E2" s="3140"/>
      <c r="F2" s="2598"/>
      <c r="G2" s="2599"/>
      <c r="H2" s="2600"/>
      <c r="I2" s="2601"/>
      <c r="J2" s="3387" t="s">
        <v>2308</v>
      </c>
      <c r="K2" s="3388"/>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389" t="s">
        <v>2318</v>
      </c>
      <c r="K3" s="3390"/>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389" t="s">
        <v>2320</v>
      </c>
      <c r="K4" s="3390"/>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395" t="s">
        <v>2324</v>
      </c>
      <c r="B6" s="3396"/>
      <c r="C6" s="3397"/>
      <c r="D6" s="2622"/>
      <c r="E6" s="2623"/>
      <c r="F6" s="2624"/>
      <c r="G6" s="2625"/>
      <c r="H6" s="2600"/>
      <c r="I6" s="2601"/>
      <c r="J6" s="3381">
        <v>1</v>
      </c>
      <c r="K6" s="3382"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381"/>
      <c r="K7" s="3383"/>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398" t="s">
        <v>2338</v>
      </c>
      <c r="C8" s="3399"/>
      <c r="D8" s="2641" t="s">
        <v>2339</v>
      </c>
      <c r="E8" s="2642" t="s">
        <v>2340</v>
      </c>
      <c r="F8" s="2643" t="s">
        <v>2341</v>
      </c>
      <c r="G8" s="2644"/>
      <c r="H8" s="2600"/>
      <c r="I8" s="2601"/>
      <c r="J8" s="3381"/>
      <c r="K8" s="3383"/>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398" t="s">
        <v>2344</v>
      </c>
      <c r="C9" s="3399"/>
      <c r="D9" s="2641">
        <f>ROUND(D6*E9,0)</f>
        <v>0</v>
      </c>
      <c r="E9" s="2645"/>
      <c r="F9" s="2646" t="s">
        <v>2345</v>
      </c>
      <c r="G9" s="2625"/>
      <c r="H9" s="2600"/>
      <c r="I9" s="2601"/>
      <c r="J9" s="3381"/>
      <c r="K9" s="3383"/>
      <c r="L9" s="2635" t="s">
        <v>2346</v>
      </c>
      <c r="M9" s="2636"/>
      <c r="N9" s="2612"/>
      <c r="O9" s="2637"/>
      <c r="P9" s="2637"/>
      <c r="Q9" s="2638">
        <v>365</v>
      </c>
      <c r="R9" s="2639">
        <f t="shared" si="0"/>
        <v>0</v>
      </c>
      <c r="S9" s="2593"/>
      <c r="T9" s="2593"/>
      <c r="U9" s="2593"/>
      <c r="V9" s="2601"/>
    </row>
    <row r="10" spans="1:22" s="2605" customFormat="1" ht="13.15" customHeight="1">
      <c r="A10" s="2640">
        <v>2</v>
      </c>
      <c r="B10" s="3398" t="s">
        <v>2347</v>
      </c>
      <c r="C10" s="3399"/>
      <c r="D10" s="2641">
        <f>ROUND(D6*E10,0)</f>
        <v>0</v>
      </c>
      <c r="E10" s="2645"/>
      <c r="F10" s="2646" t="s">
        <v>2348</v>
      </c>
      <c r="G10" s="2625"/>
      <c r="H10" s="2600"/>
      <c r="I10" s="2601"/>
      <c r="J10" s="3381"/>
      <c r="K10" s="3383"/>
      <c r="L10" s="2635" t="s">
        <v>2349</v>
      </c>
      <c r="M10" s="2636"/>
      <c r="N10" s="2612"/>
      <c r="O10" s="2637"/>
      <c r="P10" s="2637"/>
      <c r="Q10" s="2638">
        <v>365</v>
      </c>
      <c r="R10" s="2639">
        <f t="shared" si="0"/>
        <v>0</v>
      </c>
      <c r="S10" s="2593"/>
      <c r="T10" s="2593"/>
      <c r="U10" s="2593"/>
      <c r="V10" s="2601"/>
    </row>
    <row r="11" spans="1:22" s="2605" customFormat="1" ht="13.15" customHeight="1">
      <c r="A11" s="2640">
        <v>3</v>
      </c>
      <c r="B11" s="3398" t="s">
        <v>2350</v>
      </c>
      <c r="C11" s="3399"/>
      <c r="D11" s="2641">
        <f>D12+D14+D15+D16</f>
        <v>0</v>
      </c>
      <c r="E11" s="2647" t="e">
        <f>D11/D6</f>
        <v>#DIV/0!</v>
      </c>
      <c r="F11" s="2643"/>
      <c r="G11" s="2644"/>
      <c r="H11" s="2600"/>
      <c r="I11" s="2601"/>
      <c r="J11" s="3381"/>
      <c r="K11" s="3383"/>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391" t="s">
        <v>2353</v>
      </c>
      <c r="C12" s="3392"/>
      <c r="D12" s="2649">
        <f>ROUND(D13*1.2%*(1-30%),0)</f>
        <v>0</v>
      </c>
      <c r="E12" s="2650">
        <v>1.2E-2</v>
      </c>
      <c r="F12" s="2643" t="s">
        <v>2354</v>
      </c>
      <c r="G12" s="2644"/>
      <c r="H12" s="2600"/>
      <c r="I12" s="2601"/>
      <c r="J12" s="3381"/>
      <c r="K12" s="3383"/>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381"/>
      <c r="K13" s="3383"/>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391" t="s">
        <v>2359</v>
      </c>
      <c r="C14" s="3392"/>
      <c r="D14" s="2649">
        <f>ROUND(E14*B5/10000,0)</f>
        <v>0</v>
      </c>
      <c r="E14" s="2638"/>
      <c r="F14" s="2643" t="s">
        <v>2360</v>
      </c>
      <c r="G14" s="2644"/>
      <c r="H14" s="2600"/>
      <c r="I14" s="2601"/>
      <c r="J14" s="3381"/>
      <c r="K14" s="3384"/>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391" t="s">
        <v>2363</v>
      </c>
      <c r="C15" s="3392"/>
      <c r="D15" s="2649">
        <f>ROUND(D6*E15,0)</f>
        <v>0</v>
      </c>
      <c r="E15" s="2650">
        <v>5.5E-2</v>
      </c>
      <c r="F15" s="2643" t="s">
        <v>2364</v>
      </c>
      <c r="G15" s="2625"/>
      <c r="H15" s="2600"/>
      <c r="I15" s="2601"/>
      <c r="J15" s="3381">
        <v>2</v>
      </c>
      <c r="K15" s="3382"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391" t="s">
        <v>2372</v>
      </c>
      <c r="C16" s="3392"/>
      <c r="D16" s="2660">
        <f>D6*E16</f>
        <v>0</v>
      </c>
      <c r="E16" s="2661"/>
      <c r="F16" s="2646" t="s">
        <v>2373</v>
      </c>
      <c r="G16" s="2625"/>
      <c r="H16" s="2600"/>
      <c r="I16" s="2601"/>
      <c r="J16" s="3381"/>
      <c r="K16" s="3383"/>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393" t="s">
        <v>2375</v>
      </c>
      <c r="C17" s="3394"/>
      <c r="D17" s="2663">
        <f>ROUND(D6*E17,0)</f>
        <v>0</v>
      </c>
      <c r="E17" s="2664"/>
      <c r="F17" s="2665" t="s">
        <v>2376</v>
      </c>
      <c r="G17" s="2625"/>
      <c r="H17" s="2600"/>
      <c r="I17" s="2601"/>
      <c r="J17" s="3381"/>
      <c r="K17" s="3383"/>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381"/>
      <c r="K18" s="3383"/>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81"/>
      <c r="K19" s="3384"/>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81">
        <v>3</v>
      </c>
      <c r="K20" s="3382"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81"/>
      <c r="K21" s="3383"/>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81"/>
      <c r="K22" s="3383"/>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381"/>
      <c r="K23" s="3383"/>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81"/>
      <c r="K24" s="3384"/>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385">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386"/>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387" t="s">
        <v>2308</v>
      </c>
      <c r="K32" s="3388"/>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89" t="s">
        <v>2318</v>
      </c>
      <c r="K33" s="3390"/>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389" t="s">
        <v>2320</v>
      </c>
      <c r="K34" s="3390"/>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381">
        <v>1</v>
      </c>
      <c r="K36" s="3382"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81"/>
      <c r="K37" s="3383"/>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81"/>
      <c r="K38" s="3383"/>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381"/>
      <c r="K39" s="3383"/>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381"/>
      <c r="K40" s="3384"/>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85">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386"/>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8402</v>
      </c>
      <c r="C2" s="1729" t="s">
        <v>1651</v>
      </c>
      <c r="D2" s="1730" t="s">
        <v>1652</v>
      </c>
      <c r="E2" s="2393">
        <f>SUM(E6:E13)</f>
        <v>15367.93</v>
      </c>
      <c r="F2" s="2480"/>
      <c r="G2" s="459"/>
      <c r="H2" s="459"/>
      <c r="I2" s="459"/>
      <c r="J2" s="459"/>
      <c r="K2" s="459"/>
      <c r="L2" s="459"/>
      <c r="M2" s="459"/>
      <c r="N2" s="459"/>
      <c r="O2" s="459"/>
      <c r="P2" s="459"/>
      <c r="Q2" s="459"/>
      <c r="R2" s="459"/>
      <c r="S2" s="459"/>
    </row>
    <row r="3" spans="1:22" ht="15.75">
      <c r="A3" s="1728" t="s">
        <v>686</v>
      </c>
      <c r="B3" s="2387">
        <f ca="1">ROUND(B2*10000/E2,0)</f>
        <v>5467</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00" t="s">
        <v>1654</v>
      </c>
      <c r="C5" s="3401"/>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8402</v>
      </c>
      <c r="C6" s="1729" t="s">
        <v>1651</v>
      </c>
      <c r="D6" s="2480"/>
      <c r="E6" s="2392">
        <f>IF(OR(A6=0,F6="否"),0,'数据-取费表'!K6+'数据-取费表'!S6)</f>
        <v>15367.93</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15367.93</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20" t="s">
        <v>1667</v>
      </c>
      <c r="D4" s="3421"/>
      <c r="E4" s="3422" t="s">
        <v>1668</v>
      </c>
      <c r="F4" s="3423"/>
      <c r="G4" s="3420" t="s">
        <v>1669</v>
      </c>
      <c r="H4" s="3421"/>
      <c r="I4" s="3420" t="s">
        <v>1670</v>
      </c>
      <c r="J4" s="3421"/>
      <c r="K4" s="1744" t="s">
        <v>1671</v>
      </c>
      <c r="L4" s="2487"/>
      <c r="M4" s="2488"/>
      <c r="N4" s="2488"/>
      <c r="O4" s="2488"/>
      <c r="P4" s="3424" t="s">
        <v>1672</v>
      </c>
      <c r="Q4" s="3425"/>
      <c r="R4" s="3430" t="s">
        <v>1668</v>
      </c>
      <c r="S4" s="3431"/>
      <c r="T4" s="3430" t="s">
        <v>1669</v>
      </c>
      <c r="U4" s="3431"/>
      <c r="V4" s="3406" t="s">
        <v>1670</v>
      </c>
      <c r="W4" s="3406"/>
      <c r="X4" s="1265"/>
      <c r="Y4" s="3430" t="s">
        <v>1672</v>
      </c>
      <c r="Z4" s="3431"/>
      <c r="AA4" s="3417" t="s">
        <v>1668</v>
      </c>
      <c r="AB4" s="3417" t="s">
        <v>1669</v>
      </c>
      <c r="AC4" s="3417" t="s">
        <v>1670</v>
      </c>
    </row>
    <row r="5" spans="1:29" ht="15">
      <c r="A5" s="348"/>
      <c r="B5" s="349"/>
      <c r="C5" s="3438" t="s">
        <v>1673</v>
      </c>
      <c r="D5" s="3439"/>
      <c r="E5" s="3445" t="s">
        <v>1674</v>
      </c>
      <c r="F5" s="3446"/>
      <c r="G5" s="3438" t="s">
        <v>1675</v>
      </c>
      <c r="H5" s="3439"/>
      <c r="I5" s="3438" t="s">
        <v>1676</v>
      </c>
      <c r="J5" s="3439"/>
      <c r="K5" s="1745"/>
      <c r="L5" s="2487"/>
      <c r="M5" s="2488"/>
      <c r="N5" s="2488"/>
      <c r="O5" s="2488"/>
      <c r="P5" s="3426"/>
      <c r="Q5" s="3427"/>
      <c r="R5" s="3432"/>
      <c r="S5" s="3433"/>
      <c r="T5" s="3432"/>
      <c r="U5" s="3433"/>
      <c r="V5" s="3406"/>
      <c r="W5" s="3406"/>
      <c r="X5" s="1265"/>
      <c r="Y5" s="3432"/>
      <c r="Z5" s="3433"/>
      <c r="AA5" s="3418"/>
      <c r="AB5" s="3418"/>
      <c r="AC5" s="3418"/>
    </row>
    <row r="6" spans="1:29" ht="15.75" thickBot="1">
      <c r="A6" s="350"/>
      <c r="B6" s="351"/>
      <c r="C6" s="3436" t="s">
        <v>1677</v>
      </c>
      <c r="D6" s="3437"/>
      <c r="E6" s="3443" t="s">
        <v>1677</v>
      </c>
      <c r="F6" s="3444"/>
      <c r="G6" s="3436" t="s">
        <v>1677</v>
      </c>
      <c r="H6" s="3437"/>
      <c r="I6" s="3436" t="s">
        <v>1677</v>
      </c>
      <c r="J6" s="3437"/>
      <c r="K6" s="1745" t="s">
        <v>1678</v>
      </c>
      <c r="L6" s="2487"/>
      <c r="M6" s="2488"/>
      <c r="N6" s="2488"/>
      <c r="O6" s="2488"/>
      <c r="P6" s="3428"/>
      <c r="Q6" s="3429"/>
      <c r="R6" s="3432"/>
      <c r="S6" s="3433"/>
      <c r="T6" s="3434"/>
      <c r="U6" s="3435"/>
      <c r="V6" s="3406"/>
      <c r="W6" s="3406"/>
      <c r="X6" s="1265"/>
      <c r="Y6" s="3434"/>
      <c r="Z6" s="3435"/>
      <c r="AA6" s="3419"/>
      <c r="AB6" s="3419"/>
      <c r="AC6" s="3419"/>
    </row>
    <row r="7" spans="1:29" s="102" customFormat="1" ht="15.75" thickBot="1">
      <c r="A7" s="352" t="s">
        <v>1679</v>
      </c>
      <c r="B7" s="353"/>
      <c r="C7" s="354">
        <f>'数据-取费表'!B2</f>
        <v>45845</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40" t="s">
        <v>1680</v>
      </c>
      <c r="Q7" s="3442"/>
      <c r="R7" s="664" t="s">
        <v>20</v>
      </c>
      <c r="S7" s="665">
        <f t="shared" ref="S7:S15" si="0">F7</f>
        <v>0</v>
      </c>
      <c r="T7" s="664" t="s">
        <v>20</v>
      </c>
      <c r="U7" s="665">
        <f t="shared" ref="U7:U15" si="1">H7</f>
        <v>0</v>
      </c>
      <c r="V7" s="664" t="s">
        <v>20</v>
      </c>
      <c r="W7" s="665">
        <f t="shared" ref="W7:W15" si="2">J7</f>
        <v>0</v>
      </c>
      <c r="X7" s="666"/>
      <c r="Y7" s="3440" t="s">
        <v>1680</v>
      </c>
      <c r="Z7" s="3441"/>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40" t="s">
        <v>1683</v>
      </c>
      <c r="Q8" s="3441"/>
      <c r="R8" s="664" t="s">
        <v>20</v>
      </c>
      <c r="S8" s="665">
        <f t="shared" si="0"/>
        <v>100</v>
      </c>
      <c r="T8" s="664" t="s">
        <v>20</v>
      </c>
      <c r="U8" s="665">
        <f t="shared" si="1"/>
        <v>100</v>
      </c>
      <c r="V8" s="664" t="s">
        <v>20</v>
      </c>
      <c r="W8" s="665">
        <f t="shared" si="2"/>
        <v>100</v>
      </c>
      <c r="X8" s="666"/>
      <c r="Y8" s="3440" t="s">
        <v>1683</v>
      </c>
      <c r="Z8" s="344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16"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16"/>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16"/>
      <c r="Q11" s="530" t="str">
        <f t="shared" si="6"/>
        <v>容积率</v>
      </c>
      <c r="R11" s="664" t="s">
        <v>18</v>
      </c>
      <c r="S11" s="665" t="e">
        <f t="shared" si="0"/>
        <v>#N/A</v>
      </c>
      <c r="T11" s="664" t="s">
        <v>18</v>
      </c>
      <c r="U11" s="665" t="e">
        <f t="shared" si="1"/>
        <v>#N/A</v>
      </c>
      <c r="V11" s="664" t="s">
        <v>18</v>
      </c>
      <c r="W11" s="665" t="e">
        <f t="shared" si="2"/>
        <v>#N/A</v>
      </c>
      <c r="X11" s="666"/>
      <c r="Y11" s="326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16"/>
      <c r="Q12" s="530">
        <f t="shared" si="6"/>
        <v>111</v>
      </c>
      <c r="R12" s="664" t="s">
        <v>18</v>
      </c>
      <c r="S12" s="665">
        <f t="shared" si="0"/>
        <v>100</v>
      </c>
      <c r="T12" s="664" t="s">
        <v>18</v>
      </c>
      <c r="U12" s="665">
        <f t="shared" si="1"/>
        <v>100</v>
      </c>
      <c r="V12" s="664" t="s">
        <v>18</v>
      </c>
      <c r="W12" s="665">
        <f t="shared" si="2"/>
        <v>100</v>
      </c>
      <c r="X12" s="666"/>
      <c r="Y12" s="326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16"/>
      <c r="Q13" s="530">
        <f t="shared" si="6"/>
        <v>111</v>
      </c>
      <c r="R13" s="664" t="s">
        <v>18</v>
      </c>
      <c r="S13" s="665">
        <f t="shared" si="0"/>
        <v>100</v>
      </c>
      <c r="T13" s="664" t="s">
        <v>18</v>
      </c>
      <c r="U13" s="665">
        <f t="shared" si="1"/>
        <v>100</v>
      </c>
      <c r="V13" s="664" t="s">
        <v>18</v>
      </c>
      <c r="W13" s="665">
        <f t="shared" si="2"/>
        <v>100</v>
      </c>
      <c r="X13" s="666"/>
      <c r="Y13" s="326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16"/>
      <c r="Q14" s="530">
        <f t="shared" si="6"/>
        <v>111</v>
      </c>
      <c r="R14" s="664" t="s">
        <v>18</v>
      </c>
      <c r="S14" s="665">
        <f t="shared" si="0"/>
        <v>100</v>
      </c>
      <c r="T14" s="664" t="s">
        <v>18</v>
      </c>
      <c r="U14" s="665">
        <f t="shared" si="1"/>
        <v>100</v>
      </c>
      <c r="V14" s="664" t="s">
        <v>18</v>
      </c>
      <c r="W14" s="665">
        <f t="shared" si="2"/>
        <v>100</v>
      </c>
      <c r="X14" s="666"/>
      <c r="Y14" s="3261"/>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14" t="s">
        <v>1691</v>
      </c>
      <c r="Q15" s="1263" t="str">
        <f t="shared" si="6"/>
        <v>居住社区成熟度</v>
      </c>
      <c r="R15" s="667" t="s">
        <v>18</v>
      </c>
      <c r="S15" s="668">
        <f t="shared" si="0"/>
        <v>100</v>
      </c>
      <c r="T15" s="667" t="s">
        <v>18</v>
      </c>
      <c r="U15" s="668">
        <f t="shared" si="1"/>
        <v>100</v>
      </c>
      <c r="V15" s="667" t="s">
        <v>18</v>
      </c>
      <c r="W15" s="668">
        <f t="shared" si="2"/>
        <v>100</v>
      </c>
      <c r="X15" s="1265"/>
      <c r="Y15" s="340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15"/>
      <c r="Q16" s="1263"/>
      <c r="R16" s="667"/>
      <c r="S16" s="668"/>
      <c r="T16" s="667"/>
      <c r="U16" s="668"/>
      <c r="V16" s="667"/>
      <c r="W16" s="668"/>
      <c r="X16" s="1265"/>
      <c r="Y16" s="3408"/>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15"/>
      <c r="Q17" s="1263" t="str">
        <f>B17</f>
        <v>交通便捷度</v>
      </c>
      <c r="R17" s="667" t="s">
        <v>18</v>
      </c>
      <c r="S17" s="668">
        <f>F17</f>
        <v>100</v>
      </c>
      <c r="T17" s="667" t="s">
        <v>18</v>
      </c>
      <c r="U17" s="668">
        <f>H17</f>
        <v>100</v>
      </c>
      <c r="V17" s="667" t="s">
        <v>18</v>
      </c>
      <c r="W17" s="668">
        <f>J17</f>
        <v>100</v>
      </c>
      <c r="X17" s="1265"/>
      <c r="Y17" s="340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15"/>
      <c r="Q18" s="1263"/>
      <c r="R18" s="667"/>
      <c r="S18" s="668"/>
      <c r="T18" s="667"/>
      <c r="U18" s="668"/>
      <c r="V18" s="667"/>
      <c r="W18" s="668"/>
      <c r="X18" s="1265"/>
      <c r="Y18" s="3408"/>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15"/>
      <c r="Q19" s="1263" t="str">
        <f>B19</f>
        <v>公共配套设施</v>
      </c>
      <c r="R19" s="667" t="s">
        <v>18</v>
      </c>
      <c r="S19" s="668">
        <f>F19</f>
        <v>100</v>
      </c>
      <c r="T19" s="667" t="s">
        <v>18</v>
      </c>
      <c r="U19" s="668">
        <f>H19</f>
        <v>100</v>
      </c>
      <c r="V19" s="667" t="s">
        <v>18</v>
      </c>
      <c r="W19" s="668">
        <f>J19</f>
        <v>100</v>
      </c>
      <c r="X19" s="1265"/>
      <c r="Y19" s="340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15"/>
      <c r="Q20" s="1263"/>
      <c r="R20" s="667"/>
      <c r="S20" s="668"/>
      <c r="T20" s="667"/>
      <c r="U20" s="668"/>
      <c r="V20" s="667"/>
      <c r="W20" s="668"/>
      <c r="X20" s="1265"/>
      <c r="Y20" s="3408"/>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15"/>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15"/>
      <c r="Q22" s="1263"/>
      <c r="R22" s="667"/>
      <c r="S22" s="668"/>
      <c r="T22" s="667"/>
      <c r="U22" s="668"/>
      <c r="V22" s="667"/>
      <c r="W22" s="668"/>
      <c r="X22" s="1265"/>
      <c r="Y22" s="3408"/>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15"/>
      <c r="Q23" s="1263" t="str">
        <f>B23</f>
        <v>自然及人文环境</v>
      </c>
      <c r="R23" s="667" t="s">
        <v>18</v>
      </c>
      <c r="S23" s="668">
        <f>F23</f>
        <v>100</v>
      </c>
      <c r="T23" s="667" t="s">
        <v>18</v>
      </c>
      <c r="U23" s="668">
        <f>H23</f>
        <v>100</v>
      </c>
      <c r="V23" s="667" t="s">
        <v>18</v>
      </c>
      <c r="W23" s="668">
        <f>J23</f>
        <v>100</v>
      </c>
      <c r="X23" s="1265"/>
      <c r="Y23" s="340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15"/>
      <c r="Q24" s="1263"/>
      <c r="R24" s="667"/>
      <c r="S24" s="668"/>
      <c r="T24" s="667"/>
      <c r="U24" s="668"/>
      <c r="V24" s="667"/>
      <c r="W24" s="668"/>
      <c r="X24" s="1265"/>
      <c r="Y24" s="340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1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15"/>
      <c r="Q26" s="1263" t="str">
        <f t="shared" si="11"/>
        <v>朝向</v>
      </c>
      <c r="R26" s="667" t="s">
        <v>18</v>
      </c>
      <c r="S26" s="668">
        <f t="shared" si="12"/>
        <v>100</v>
      </c>
      <c r="T26" s="667" t="s">
        <v>18</v>
      </c>
      <c r="U26" s="668">
        <f t="shared" si="13"/>
        <v>100</v>
      </c>
      <c r="V26" s="667" t="s">
        <v>18</v>
      </c>
      <c r="W26" s="668">
        <f t="shared" si="14"/>
        <v>100</v>
      </c>
      <c r="X26" s="1265"/>
      <c r="Y26" s="340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15"/>
      <c r="Q27" s="530">
        <f t="shared" si="11"/>
        <v>111</v>
      </c>
      <c r="R27" s="664" t="s">
        <v>18</v>
      </c>
      <c r="S27" s="665">
        <f t="shared" si="12"/>
        <v>100</v>
      </c>
      <c r="T27" s="664" t="s">
        <v>18</v>
      </c>
      <c r="U27" s="665">
        <f t="shared" si="13"/>
        <v>100</v>
      </c>
      <c r="V27" s="664" t="s">
        <v>18</v>
      </c>
      <c r="W27" s="665">
        <f t="shared" si="14"/>
        <v>100</v>
      </c>
      <c r="X27" s="666"/>
      <c r="Y27" s="340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15"/>
      <c r="Q28" s="1263">
        <f t="shared" si="11"/>
        <v>111</v>
      </c>
      <c r="R28" s="667" t="s">
        <v>18</v>
      </c>
      <c r="S28" s="668">
        <f t="shared" si="12"/>
        <v>100</v>
      </c>
      <c r="T28" s="667" t="s">
        <v>18</v>
      </c>
      <c r="U28" s="668">
        <f t="shared" si="13"/>
        <v>100</v>
      </c>
      <c r="V28" s="667" t="s">
        <v>18</v>
      </c>
      <c r="W28" s="668">
        <f t="shared" si="14"/>
        <v>100</v>
      </c>
      <c r="X28" s="1265"/>
      <c r="Y28" s="340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15"/>
      <c r="Q29" s="1263">
        <f t="shared" si="11"/>
        <v>111</v>
      </c>
      <c r="R29" s="667" t="s">
        <v>18</v>
      </c>
      <c r="S29" s="668">
        <f t="shared" si="12"/>
        <v>100</v>
      </c>
      <c r="T29" s="667" t="s">
        <v>18</v>
      </c>
      <c r="U29" s="668">
        <f t="shared" si="13"/>
        <v>100</v>
      </c>
      <c r="V29" s="667" t="s">
        <v>18</v>
      </c>
      <c r="W29" s="668">
        <f t="shared" si="14"/>
        <v>100</v>
      </c>
      <c r="X29" s="1265"/>
      <c r="Y29" s="340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15"/>
      <c r="Q30" s="1263">
        <f t="shared" si="11"/>
        <v>111</v>
      </c>
      <c r="R30" s="667" t="s">
        <v>18</v>
      </c>
      <c r="S30" s="668">
        <f t="shared" si="12"/>
        <v>100</v>
      </c>
      <c r="T30" s="667" t="s">
        <v>18</v>
      </c>
      <c r="U30" s="668">
        <f t="shared" si="13"/>
        <v>100</v>
      </c>
      <c r="V30" s="667" t="s">
        <v>18</v>
      </c>
      <c r="W30" s="668">
        <f t="shared" si="14"/>
        <v>100</v>
      </c>
      <c r="X30" s="1265"/>
      <c r="Y30" s="3408"/>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15"/>
      <c r="Q31" s="1263">
        <f t="shared" si="11"/>
        <v>111</v>
      </c>
      <c r="R31" s="667" t="s">
        <v>18</v>
      </c>
      <c r="S31" s="668">
        <f t="shared" si="12"/>
        <v>100</v>
      </c>
      <c r="T31" s="667" t="s">
        <v>18</v>
      </c>
      <c r="U31" s="668">
        <f t="shared" si="13"/>
        <v>100</v>
      </c>
      <c r="V31" s="667" t="s">
        <v>18</v>
      </c>
      <c r="W31" s="668">
        <f t="shared" si="14"/>
        <v>100</v>
      </c>
      <c r="X31" s="1265"/>
      <c r="Y31" s="340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09" t="s">
        <v>1696</v>
      </c>
      <c r="Q32" s="1263" t="str">
        <f t="shared" si="11"/>
        <v>建筑类型</v>
      </c>
      <c r="R32" s="667" t="s">
        <v>18</v>
      </c>
      <c r="S32" s="668">
        <f t="shared" si="12"/>
        <v>100</v>
      </c>
      <c r="T32" s="667" t="s">
        <v>18</v>
      </c>
      <c r="U32" s="668">
        <f t="shared" si="13"/>
        <v>100</v>
      </c>
      <c r="V32" s="667" t="s">
        <v>18</v>
      </c>
      <c r="W32" s="668">
        <f t="shared" si="14"/>
        <v>100</v>
      </c>
      <c r="X32" s="1265"/>
      <c r="Y32" s="341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10"/>
      <c r="Q33" s="531" t="str">
        <f t="shared" si="11"/>
        <v>项目建筑规模</v>
      </c>
      <c r="R33" s="669" t="s">
        <v>18</v>
      </c>
      <c r="S33" s="670" t="e">
        <f t="shared" si="12"/>
        <v>#N/A</v>
      </c>
      <c r="T33" s="669" t="s">
        <v>18</v>
      </c>
      <c r="U33" s="670" t="e">
        <f t="shared" si="13"/>
        <v>#N/A</v>
      </c>
      <c r="V33" s="669" t="s">
        <v>18</v>
      </c>
      <c r="W33" s="670" t="e">
        <f t="shared" si="14"/>
        <v>#N/A</v>
      </c>
      <c r="X33" s="671"/>
      <c r="Y33" s="341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10"/>
      <c r="Q34" s="1263" t="str">
        <f t="shared" si="11"/>
        <v>建筑结构</v>
      </c>
      <c r="R34" s="667" t="s">
        <v>18</v>
      </c>
      <c r="S34" s="668">
        <f t="shared" si="12"/>
        <v>100</v>
      </c>
      <c r="T34" s="667" t="s">
        <v>18</v>
      </c>
      <c r="U34" s="668">
        <f t="shared" si="13"/>
        <v>100</v>
      </c>
      <c r="V34" s="667" t="s">
        <v>18</v>
      </c>
      <c r="W34" s="668">
        <f t="shared" si="14"/>
        <v>100</v>
      </c>
      <c r="X34" s="1265"/>
      <c r="Y34" s="341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10"/>
      <c r="Q35" s="1263" t="str">
        <f t="shared" si="11"/>
        <v>建筑品质</v>
      </c>
      <c r="R35" s="667" t="s">
        <v>18</v>
      </c>
      <c r="S35" s="668">
        <f t="shared" si="12"/>
        <v>100</v>
      </c>
      <c r="T35" s="667" t="s">
        <v>18</v>
      </c>
      <c r="U35" s="668">
        <f t="shared" si="13"/>
        <v>100</v>
      </c>
      <c r="V35" s="667" t="s">
        <v>18</v>
      </c>
      <c r="W35" s="668">
        <f t="shared" si="14"/>
        <v>100</v>
      </c>
      <c r="X35" s="1265"/>
      <c r="Y35" s="341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10"/>
      <c r="Q36" s="1263" t="str">
        <f t="shared" si="11"/>
        <v>公共部分装修</v>
      </c>
      <c r="R36" s="667" t="s">
        <v>18</v>
      </c>
      <c r="S36" s="668">
        <f t="shared" si="12"/>
        <v>100</v>
      </c>
      <c r="T36" s="667" t="s">
        <v>18</v>
      </c>
      <c r="U36" s="668">
        <f t="shared" si="13"/>
        <v>100</v>
      </c>
      <c r="V36" s="667" t="s">
        <v>18</v>
      </c>
      <c r="W36" s="668">
        <f t="shared" si="14"/>
        <v>100</v>
      </c>
      <c r="X36" s="1265"/>
      <c r="Y36" s="341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10"/>
      <c r="Q37" s="530" t="str">
        <f t="shared" si="11"/>
        <v>成新度</v>
      </c>
      <c r="R37" s="664" t="s">
        <v>18</v>
      </c>
      <c r="S37" s="665" t="e">
        <f t="shared" si="12"/>
        <v>#N/A</v>
      </c>
      <c r="T37" s="664" t="s">
        <v>18</v>
      </c>
      <c r="U37" s="665" t="e">
        <f t="shared" si="13"/>
        <v>#N/A</v>
      </c>
      <c r="V37" s="664" t="s">
        <v>18</v>
      </c>
      <c r="W37" s="665" t="e">
        <f t="shared" si="14"/>
        <v>#N/A</v>
      </c>
      <c r="X37" s="666"/>
      <c r="Y37" s="341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10" t="s">
        <v>1696</v>
      </c>
      <c r="Q38" s="1263" t="str">
        <f t="shared" si="11"/>
        <v>物业管理</v>
      </c>
      <c r="R38" s="667" t="s">
        <v>18</v>
      </c>
      <c r="S38" s="668">
        <f t="shared" si="12"/>
        <v>100</v>
      </c>
      <c r="T38" s="667" t="s">
        <v>18</v>
      </c>
      <c r="U38" s="668">
        <f t="shared" si="13"/>
        <v>100</v>
      </c>
      <c r="V38" s="667" t="s">
        <v>18</v>
      </c>
      <c r="W38" s="668">
        <f t="shared" si="14"/>
        <v>100</v>
      </c>
      <c r="X38" s="1265"/>
      <c r="Y38" s="341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10"/>
      <c r="Q39" s="1263" t="str">
        <f t="shared" si="11"/>
        <v>市政基础设施</v>
      </c>
      <c r="R39" s="667" t="s">
        <v>18</v>
      </c>
      <c r="S39" s="668">
        <f t="shared" si="12"/>
        <v>100</v>
      </c>
      <c r="T39" s="667" t="s">
        <v>18</v>
      </c>
      <c r="U39" s="668">
        <f t="shared" si="13"/>
        <v>100</v>
      </c>
      <c r="V39" s="667" t="s">
        <v>18</v>
      </c>
      <c r="W39" s="668">
        <f t="shared" si="14"/>
        <v>100</v>
      </c>
      <c r="X39" s="1265"/>
      <c r="Y39" s="341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10"/>
      <c r="Q40" s="1263" t="str">
        <f t="shared" si="11"/>
        <v>房型</v>
      </c>
      <c r="R40" s="667" t="s">
        <v>18</v>
      </c>
      <c r="S40" s="668">
        <f t="shared" si="12"/>
        <v>100</v>
      </c>
      <c r="T40" s="667" t="s">
        <v>18</v>
      </c>
      <c r="U40" s="668">
        <f t="shared" si="13"/>
        <v>100</v>
      </c>
      <c r="V40" s="667" t="s">
        <v>18</v>
      </c>
      <c r="W40" s="668">
        <f t="shared" si="14"/>
        <v>100</v>
      </c>
      <c r="X40" s="1265"/>
      <c r="Y40" s="341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10"/>
      <c r="Q41" s="531" t="str">
        <f t="shared" si="11"/>
        <v>单套/主力户型建筑面积</v>
      </c>
      <c r="R41" s="669" t="s">
        <v>18</v>
      </c>
      <c r="S41" s="670">
        <f t="shared" si="12"/>
        <v>100</v>
      </c>
      <c r="T41" s="669" t="s">
        <v>18</v>
      </c>
      <c r="U41" s="670">
        <f t="shared" si="13"/>
        <v>100</v>
      </c>
      <c r="V41" s="669" t="s">
        <v>18</v>
      </c>
      <c r="W41" s="670">
        <f t="shared" si="14"/>
        <v>100</v>
      </c>
      <c r="X41" s="671"/>
      <c r="Y41" s="341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10"/>
      <c r="Q42" s="1263" t="str">
        <f t="shared" si="11"/>
        <v>内部装修</v>
      </c>
      <c r="R42" s="667" t="s">
        <v>18</v>
      </c>
      <c r="S42" s="668">
        <f t="shared" si="12"/>
        <v>100</v>
      </c>
      <c r="T42" s="667" t="s">
        <v>18</v>
      </c>
      <c r="U42" s="668">
        <f t="shared" si="13"/>
        <v>100</v>
      </c>
      <c r="V42" s="667" t="s">
        <v>18</v>
      </c>
      <c r="W42" s="668">
        <f t="shared" si="14"/>
        <v>100</v>
      </c>
      <c r="X42" s="1265"/>
      <c r="Y42" s="3412"/>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10"/>
      <c r="Q43" s="1263" t="str">
        <f t="shared" si="11"/>
        <v>内部装修维护情况</v>
      </c>
      <c r="R43" s="667" t="s">
        <v>18</v>
      </c>
      <c r="S43" s="668">
        <f t="shared" si="12"/>
        <v>100</v>
      </c>
      <c r="T43" s="667" t="s">
        <v>18</v>
      </c>
      <c r="U43" s="668">
        <f t="shared" si="13"/>
        <v>100</v>
      </c>
      <c r="V43" s="667" t="s">
        <v>18</v>
      </c>
      <c r="W43" s="668">
        <f t="shared" si="14"/>
        <v>100</v>
      </c>
      <c r="X43" s="1265"/>
      <c r="Y43" s="341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10"/>
      <c r="Q44" s="530">
        <f t="shared" si="11"/>
        <v>111</v>
      </c>
      <c r="R44" s="664" t="s">
        <v>18</v>
      </c>
      <c r="S44" s="665">
        <f t="shared" si="12"/>
        <v>100</v>
      </c>
      <c r="T44" s="664" t="s">
        <v>18</v>
      </c>
      <c r="U44" s="665">
        <f t="shared" si="13"/>
        <v>100</v>
      </c>
      <c r="V44" s="664" t="s">
        <v>18</v>
      </c>
      <c r="W44" s="665">
        <f t="shared" si="14"/>
        <v>100</v>
      </c>
      <c r="X44" s="666"/>
      <c r="Y44" s="341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10"/>
      <c r="Q45" s="1263">
        <f t="shared" si="11"/>
        <v>111</v>
      </c>
      <c r="R45" s="667" t="s">
        <v>18</v>
      </c>
      <c r="S45" s="668">
        <f t="shared" si="12"/>
        <v>100</v>
      </c>
      <c r="T45" s="667" t="s">
        <v>18</v>
      </c>
      <c r="U45" s="668">
        <f t="shared" si="13"/>
        <v>100</v>
      </c>
      <c r="V45" s="667" t="s">
        <v>18</v>
      </c>
      <c r="W45" s="668">
        <f t="shared" si="14"/>
        <v>100</v>
      </c>
      <c r="X45" s="1265"/>
      <c r="Y45" s="3412"/>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11"/>
      <c r="Q46" s="1263">
        <f t="shared" si="11"/>
        <v>111</v>
      </c>
      <c r="R46" s="667" t="s">
        <v>17</v>
      </c>
      <c r="S46" s="668">
        <f t="shared" si="12"/>
        <v>100</v>
      </c>
      <c r="T46" s="667" t="s">
        <v>17</v>
      </c>
      <c r="U46" s="668">
        <f t="shared" si="13"/>
        <v>100</v>
      </c>
      <c r="V46" s="667" t="s">
        <v>17</v>
      </c>
      <c r="W46" s="668">
        <f t="shared" si="14"/>
        <v>100</v>
      </c>
      <c r="X46" s="1265"/>
      <c r="Y46" s="3413"/>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05" t="str">
        <f>A47</f>
        <v>成交单价（元/平方米）</v>
      </c>
      <c r="Q47" s="3405"/>
      <c r="R47" s="3406">
        <f>E47</f>
        <v>0</v>
      </c>
      <c r="S47" s="3406"/>
      <c r="T47" s="3406">
        <f>G47</f>
        <v>0</v>
      </c>
      <c r="U47" s="3406"/>
      <c r="V47" s="3406">
        <f>I47</f>
        <v>0</v>
      </c>
      <c r="W47" s="3406"/>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05" t="str">
        <f>A48</f>
        <v>比较价值（元/平方米）</v>
      </c>
      <c r="Q48" s="3405"/>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02" t="str">
        <f>A49</f>
        <v>估价对象XX用房的比较价值（楼面单价，元/平方米）</v>
      </c>
      <c r="Q49" s="3403"/>
      <c r="R49" s="3404" t="e">
        <f>IF(F1="售价",ROUND(IF(D48="简单平均",AVERAGE(R48:V48),R48*F48+T48*H48+V48*J48),0),ROUND(IF(D48="简单平均",AVERAGE(R48:V48),R48*F48+T48*H48+V48*J48),1))</f>
        <v>#DIV/0!</v>
      </c>
      <c r="S49" s="3404"/>
      <c r="T49" s="3404"/>
      <c r="U49" s="3404"/>
      <c r="V49" s="3404"/>
      <c r="W49" s="3404"/>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15367.93</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20" t="s">
        <v>1770</v>
      </c>
      <c r="D4" s="3421"/>
      <c r="E4" s="3422" t="s">
        <v>1771</v>
      </c>
      <c r="F4" s="3423"/>
      <c r="G4" s="3420" t="s">
        <v>1772</v>
      </c>
      <c r="H4" s="3421"/>
      <c r="I4" s="3420" t="s">
        <v>1773</v>
      </c>
      <c r="J4" s="3421"/>
      <c r="K4" s="537" t="s">
        <v>1774</v>
      </c>
      <c r="L4" s="2487"/>
      <c r="M4" s="2488"/>
      <c r="N4" s="2488"/>
      <c r="O4" s="2488"/>
      <c r="P4" s="3424" t="s">
        <v>1775</v>
      </c>
      <c r="Q4" s="3425"/>
      <c r="R4" s="3430" t="s">
        <v>1771</v>
      </c>
      <c r="S4" s="3431"/>
      <c r="T4" s="3430" t="s">
        <v>1772</v>
      </c>
      <c r="U4" s="3431"/>
      <c r="V4" s="3406" t="s">
        <v>1773</v>
      </c>
      <c r="W4" s="3406"/>
      <c r="X4" s="1265"/>
      <c r="Y4" s="3430" t="s">
        <v>1775</v>
      </c>
      <c r="Z4" s="3431"/>
      <c r="AA4" s="3417" t="s">
        <v>1771</v>
      </c>
      <c r="AB4" s="3406" t="s">
        <v>1772</v>
      </c>
      <c r="AC4" s="3417" t="s">
        <v>1773</v>
      </c>
    </row>
    <row r="5" spans="1:29" ht="15">
      <c r="A5" s="348"/>
      <c r="B5" s="349"/>
      <c r="C5" s="3438" t="s">
        <v>1673</v>
      </c>
      <c r="D5" s="3439"/>
      <c r="E5" s="3445" t="s">
        <v>1674</v>
      </c>
      <c r="F5" s="3446"/>
      <c r="G5" s="3438" t="s">
        <v>1675</v>
      </c>
      <c r="H5" s="3439"/>
      <c r="I5" s="3438" t="s">
        <v>1676</v>
      </c>
      <c r="J5" s="3439"/>
      <c r="K5" s="537"/>
      <c r="L5" s="2487"/>
      <c r="M5" s="2488"/>
      <c r="N5" s="2488"/>
      <c r="O5" s="2488"/>
      <c r="P5" s="3426"/>
      <c r="Q5" s="3427"/>
      <c r="R5" s="3432"/>
      <c r="S5" s="3433"/>
      <c r="T5" s="3432"/>
      <c r="U5" s="3433"/>
      <c r="V5" s="3406"/>
      <c r="W5" s="3406"/>
      <c r="X5" s="1265"/>
      <c r="Y5" s="3432"/>
      <c r="Z5" s="3433"/>
      <c r="AA5" s="3418"/>
      <c r="AB5" s="3406"/>
      <c r="AC5" s="3418"/>
    </row>
    <row r="6" spans="1:29" ht="15.75" thickBot="1">
      <c r="A6" s="350"/>
      <c r="B6" s="351"/>
      <c r="C6" s="3436" t="s">
        <v>1677</v>
      </c>
      <c r="D6" s="3437"/>
      <c r="E6" s="3443" t="s">
        <v>1677</v>
      </c>
      <c r="F6" s="3444"/>
      <c r="G6" s="3436" t="s">
        <v>1677</v>
      </c>
      <c r="H6" s="3437"/>
      <c r="I6" s="3436" t="s">
        <v>1677</v>
      </c>
      <c r="J6" s="3437"/>
      <c r="K6" s="537" t="s">
        <v>1678</v>
      </c>
      <c r="L6" s="2487"/>
      <c r="M6" s="2488"/>
      <c r="N6" s="2488"/>
      <c r="O6" s="2488"/>
      <c r="P6" s="3428"/>
      <c r="Q6" s="3429"/>
      <c r="R6" s="3432"/>
      <c r="S6" s="3433"/>
      <c r="T6" s="3434"/>
      <c r="U6" s="3435"/>
      <c r="V6" s="3406"/>
      <c r="W6" s="3406"/>
      <c r="X6" s="1265"/>
      <c r="Y6" s="3434"/>
      <c r="Z6" s="3435"/>
      <c r="AA6" s="3419"/>
      <c r="AB6" s="3406"/>
      <c r="AC6" s="3419"/>
    </row>
    <row r="7" spans="1:29" s="102" customFormat="1" ht="15.75" thickBot="1">
      <c r="A7" s="352" t="s">
        <v>1679</v>
      </c>
      <c r="B7" s="353"/>
      <c r="C7" s="354">
        <f>'数据-取费表'!B2</f>
        <v>45845</v>
      </c>
      <c r="D7" s="355">
        <v>100</v>
      </c>
      <c r="E7" s="356"/>
      <c r="F7" s="357">
        <f>SUMIF(58:58,YEAR(E7)&amp;"-"&amp;MONTH(E7),59:59)</f>
        <v>0</v>
      </c>
      <c r="G7" s="356"/>
      <c r="H7" s="355">
        <f>SUMIF(58:58,YEAR(G7)&amp;"-"&amp;MONTH(G7),59:59)</f>
        <v>0</v>
      </c>
      <c r="I7" s="356"/>
      <c r="J7" s="355">
        <f>SUMIF(58:58,YEAR(I7)&amp;"-"&amp;MONTH(I7),59:59)</f>
        <v>0</v>
      </c>
      <c r="K7" s="38"/>
      <c r="L7" s="2489"/>
      <c r="M7" s="2440"/>
      <c r="N7" s="2440"/>
      <c r="O7" s="2440"/>
      <c r="P7" s="3440" t="s">
        <v>1680</v>
      </c>
      <c r="Q7" s="3442"/>
      <c r="R7" s="664" t="s">
        <v>14</v>
      </c>
      <c r="S7" s="665">
        <f t="shared" ref="S7:S15" si="0">F7</f>
        <v>0</v>
      </c>
      <c r="T7" s="664" t="s">
        <v>14</v>
      </c>
      <c r="U7" s="665">
        <f t="shared" ref="U7:U15" si="1">H7</f>
        <v>0</v>
      </c>
      <c r="V7" s="664" t="s">
        <v>14</v>
      </c>
      <c r="W7" s="665">
        <f t="shared" ref="W7:W15" si="2">J7</f>
        <v>0</v>
      </c>
      <c r="X7" s="666"/>
      <c r="Y7" s="3440" t="s">
        <v>1680</v>
      </c>
      <c r="Z7" s="3441"/>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40" t="s">
        <v>1683</v>
      </c>
      <c r="Q8" s="3441"/>
      <c r="R8" s="664" t="s">
        <v>14</v>
      </c>
      <c r="S8" s="665">
        <f t="shared" si="0"/>
        <v>100</v>
      </c>
      <c r="T8" s="664" t="s">
        <v>14</v>
      </c>
      <c r="U8" s="665">
        <f t="shared" si="1"/>
        <v>100</v>
      </c>
      <c r="V8" s="664" t="s">
        <v>14</v>
      </c>
      <c r="W8" s="665">
        <f t="shared" si="2"/>
        <v>100</v>
      </c>
      <c r="X8" s="666"/>
      <c r="Y8" s="3440" t="s">
        <v>1683</v>
      </c>
      <c r="Z8" s="344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16"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16"/>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16"/>
      <c r="Q11" s="530" t="str">
        <f t="shared" si="6"/>
        <v>容积率</v>
      </c>
      <c r="R11" s="664" t="s">
        <v>14</v>
      </c>
      <c r="S11" s="665" t="e">
        <f t="shared" si="0"/>
        <v>#N/A</v>
      </c>
      <c r="T11" s="664" t="s">
        <v>14</v>
      </c>
      <c r="U11" s="665" t="e">
        <f t="shared" si="1"/>
        <v>#N/A</v>
      </c>
      <c r="V11" s="664" t="s">
        <v>14</v>
      </c>
      <c r="W11" s="665" t="e">
        <f t="shared" si="2"/>
        <v>#N/A</v>
      </c>
      <c r="X11" s="666"/>
      <c r="Y11" s="326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16"/>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16"/>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16"/>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14" t="s">
        <v>1691</v>
      </c>
      <c r="Q15" s="1263" t="str">
        <f t="shared" si="6"/>
        <v>商业繁华度</v>
      </c>
      <c r="R15" s="667" t="s">
        <v>14</v>
      </c>
      <c r="S15" s="668">
        <f t="shared" si="0"/>
        <v>100</v>
      </c>
      <c r="T15" s="667" t="s">
        <v>14</v>
      </c>
      <c r="U15" s="668">
        <f t="shared" si="1"/>
        <v>100</v>
      </c>
      <c r="V15" s="667" t="s">
        <v>14</v>
      </c>
      <c r="W15" s="668">
        <f t="shared" si="2"/>
        <v>100</v>
      </c>
      <c r="X15" s="1265"/>
      <c r="Y15" s="340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15"/>
      <c r="Q16" s="1263"/>
      <c r="R16" s="667"/>
      <c r="S16" s="668"/>
      <c r="T16" s="667"/>
      <c r="U16" s="668"/>
      <c r="V16" s="667"/>
      <c r="W16" s="668"/>
      <c r="X16" s="1265"/>
      <c r="Y16" s="3408"/>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15"/>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15"/>
      <c r="Q18" s="1263"/>
      <c r="R18" s="667"/>
      <c r="S18" s="668"/>
      <c r="T18" s="667"/>
      <c r="U18" s="668"/>
      <c r="V18" s="667"/>
      <c r="W18" s="668"/>
      <c r="X18" s="1265"/>
      <c r="Y18" s="3408"/>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15"/>
      <c r="Q19" s="1263" t="str">
        <f>B19</f>
        <v>公共配套设施</v>
      </c>
      <c r="R19" s="667" t="s">
        <v>14</v>
      </c>
      <c r="S19" s="668">
        <f>F19</f>
        <v>100</v>
      </c>
      <c r="T19" s="667" t="s">
        <v>14</v>
      </c>
      <c r="U19" s="668">
        <f>H19</f>
        <v>100</v>
      </c>
      <c r="V19" s="667" t="s">
        <v>14</v>
      </c>
      <c r="W19" s="668">
        <f>J19</f>
        <v>100</v>
      </c>
      <c r="X19" s="1265"/>
      <c r="Y19" s="340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15"/>
      <c r="Q20" s="1263"/>
      <c r="R20" s="667"/>
      <c r="S20" s="668"/>
      <c r="T20" s="667"/>
      <c r="U20" s="668"/>
      <c r="V20" s="667"/>
      <c r="W20" s="668"/>
      <c r="X20" s="1265"/>
      <c r="Y20" s="3408"/>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15"/>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15"/>
      <c r="Q22" s="1263"/>
      <c r="R22" s="667"/>
      <c r="S22" s="668"/>
      <c r="T22" s="667"/>
      <c r="U22" s="668"/>
      <c r="V22" s="667"/>
      <c r="W22" s="668"/>
      <c r="X22" s="1265"/>
      <c r="Y22" s="3408"/>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15"/>
      <c r="Q23" s="1263" t="str">
        <f>B23</f>
        <v>自然及人文环境</v>
      </c>
      <c r="R23" s="667" t="s">
        <v>14</v>
      </c>
      <c r="S23" s="668">
        <f>F23</f>
        <v>100</v>
      </c>
      <c r="T23" s="667" t="s">
        <v>14</v>
      </c>
      <c r="U23" s="668">
        <f>H23</f>
        <v>100</v>
      </c>
      <c r="V23" s="667" t="s">
        <v>14</v>
      </c>
      <c r="W23" s="668">
        <f>J23</f>
        <v>100</v>
      </c>
      <c r="X23" s="1265"/>
      <c r="Y23" s="340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15"/>
      <c r="Q24" s="1263"/>
      <c r="R24" s="667"/>
      <c r="S24" s="668"/>
      <c r="T24" s="667"/>
      <c r="U24" s="668"/>
      <c r="V24" s="667"/>
      <c r="W24" s="668"/>
      <c r="X24" s="1265"/>
      <c r="Y24" s="340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15"/>
      <c r="Q25" s="1263" t="str">
        <f t="shared" ref="Q25:Q46" si="11">B25</f>
        <v>临街状况</v>
      </c>
      <c r="R25" s="667" t="s">
        <v>14</v>
      </c>
      <c r="S25" s="668">
        <f>F25</f>
        <v>100</v>
      </c>
      <c r="T25" s="667" t="s">
        <v>14</v>
      </c>
      <c r="U25" s="668">
        <f>H25</f>
        <v>100</v>
      </c>
      <c r="V25" s="667" t="s">
        <v>14</v>
      </c>
      <c r="W25" s="668">
        <f>J25</f>
        <v>100</v>
      </c>
      <c r="X25" s="1265"/>
      <c r="Y25" s="340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15"/>
      <c r="Q26" s="1263" t="str">
        <f t="shared" si="11"/>
        <v>平面位置/可视性</v>
      </c>
      <c r="R26" s="667" t="s">
        <v>14</v>
      </c>
      <c r="S26" s="668">
        <f>F26</f>
        <v>100</v>
      </c>
      <c r="T26" s="667" t="s">
        <v>14</v>
      </c>
      <c r="U26" s="668">
        <f>H26</f>
        <v>100</v>
      </c>
      <c r="V26" s="667" t="s">
        <v>14</v>
      </c>
      <c r="W26" s="668">
        <f>J26</f>
        <v>100</v>
      </c>
      <c r="X26" s="1265"/>
      <c r="Y26" s="340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15"/>
      <c r="Q27" s="530" t="str">
        <f t="shared" si="11"/>
        <v>人流量</v>
      </c>
      <c r="R27" s="664" t="s">
        <v>14</v>
      </c>
      <c r="S27" s="665">
        <f>F27</f>
        <v>100</v>
      </c>
      <c r="T27" s="664" t="s">
        <v>14</v>
      </c>
      <c r="U27" s="665">
        <f>H27</f>
        <v>100</v>
      </c>
      <c r="V27" s="664" t="s">
        <v>14</v>
      </c>
      <c r="W27" s="665">
        <f>J27</f>
        <v>100</v>
      </c>
      <c r="X27" s="666"/>
      <c r="Y27" s="340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1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15"/>
      <c r="Q29" s="1263">
        <f t="shared" si="11"/>
        <v>111</v>
      </c>
      <c r="R29" s="667" t="s">
        <v>14</v>
      </c>
      <c r="S29" s="668">
        <f t="shared" si="12"/>
        <v>100</v>
      </c>
      <c r="T29" s="667" t="s">
        <v>14</v>
      </c>
      <c r="U29" s="668">
        <f t="shared" si="13"/>
        <v>100</v>
      </c>
      <c r="V29" s="667" t="s">
        <v>14</v>
      </c>
      <c r="W29" s="668">
        <f t="shared" si="14"/>
        <v>100</v>
      </c>
      <c r="X29" s="1265"/>
      <c r="Y29" s="340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15"/>
      <c r="Q30" s="1263">
        <f t="shared" si="11"/>
        <v>111</v>
      </c>
      <c r="R30" s="667" t="s">
        <v>14</v>
      </c>
      <c r="S30" s="668">
        <f t="shared" si="12"/>
        <v>100</v>
      </c>
      <c r="T30" s="667" t="s">
        <v>14</v>
      </c>
      <c r="U30" s="668">
        <f t="shared" si="13"/>
        <v>100</v>
      </c>
      <c r="V30" s="667" t="s">
        <v>14</v>
      </c>
      <c r="W30" s="668">
        <f t="shared" si="14"/>
        <v>100</v>
      </c>
      <c r="X30" s="1265"/>
      <c r="Y30" s="3408"/>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15"/>
      <c r="Q31" s="1263">
        <f t="shared" si="11"/>
        <v>111</v>
      </c>
      <c r="R31" s="667" t="s">
        <v>14</v>
      </c>
      <c r="S31" s="668">
        <f t="shared" si="12"/>
        <v>100</v>
      </c>
      <c r="T31" s="667" t="s">
        <v>14</v>
      </c>
      <c r="U31" s="668">
        <f t="shared" si="13"/>
        <v>100</v>
      </c>
      <c r="V31" s="667" t="s">
        <v>14</v>
      </c>
      <c r="W31" s="668">
        <f t="shared" si="14"/>
        <v>100</v>
      </c>
      <c r="X31" s="1265"/>
      <c r="Y31" s="340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09" t="s">
        <v>1696</v>
      </c>
      <c r="Q32" s="1263" t="str">
        <f t="shared" si="11"/>
        <v>商业类型</v>
      </c>
      <c r="R32" s="667" t="s">
        <v>14</v>
      </c>
      <c r="S32" s="668">
        <f t="shared" si="12"/>
        <v>100</v>
      </c>
      <c r="T32" s="667" t="s">
        <v>14</v>
      </c>
      <c r="U32" s="668">
        <f t="shared" si="13"/>
        <v>100</v>
      </c>
      <c r="V32" s="667" t="s">
        <v>14</v>
      </c>
      <c r="W32" s="668">
        <f t="shared" si="14"/>
        <v>100</v>
      </c>
      <c r="X32" s="1265"/>
      <c r="Y32" s="341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10"/>
      <c r="Q33" s="531" t="str">
        <f t="shared" si="11"/>
        <v>项目建筑规模</v>
      </c>
      <c r="R33" s="669" t="s">
        <v>14</v>
      </c>
      <c r="S33" s="670" t="e">
        <f t="shared" si="12"/>
        <v>#N/A</v>
      </c>
      <c r="T33" s="669" t="s">
        <v>14</v>
      </c>
      <c r="U33" s="670" t="e">
        <f t="shared" si="13"/>
        <v>#N/A</v>
      </c>
      <c r="V33" s="669" t="s">
        <v>14</v>
      </c>
      <c r="W33" s="670" t="e">
        <f t="shared" si="14"/>
        <v>#N/A</v>
      </c>
      <c r="X33" s="671"/>
      <c r="Y33" s="341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10"/>
      <c r="Q34" s="1263" t="str">
        <f t="shared" si="11"/>
        <v>建筑结构</v>
      </c>
      <c r="R34" s="667" t="s">
        <v>14</v>
      </c>
      <c r="S34" s="668">
        <f t="shared" si="12"/>
        <v>100</v>
      </c>
      <c r="T34" s="667" t="s">
        <v>14</v>
      </c>
      <c r="U34" s="668">
        <f t="shared" si="13"/>
        <v>100</v>
      </c>
      <c r="V34" s="667" t="s">
        <v>14</v>
      </c>
      <c r="W34" s="668">
        <f t="shared" si="14"/>
        <v>100</v>
      </c>
      <c r="X34" s="1265"/>
      <c r="Y34" s="341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10"/>
      <c r="Q35" s="1263" t="str">
        <f t="shared" si="11"/>
        <v>公共部分装修</v>
      </c>
      <c r="R35" s="667" t="s">
        <v>14</v>
      </c>
      <c r="S35" s="668">
        <f t="shared" si="12"/>
        <v>100</v>
      </c>
      <c r="T35" s="667" t="s">
        <v>14</v>
      </c>
      <c r="U35" s="668">
        <f t="shared" si="13"/>
        <v>100</v>
      </c>
      <c r="V35" s="667" t="s">
        <v>14</v>
      </c>
      <c r="W35" s="668">
        <f t="shared" si="14"/>
        <v>100</v>
      </c>
      <c r="X35" s="1265"/>
      <c r="Y35" s="341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10"/>
      <c r="Q36" s="1263" t="str">
        <f t="shared" si="11"/>
        <v>成新度</v>
      </c>
      <c r="R36" s="667" t="s">
        <v>14</v>
      </c>
      <c r="S36" s="668" t="e">
        <f t="shared" si="12"/>
        <v>#N/A</v>
      </c>
      <c r="T36" s="667" t="s">
        <v>14</v>
      </c>
      <c r="U36" s="668" t="e">
        <f t="shared" si="13"/>
        <v>#N/A</v>
      </c>
      <c r="V36" s="667" t="s">
        <v>14</v>
      </c>
      <c r="W36" s="668" t="e">
        <f t="shared" si="14"/>
        <v>#N/A</v>
      </c>
      <c r="X36" s="1265"/>
      <c r="Y36" s="341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10"/>
      <c r="Q37" s="530" t="str">
        <f t="shared" si="11"/>
        <v>市政基础设施</v>
      </c>
      <c r="R37" s="664" t="s">
        <v>14</v>
      </c>
      <c r="S37" s="665">
        <f t="shared" si="12"/>
        <v>100</v>
      </c>
      <c r="T37" s="664" t="s">
        <v>14</v>
      </c>
      <c r="U37" s="665">
        <f t="shared" si="13"/>
        <v>100</v>
      </c>
      <c r="V37" s="664" t="s">
        <v>14</v>
      </c>
      <c r="W37" s="665">
        <f t="shared" si="14"/>
        <v>100</v>
      </c>
      <c r="X37" s="666"/>
      <c r="Y37" s="341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10" t="s">
        <v>1696</v>
      </c>
      <c r="Q38" s="1263" t="str">
        <f t="shared" si="11"/>
        <v>业态</v>
      </c>
      <c r="R38" s="667" t="s">
        <v>14</v>
      </c>
      <c r="S38" s="668">
        <f t="shared" si="12"/>
        <v>100</v>
      </c>
      <c r="T38" s="667" t="s">
        <v>14</v>
      </c>
      <c r="U38" s="668">
        <f t="shared" si="13"/>
        <v>100</v>
      </c>
      <c r="V38" s="667" t="s">
        <v>14</v>
      </c>
      <c r="W38" s="668">
        <f t="shared" si="14"/>
        <v>100</v>
      </c>
      <c r="X38" s="1265"/>
      <c r="Y38" s="341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10"/>
      <c r="Q39" s="1263" t="str">
        <f t="shared" si="11"/>
        <v>层高</v>
      </c>
      <c r="R39" s="667" t="s">
        <v>14</v>
      </c>
      <c r="S39" s="668">
        <f t="shared" si="12"/>
        <v>100</v>
      </c>
      <c r="T39" s="667" t="s">
        <v>14</v>
      </c>
      <c r="U39" s="668">
        <f t="shared" si="13"/>
        <v>100</v>
      </c>
      <c r="V39" s="667" t="s">
        <v>14</v>
      </c>
      <c r="W39" s="668">
        <f t="shared" si="14"/>
        <v>100</v>
      </c>
      <c r="X39" s="1265"/>
      <c r="Y39" s="341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10"/>
      <c r="Q40" s="1263" t="str">
        <f t="shared" si="11"/>
        <v>单套建筑面积</v>
      </c>
      <c r="R40" s="667" t="s">
        <v>14</v>
      </c>
      <c r="S40" s="668">
        <f t="shared" si="12"/>
        <v>100</v>
      </c>
      <c r="T40" s="667" t="s">
        <v>14</v>
      </c>
      <c r="U40" s="668">
        <f t="shared" si="13"/>
        <v>100</v>
      </c>
      <c r="V40" s="667" t="s">
        <v>14</v>
      </c>
      <c r="W40" s="668">
        <f t="shared" si="14"/>
        <v>100</v>
      </c>
      <c r="X40" s="1265"/>
      <c r="Y40" s="341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10"/>
      <c r="Q41" s="531" t="str">
        <f t="shared" si="11"/>
        <v>进深比</v>
      </c>
      <c r="R41" s="669" t="s">
        <v>14</v>
      </c>
      <c r="S41" s="670">
        <f t="shared" si="12"/>
        <v>100</v>
      </c>
      <c r="T41" s="669" t="s">
        <v>14</v>
      </c>
      <c r="U41" s="670">
        <f t="shared" si="13"/>
        <v>100</v>
      </c>
      <c r="V41" s="669" t="s">
        <v>14</v>
      </c>
      <c r="W41" s="670">
        <f t="shared" si="14"/>
        <v>100</v>
      </c>
      <c r="X41" s="671"/>
      <c r="Y41" s="341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10"/>
      <c r="Q42" s="1263" t="str">
        <f t="shared" si="11"/>
        <v>内部装修</v>
      </c>
      <c r="R42" s="667" t="s">
        <v>14</v>
      </c>
      <c r="S42" s="668">
        <f t="shared" si="12"/>
        <v>100</v>
      </c>
      <c r="T42" s="667" t="s">
        <v>14</v>
      </c>
      <c r="U42" s="668">
        <f t="shared" si="13"/>
        <v>100</v>
      </c>
      <c r="V42" s="667" t="s">
        <v>14</v>
      </c>
      <c r="W42" s="668">
        <f t="shared" si="14"/>
        <v>100</v>
      </c>
      <c r="X42" s="1265"/>
      <c r="Y42" s="3412"/>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10"/>
      <c r="Q43" s="1263" t="str">
        <f t="shared" si="11"/>
        <v>内部装修维护情况</v>
      </c>
      <c r="R43" s="667" t="s">
        <v>14</v>
      </c>
      <c r="S43" s="668">
        <f t="shared" si="12"/>
        <v>100</v>
      </c>
      <c r="T43" s="667" t="s">
        <v>14</v>
      </c>
      <c r="U43" s="668">
        <f t="shared" si="13"/>
        <v>100</v>
      </c>
      <c r="V43" s="667" t="s">
        <v>14</v>
      </c>
      <c r="W43" s="668">
        <f t="shared" si="14"/>
        <v>100</v>
      </c>
      <c r="X43" s="1265"/>
      <c r="Y43" s="341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10"/>
      <c r="Q44" s="530">
        <f t="shared" si="11"/>
        <v>111</v>
      </c>
      <c r="R44" s="664" t="s">
        <v>14</v>
      </c>
      <c r="S44" s="665">
        <f t="shared" si="12"/>
        <v>100</v>
      </c>
      <c r="T44" s="664" t="s">
        <v>14</v>
      </c>
      <c r="U44" s="665">
        <f t="shared" si="13"/>
        <v>100</v>
      </c>
      <c r="V44" s="664" t="s">
        <v>14</v>
      </c>
      <c r="W44" s="665">
        <f t="shared" si="14"/>
        <v>100</v>
      </c>
      <c r="X44" s="666"/>
      <c r="Y44" s="341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10"/>
      <c r="Q45" s="1263">
        <f t="shared" si="11"/>
        <v>111</v>
      </c>
      <c r="R45" s="667" t="s">
        <v>14</v>
      </c>
      <c r="S45" s="668">
        <f t="shared" si="12"/>
        <v>100</v>
      </c>
      <c r="T45" s="667" t="s">
        <v>14</v>
      </c>
      <c r="U45" s="668">
        <f t="shared" si="13"/>
        <v>100</v>
      </c>
      <c r="V45" s="667" t="s">
        <v>14</v>
      </c>
      <c r="W45" s="668">
        <f t="shared" si="14"/>
        <v>100</v>
      </c>
      <c r="X45" s="1265"/>
      <c r="Y45" s="3412"/>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11"/>
      <c r="Q46" s="1263">
        <f t="shared" si="11"/>
        <v>111</v>
      </c>
      <c r="R46" s="667" t="s">
        <v>14</v>
      </c>
      <c r="S46" s="668">
        <f t="shared" si="12"/>
        <v>100</v>
      </c>
      <c r="T46" s="667" t="s">
        <v>14</v>
      </c>
      <c r="U46" s="668">
        <f t="shared" si="13"/>
        <v>100</v>
      </c>
      <c r="V46" s="667" t="s">
        <v>14</v>
      </c>
      <c r="W46" s="668">
        <f t="shared" si="14"/>
        <v>100</v>
      </c>
      <c r="X46" s="1265"/>
      <c r="Y46" s="3413"/>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05" t="str">
        <f>A47</f>
        <v>成交单价（元/平方米）</v>
      </c>
      <c r="Q47" s="3405"/>
      <c r="R47" s="3406">
        <f>E47</f>
        <v>0</v>
      </c>
      <c r="S47" s="3406"/>
      <c r="T47" s="3406">
        <f>G47</f>
        <v>0</v>
      </c>
      <c r="U47" s="3406"/>
      <c r="V47" s="3406">
        <f>I47</f>
        <v>0</v>
      </c>
      <c r="W47" s="3406"/>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05" t="str">
        <f>A48</f>
        <v>比较价值（元/平方米）</v>
      </c>
      <c r="Q48" s="3405"/>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02" t="str">
        <f>A49</f>
        <v>估价对象XX用房的比较价值（楼面单价，元/平方米）</v>
      </c>
      <c r="Q49" s="3403"/>
      <c r="R49" s="3404" t="e">
        <f>IF(F1="售价",ROUND(IF(D48="简单平均",AVERAGE(R48:V48),R48*F48+T48*H48+V48*J48),0),ROUND(IF(D48="简单平均",AVERAGE(R48:V48),R48*F48+T48*H48+V48*J48),1))</f>
        <v>#DIV/0!</v>
      </c>
      <c r="S49" s="3404"/>
      <c r="T49" s="3404"/>
      <c r="U49" s="3404"/>
      <c r="V49" s="3404"/>
      <c r="W49" s="3404"/>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估价对象为北京市房地产，为所有。根据《国有土地使用证》[]，估价对象（分摊）出让国有建设用地使用权面积为15133.56平方米，建筑面积为15367.93平方米。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估价对象为北京市房地产,属开发建设的，该项目尚在开发建设中。根据《国有土地使用证》[]，估价对象（分摊）出让国有建设用地使用权面积为15133.56平方米，规划建筑面积为15367.93平方米。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2025年7月7日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15367.93</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20" t="s">
        <v>1770</v>
      </c>
      <c r="D4" s="3421"/>
      <c r="E4" s="3422" t="s">
        <v>1771</v>
      </c>
      <c r="F4" s="3423"/>
      <c r="G4" s="3420" t="s">
        <v>1772</v>
      </c>
      <c r="H4" s="3421"/>
      <c r="I4" s="3420" t="s">
        <v>1773</v>
      </c>
      <c r="J4" s="3421"/>
      <c r="K4" s="537" t="s">
        <v>1774</v>
      </c>
      <c r="L4" s="2487"/>
      <c r="M4" s="2488"/>
      <c r="N4" s="2488"/>
      <c r="O4" s="2488"/>
      <c r="P4" s="3453" t="s">
        <v>1775</v>
      </c>
      <c r="Q4" s="3454"/>
      <c r="R4" s="3457" t="s">
        <v>1771</v>
      </c>
      <c r="S4" s="3458"/>
      <c r="T4" s="3457" t="s">
        <v>1772</v>
      </c>
      <c r="U4" s="3458"/>
      <c r="V4" s="3459" t="s">
        <v>1773</v>
      </c>
      <c r="W4" s="3459"/>
      <c r="X4" s="1809"/>
      <c r="Y4" s="3457" t="s">
        <v>1775</v>
      </c>
      <c r="Z4" s="3458"/>
      <c r="AA4" s="3461" t="s">
        <v>1771</v>
      </c>
      <c r="AB4" s="3461" t="s">
        <v>1772</v>
      </c>
      <c r="AC4" s="3450" t="s">
        <v>1773</v>
      </c>
    </row>
    <row r="5" spans="1:29" ht="15">
      <c r="A5" s="348"/>
      <c r="B5" s="349"/>
      <c r="C5" s="3438" t="s">
        <v>1673</v>
      </c>
      <c r="D5" s="3439"/>
      <c r="E5" s="3445" t="s">
        <v>1674</v>
      </c>
      <c r="F5" s="3446"/>
      <c r="G5" s="3438" t="s">
        <v>1675</v>
      </c>
      <c r="H5" s="3439"/>
      <c r="I5" s="3438" t="s">
        <v>1676</v>
      </c>
      <c r="J5" s="3439"/>
      <c r="K5" s="537"/>
      <c r="L5" s="2487"/>
      <c r="M5" s="2488"/>
      <c r="N5" s="2488"/>
      <c r="O5" s="2488"/>
      <c r="P5" s="3455"/>
      <c r="Q5" s="3427"/>
      <c r="R5" s="3432"/>
      <c r="S5" s="3433"/>
      <c r="T5" s="3432"/>
      <c r="U5" s="3433"/>
      <c r="V5" s="3406"/>
      <c r="W5" s="3406"/>
      <c r="X5" s="1265"/>
      <c r="Y5" s="3432"/>
      <c r="Z5" s="3433"/>
      <c r="AA5" s="3418"/>
      <c r="AB5" s="3418"/>
      <c r="AC5" s="3451"/>
    </row>
    <row r="6" spans="1:29" ht="15.75" thickBot="1">
      <c r="A6" s="350"/>
      <c r="B6" s="351"/>
      <c r="C6" s="3436" t="s">
        <v>1677</v>
      </c>
      <c r="D6" s="3437"/>
      <c r="E6" s="3443" t="s">
        <v>1677</v>
      </c>
      <c r="F6" s="3444"/>
      <c r="G6" s="3436" t="s">
        <v>1677</v>
      </c>
      <c r="H6" s="3437"/>
      <c r="I6" s="3436" t="s">
        <v>1677</v>
      </c>
      <c r="J6" s="3437"/>
      <c r="K6" s="537" t="s">
        <v>1678</v>
      </c>
      <c r="L6" s="2487"/>
      <c r="M6" s="2488"/>
      <c r="N6" s="2488"/>
      <c r="O6" s="2488"/>
      <c r="P6" s="3456"/>
      <c r="Q6" s="3429"/>
      <c r="R6" s="3432"/>
      <c r="S6" s="3433"/>
      <c r="T6" s="3434"/>
      <c r="U6" s="3435"/>
      <c r="V6" s="3406"/>
      <c r="W6" s="3406"/>
      <c r="X6" s="1265"/>
      <c r="Y6" s="3434"/>
      <c r="Z6" s="3435"/>
      <c r="AA6" s="3419"/>
      <c r="AB6" s="3419"/>
      <c r="AC6" s="3452"/>
    </row>
    <row r="7" spans="1:29" s="102" customFormat="1" ht="15.75" thickBot="1">
      <c r="A7" s="352" t="s">
        <v>1679</v>
      </c>
      <c r="B7" s="353"/>
      <c r="C7" s="354">
        <f>'数据-取费表'!B2</f>
        <v>45845</v>
      </c>
      <c r="D7" s="355">
        <v>100</v>
      </c>
      <c r="E7" s="356"/>
      <c r="F7" s="357">
        <f>SUMIF(59:59,YEAR(E7)&amp;"-"&amp;MONTH(E7),60:60)</f>
        <v>0</v>
      </c>
      <c r="G7" s="356"/>
      <c r="H7" s="355">
        <f>SUMIF(59:59,YEAR(G7)&amp;"-"&amp;MONTH(G7),60:60)</f>
        <v>0</v>
      </c>
      <c r="I7" s="356"/>
      <c r="J7" s="355">
        <f>SUMIF(59:59,YEAR(I7)&amp;"-"&amp;MONTH(I7),60:60)</f>
        <v>0</v>
      </c>
      <c r="K7" s="38"/>
      <c r="L7" s="2489"/>
      <c r="M7" s="2440"/>
      <c r="N7" s="2440"/>
      <c r="O7" s="2440"/>
      <c r="P7" s="3460" t="s">
        <v>1680</v>
      </c>
      <c r="Q7" s="3442"/>
      <c r="R7" s="664" t="s">
        <v>14</v>
      </c>
      <c r="S7" s="665">
        <f t="shared" ref="S7:S15" si="0">F7</f>
        <v>0</v>
      </c>
      <c r="T7" s="664" t="s">
        <v>14</v>
      </c>
      <c r="U7" s="665">
        <f t="shared" ref="U7:U15" si="1">H7</f>
        <v>0</v>
      </c>
      <c r="V7" s="664" t="s">
        <v>14</v>
      </c>
      <c r="W7" s="665">
        <f t="shared" ref="W7:W15" si="2">J7</f>
        <v>0</v>
      </c>
      <c r="X7" s="666"/>
      <c r="Y7" s="3440" t="s">
        <v>1680</v>
      </c>
      <c r="Z7" s="3441"/>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60" t="s">
        <v>1683</v>
      </c>
      <c r="Q8" s="3441"/>
      <c r="R8" s="664" t="s">
        <v>14</v>
      </c>
      <c r="S8" s="665">
        <f t="shared" si="0"/>
        <v>100</v>
      </c>
      <c r="T8" s="664" t="s">
        <v>14</v>
      </c>
      <c r="U8" s="665">
        <f t="shared" si="1"/>
        <v>100</v>
      </c>
      <c r="V8" s="664" t="s">
        <v>14</v>
      </c>
      <c r="W8" s="665">
        <f t="shared" si="2"/>
        <v>100</v>
      </c>
      <c r="X8" s="666"/>
      <c r="Y8" s="3440" t="s">
        <v>1683</v>
      </c>
      <c r="Z8" s="3441"/>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16"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16"/>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16"/>
      <c r="Q11" s="530" t="str">
        <f t="shared" si="6"/>
        <v>容积率</v>
      </c>
      <c r="R11" s="664" t="s">
        <v>14</v>
      </c>
      <c r="S11" s="665">
        <f t="shared" si="0"/>
        <v>100</v>
      </c>
      <c r="T11" s="664" t="s">
        <v>14</v>
      </c>
      <c r="U11" s="665">
        <f t="shared" si="1"/>
        <v>100</v>
      </c>
      <c r="V11" s="664" t="s">
        <v>14</v>
      </c>
      <c r="W11" s="665">
        <f t="shared" si="2"/>
        <v>100</v>
      </c>
      <c r="X11" s="666"/>
      <c r="Y11" s="326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16"/>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16"/>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16"/>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14" t="s">
        <v>1691</v>
      </c>
      <c r="Q15" s="1263" t="str">
        <f t="shared" si="6"/>
        <v>办公集聚程度</v>
      </c>
      <c r="R15" s="667" t="s">
        <v>14</v>
      </c>
      <c r="S15" s="668">
        <f t="shared" si="0"/>
        <v>100</v>
      </c>
      <c r="T15" s="667" t="s">
        <v>14</v>
      </c>
      <c r="U15" s="668">
        <f t="shared" si="1"/>
        <v>100</v>
      </c>
      <c r="V15" s="667" t="s">
        <v>14</v>
      </c>
      <c r="W15" s="668">
        <f t="shared" si="2"/>
        <v>100</v>
      </c>
      <c r="X15" s="1265"/>
      <c r="Y15" s="3407"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15"/>
      <c r="Q16" s="1263"/>
      <c r="R16" s="667"/>
      <c r="S16" s="668"/>
      <c r="T16" s="667"/>
      <c r="U16" s="668"/>
      <c r="V16" s="667"/>
      <c r="W16" s="668"/>
      <c r="X16" s="1265"/>
      <c r="Y16" s="3408"/>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15"/>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15"/>
      <c r="Q18" s="1263"/>
      <c r="R18" s="667"/>
      <c r="S18" s="668"/>
      <c r="T18" s="667"/>
      <c r="U18" s="668"/>
      <c r="V18" s="667"/>
      <c r="W18" s="668"/>
      <c r="X18" s="1265"/>
      <c r="Y18" s="3408"/>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15"/>
      <c r="Q19" s="1263" t="str">
        <f>B19</f>
        <v>公共配套设施</v>
      </c>
      <c r="R19" s="667" t="s">
        <v>14</v>
      </c>
      <c r="S19" s="668">
        <f>F19</f>
        <v>100</v>
      </c>
      <c r="T19" s="667" t="s">
        <v>14</v>
      </c>
      <c r="U19" s="668">
        <f>H19</f>
        <v>100</v>
      </c>
      <c r="V19" s="667" t="s">
        <v>14</v>
      </c>
      <c r="W19" s="668">
        <f>J19</f>
        <v>100</v>
      </c>
      <c r="X19" s="1265"/>
      <c r="Y19" s="340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15"/>
      <c r="Q20" s="1263"/>
      <c r="R20" s="667"/>
      <c r="S20" s="668"/>
      <c r="T20" s="667"/>
      <c r="U20" s="668"/>
      <c r="V20" s="667"/>
      <c r="W20" s="668"/>
      <c r="X20" s="1265"/>
      <c r="Y20" s="3408"/>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15"/>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15"/>
      <c r="Q22" s="1263"/>
      <c r="R22" s="667"/>
      <c r="S22" s="668"/>
      <c r="T22" s="667"/>
      <c r="U22" s="668"/>
      <c r="V22" s="667"/>
      <c r="W22" s="668"/>
      <c r="X22" s="1265"/>
      <c r="Y22" s="3408"/>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15"/>
      <c r="Q23" s="1263" t="str">
        <f>B23</f>
        <v>环境质量</v>
      </c>
      <c r="R23" s="667" t="s">
        <v>14</v>
      </c>
      <c r="S23" s="668">
        <f>F23</f>
        <v>100</v>
      </c>
      <c r="T23" s="667" t="s">
        <v>14</v>
      </c>
      <c r="U23" s="668">
        <f>H23</f>
        <v>100</v>
      </c>
      <c r="V23" s="667" t="s">
        <v>14</v>
      </c>
      <c r="W23" s="668">
        <f>J23</f>
        <v>100</v>
      </c>
      <c r="X23" s="1265"/>
      <c r="Y23" s="340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15"/>
      <c r="Q24" s="1263"/>
      <c r="R24" s="667"/>
      <c r="S24" s="668"/>
      <c r="T24" s="667"/>
      <c r="U24" s="668"/>
      <c r="V24" s="667"/>
      <c r="W24" s="668"/>
      <c r="X24" s="1265"/>
      <c r="Y24" s="3408"/>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15"/>
      <c r="Q25" s="1263" t="str">
        <f>B25</f>
        <v>毗邻道路的类型与等级</v>
      </c>
      <c r="R25" s="667" t="s">
        <v>14</v>
      </c>
      <c r="S25" s="668">
        <f>F25</f>
        <v>100</v>
      </c>
      <c r="T25" s="667" t="s">
        <v>14</v>
      </c>
      <c r="U25" s="668">
        <f>H25</f>
        <v>100</v>
      </c>
      <c r="V25" s="667" t="s">
        <v>14</v>
      </c>
      <c r="W25" s="668">
        <f>J25</f>
        <v>100</v>
      </c>
      <c r="X25" s="1265"/>
      <c r="Y25" s="340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15"/>
      <c r="Q26" s="1263"/>
      <c r="R26" s="667"/>
      <c r="S26" s="668"/>
      <c r="T26" s="667"/>
      <c r="U26" s="668"/>
      <c r="V26" s="667"/>
      <c r="W26" s="668"/>
      <c r="X26" s="1265"/>
      <c r="Y26" s="340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15"/>
      <c r="Q27" s="1263" t="str">
        <f t="shared" ref="Q27:Q47" si="11">B27</f>
        <v>楼层</v>
      </c>
      <c r="R27" s="667" t="s">
        <v>14</v>
      </c>
      <c r="S27" s="668">
        <f>F27</f>
        <v>100</v>
      </c>
      <c r="T27" s="667" t="s">
        <v>14</v>
      </c>
      <c r="U27" s="668">
        <f>H27</f>
        <v>100</v>
      </c>
      <c r="V27" s="667" t="s">
        <v>14</v>
      </c>
      <c r="W27" s="668">
        <f>J27</f>
        <v>100</v>
      </c>
      <c r="X27" s="1265"/>
      <c r="Y27" s="340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15"/>
      <c r="Q28" s="530" t="str">
        <f t="shared" si="11"/>
        <v>朝向</v>
      </c>
      <c r="R28" s="664" t="s">
        <v>14</v>
      </c>
      <c r="S28" s="665">
        <f>F28</f>
        <v>100</v>
      </c>
      <c r="T28" s="664" t="s">
        <v>14</v>
      </c>
      <c r="U28" s="665">
        <f>H28</f>
        <v>100</v>
      </c>
      <c r="V28" s="664" t="s">
        <v>14</v>
      </c>
      <c r="W28" s="665">
        <f>J28</f>
        <v>100</v>
      </c>
      <c r="X28" s="666"/>
      <c r="Y28" s="340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15"/>
      <c r="Q29" s="1263">
        <f t="shared" si="11"/>
        <v>111</v>
      </c>
      <c r="R29" s="667" t="s">
        <v>14</v>
      </c>
      <c r="S29" s="668">
        <f t="shared" ref="S29:S47" si="12">F29</f>
        <v>100</v>
      </c>
      <c r="T29" s="667" t="s">
        <v>14</v>
      </c>
      <c r="U29" s="668">
        <f t="shared" ref="U29:U47" si="13">H29</f>
        <v>100</v>
      </c>
      <c r="V29" s="667" t="s">
        <v>14</v>
      </c>
      <c r="W29" s="668">
        <f t="shared" ref="W29:W47" si="14">J29</f>
        <v>100</v>
      </c>
      <c r="X29" s="1265"/>
      <c r="Y29" s="340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15"/>
      <c r="Q30" s="1263">
        <f t="shared" si="11"/>
        <v>111</v>
      </c>
      <c r="R30" s="667" t="s">
        <v>14</v>
      </c>
      <c r="S30" s="668">
        <f t="shared" si="12"/>
        <v>100</v>
      </c>
      <c r="T30" s="667" t="s">
        <v>14</v>
      </c>
      <c r="U30" s="668">
        <f t="shared" si="13"/>
        <v>100</v>
      </c>
      <c r="V30" s="667" t="s">
        <v>14</v>
      </c>
      <c r="W30" s="668">
        <f t="shared" si="14"/>
        <v>100</v>
      </c>
      <c r="X30" s="1265"/>
      <c r="Y30" s="340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15"/>
      <c r="Q31" s="1263">
        <f t="shared" si="11"/>
        <v>111</v>
      </c>
      <c r="R31" s="667" t="s">
        <v>14</v>
      </c>
      <c r="S31" s="668">
        <f t="shared" si="12"/>
        <v>100</v>
      </c>
      <c r="T31" s="667" t="s">
        <v>14</v>
      </c>
      <c r="U31" s="668">
        <f t="shared" si="13"/>
        <v>100</v>
      </c>
      <c r="V31" s="667" t="s">
        <v>14</v>
      </c>
      <c r="W31" s="668">
        <f t="shared" si="14"/>
        <v>100</v>
      </c>
      <c r="X31" s="1265"/>
      <c r="Y31" s="3408"/>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15"/>
      <c r="Q32" s="1263">
        <f t="shared" si="11"/>
        <v>111</v>
      </c>
      <c r="R32" s="667" t="s">
        <v>14</v>
      </c>
      <c r="S32" s="668">
        <f t="shared" si="12"/>
        <v>100</v>
      </c>
      <c r="T32" s="667" t="s">
        <v>14</v>
      </c>
      <c r="U32" s="668">
        <f t="shared" si="13"/>
        <v>100</v>
      </c>
      <c r="V32" s="667" t="s">
        <v>14</v>
      </c>
      <c r="W32" s="668">
        <f t="shared" si="14"/>
        <v>100</v>
      </c>
      <c r="X32" s="1265"/>
      <c r="Y32" s="3408"/>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09" t="s">
        <v>1696</v>
      </c>
      <c r="Q33" s="1263" t="str">
        <f t="shared" si="11"/>
        <v>建筑类型</v>
      </c>
      <c r="R33" s="667" t="s">
        <v>14</v>
      </c>
      <c r="S33" s="668">
        <f t="shared" si="12"/>
        <v>100</v>
      </c>
      <c r="T33" s="667" t="s">
        <v>14</v>
      </c>
      <c r="U33" s="668">
        <f t="shared" si="13"/>
        <v>100</v>
      </c>
      <c r="V33" s="667" t="s">
        <v>14</v>
      </c>
      <c r="W33" s="668">
        <f t="shared" si="14"/>
        <v>100</v>
      </c>
      <c r="X33" s="1265"/>
      <c r="Y33" s="3412"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10"/>
      <c r="Q34" s="531" t="str">
        <f t="shared" si="11"/>
        <v>项目建筑规模</v>
      </c>
      <c r="R34" s="669" t="s">
        <v>14</v>
      </c>
      <c r="S34" s="670" t="e">
        <f t="shared" si="12"/>
        <v>#N/A</v>
      </c>
      <c r="T34" s="669" t="s">
        <v>14</v>
      </c>
      <c r="U34" s="670" t="e">
        <f t="shared" si="13"/>
        <v>#N/A</v>
      </c>
      <c r="V34" s="669" t="s">
        <v>14</v>
      </c>
      <c r="W34" s="670" t="e">
        <f t="shared" si="14"/>
        <v>#N/A</v>
      </c>
      <c r="X34" s="671"/>
      <c r="Y34" s="3412"/>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10"/>
      <c r="Q35" s="1263" t="str">
        <f t="shared" si="11"/>
        <v>建筑结构</v>
      </c>
      <c r="R35" s="667" t="s">
        <v>14</v>
      </c>
      <c r="S35" s="668">
        <f t="shared" si="12"/>
        <v>100</v>
      </c>
      <c r="T35" s="667" t="s">
        <v>14</v>
      </c>
      <c r="U35" s="668">
        <f t="shared" si="13"/>
        <v>100</v>
      </c>
      <c r="V35" s="667" t="s">
        <v>14</v>
      </c>
      <c r="W35" s="668">
        <f t="shared" si="14"/>
        <v>100</v>
      </c>
      <c r="X35" s="1265"/>
      <c r="Y35" s="341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10"/>
      <c r="Q36" s="1263" t="str">
        <f t="shared" si="11"/>
        <v>公共部分装修</v>
      </c>
      <c r="R36" s="667" t="s">
        <v>14</v>
      </c>
      <c r="S36" s="668">
        <f t="shared" si="12"/>
        <v>100</v>
      </c>
      <c r="T36" s="667" t="s">
        <v>14</v>
      </c>
      <c r="U36" s="668">
        <f t="shared" si="13"/>
        <v>100</v>
      </c>
      <c r="V36" s="667" t="s">
        <v>14</v>
      </c>
      <c r="W36" s="668">
        <f t="shared" si="14"/>
        <v>100</v>
      </c>
      <c r="X36" s="1265"/>
      <c r="Y36" s="3412"/>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10"/>
      <c r="Q37" s="1263" t="str">
        <f t="shared" si="11"/>
        <v>成新度</v>
      </c>
      <c r="R37" s="667" t="s">
        <v>14</v>
      </c>
      <c r="S37" s="668" t="e">
        <f t="shared" si="12"/>
        <v>#N/A</v>
      </c>
      <c r="T37" s="667" t="s">
        <v>14</v>
      </c>
      <c r="U37" s="668" t="e">
        <f t="shared" si="13"/>
        <v>#N/A</v>
      </c>
      <c r="V37" s="667" t="s">
        <v>14</v>
      </c>
      <c r="W37" s="668" t="e">
        <f t="shared" si="14"/>
        <v>#N/A</v>
      </c>
      <c r="X37" s="1265"/>
      <c r="Y37" s="3412"/>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10"/>
      <c r="Q38" s="530" t="str">
        <f t="shared" si="11"/>
        <v>写字楼等级</v>
      </c>
      <c r="R38" s="664" t="s">
        <v>14</v>
      </c>
      <c r="S38" s="665">
        <f t="shared" si="12"/>
        <v>100</v>
      </c>
      <c r="T38" s="664" t="s">
        <v>14</v>
      </c>
      <c r="U38" s="665">
        <f t="shared" si="13"/>
        <v>100</v>
      </c>
      <c r="V38" s="664" t="s">
        <v>14</v>
      </c>
      <c r="W38" s="665">
        <f t="shared" si="14"/>
        <v>100</v>
      </c>
      <c r="X38" s="666"/>
      <c r="Y38" s="341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10" t="s">
        <v>1696</v>
      </c>
      <c r="Q39" s="1263" t="str">
        <f t="shared" si="11"/>
        <v>物业管理</v>
      </c>
      <c r="R39" s="667" t="s">
        <v>14</v>
      </c>
      <c r="S39" s="668">
        <f t="shared" si="12"/>
        <v>100</v>
      </c>
      <c r="T39" s="667" t="s">
        <v>14</v>
      </c>
      <c r="U39" s="668">
        <f t="shared" si="13"/>
        <v>100</v>
      </c>
      <c r="V39" s="667" t="s">
        <v>14</v>
      </c>
      <c r="W39" s="668">
        <f t="shared" si="14"/>
        <v>100</v>
      </c>
      <c r="X39" s="1265"/>
      <c r="Y39" s="341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10"/>
      <c r="Q40" s="1263" t="str">
        <f t="shared" si="11"/>
        <v>市政基础设施</v>
      </c>
      <c r="R40" s="667" t="s">
        <v>14</v>
      </c>
      <c r="S40" s="668">
        <f t="shared" si="12"/>
        <v>100</v>
      </c>
      <c r="T40" s="667" t="s">
        <v>14</v>
      </c>
      <c r="U40" s="668">
        <f t="shared" si="13"/>
        <v>100</v>
      </c>
      <c r="V40" s="667" t="s">
        <v>14</v>
      </c>
      <c r="W40" s="668">
        <f t="shared" si="14"/>
        <v>100</v>
      </c>
      <c r="X40" s="1265"/>
      <c r="Y40" s="341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10"/>
      <c r="Q41" s="1263" t="str">
        <f t="shared" si="11"/>
        <v>层高</v>
      </c>
      <c r="R41" s="667" t="s">
        <v>14</v>
      </c>
      <c r="S41" s="668">
        <f t="shared" si="12"/>
        <v>100</v>
      </c>
      <c r="T41" s="667" t="s">
        <v>14</v>
      </c>
      <c r="U41" s="668">
        <f t="shared" si="13"/>
        <v>100</v>
      </c>
      <c r="V41" s="667" t="s">
        <v>14</v>
      </c>
      <c r="W41" s="668">
        <f t="shared" si="14"/>
        <v>100</v>
      </c>
      <c r="X41" s="1265"/>
      <c r="Y41" s="341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10"/>
      <c r="Q42" s="531" t="str">
        <f t="shared" si="11"/>
        <v>单套建筑面积</v>
      </c>
      <c r="R42" s="669" t="s">
        <v>14</v>
      </c>
      <c r="S42" s="670">
        <f t="shared" si="12"/>
        <v>100</v>
      </c>
      <c r="T42" s="669" t="s">
        <v>14</v>
      </c>
      <c r="U42" s="670">
        <f t="shared" si="13"/>
        <v>100</v>
      </c>
      <c r="V42" s="669" t="s">
        <v>14</v>
      </c>
      <c r="W42" s="670">
        <f t="shared" si="14"/>
        <v>100</v>
      </c>
      <c r="X42" s="671"/>
      <c r="Y42" s="3412"/>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10"/>
      <c r="Q43" s="1263" t="str">
        <f t="shared" si="11"/>
        <v>内部装修</v>
      </c>
      <c r="R43" s="667" t="s">
        <v>14</v>
      </c>
      <c r="S43" s="668">
        <f t="shared" si="12"/>
        <v>100</v>
      </c>
      <c r="T43" s="667" t="s">
        <v>14</v>
      </c>
      <c r="U43" s="668">
        <f t="shared" si="13"/>
        <v>100</v>
      </c>
      <c r="V43" s="667" t="s">
        <v>14</v>
      </c>
      <c r="W43" s="668">
        <f t="shared" si="14"/>
        <v>100</v>
      </c>
      <c r="X43" s="1265"/>
      <c r="Y43" s="3412"/>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10"/>
      <c r="Q44" s="1263" t="str">
        <f t="shared" si="11"/>
        <v>内部装修维护情况</v>
      </c>
      <c r="R44" s="667" t="s">
        <v>14</v>
      </c>
      <c r="S44" s="668">
        <f t="shared" si="12"/>
        <v>100</v>
      </c>
      <c r="T44" s="667" t="s">
        <v>14</v>
      </c>
      <c r="U44" s="668">
        <f t="shared" si="13"/>
        <v>100</v>
      </c>
      <c r="V44" s="667" t="s">
        <v>14</v>
      </c>
      <c r="W44" s="668">
        <f t="shared" si="14"/>
        <v>100</v>
      </c>
      <c r="X44" s="1265"/>
      <c r="Y44" s="341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10"/>
      <c r="Q45" s="530">
        <f t="shared" si="11"/>
        <v>111</v>
      </c>
      <c r="R45" s="664" t="s">
        <v>14</v>
      </c>
      <c r="S45" s="665">
        <f t="shared" si="12"/>
        <v>100</v>
      </c>
      <c r="T45" s="664" t="s">
        <v>14</v>
      </c>
      <c r="U45" s="665">
        <f t="shared" si="13"/>
        <v>100</v>
      </c>
      <c r="V45" s="664" t="s">
        <v>14</v>
      </c>
      <c r="W45" s="665">
        <f t="shared" si="14"/>
        <v>100</v>
      </c>
      <c r="X45" s="666"/>
      <c r="Y45" s="341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10"/>
      <c r="Q46" s="1263">
        <f t="shared" si="11"/>
        <v>111</v>
      </c>
      <c r="R46" s="667" t="s">
        <v>14</v>
      </c>
      <c r="S46" s="668">
        <f t="shared" si="12"/>
        <v>100</v>
      </c>
      <c r="T46" s="667" t="s">
        <v>14</v>
      </c>
      <c r="U46" s="668">
        <f t="shared" si="13"/>
        <v>100</v>
      </c>
      <c r="V46" s="667" t="s">
        <v>14</v>
      </c>
      <c r="W46" s="668">
        <f t="shared" si="14"/>
        <v>100</v>
      </c>
      <c r="X46" s="1265"/>
      <c r="Y46" s="3412"/>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11"/>
      <c r="Q47" s="1263">
        <f t="shared" si="11"/>
        <v>111</v>
      </c>
      <c r="R47" s="667" t="s">
        <v>14</v>
      </c>
      <c r="S47" s="668">
        <f t="shared" si="12"/>
        <v>100</v>
      </c>
      <c r="T47" s="667" t="s">
        <v>14</v>
      </c>
      <c r="U47" s="668">
        <f t="shared" si="13"/>
        <v>100</v>
      </c>
      <c r="V47" s="667" t="s">
        <v>14</v>
      </c>
      <c r="W47" s="668">
        <f t="shared" si="14"/>
        <v>100</v>
      </c>
      <c r="X47" s="1265"/>
      <c r="Y47" s="3413"/>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16" t="str">
        <f>A48</f>
        <v>成交单价（元/平方米）</v>
      </c>
      <c r="Q48" s="3405"/>
      <c r="R48" s="3406">
        <f>E48</f>
        <v>0</v>
      </c>
      <c r="S48" s="3406"/>
      <c r="T48" s="3406">
        <f>G48</f>
        <v>0</v>
      </c>
      <c r="U48" s="3406"/>
      <c r="V48" s="3406">
        <f>I48</f>
        <v>0</v>
      </c>
      <c r="W48" s="3406"/>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16" t="str">
        <f>A49</f>
        <v>比较价值（元/平方米）</v>
      </c>
      <c r="Q49" s="3405"/>
      <c r="R49" s="3406" t="e">
        <f>IF(F1="售价",ROUND(PRODUCT(R48,AA7:AA47),0),ROUND(PRODUCT(R48,AA7:AA47),1))</f>
        <v>#DIV/0!</v>
      </c>
      <c r="S49" s="3406"/>
      <c r="T49" s="3406" t="e">
        <f>IF(F1="售价",ROUND(PRODUCT(T48,AB7:AB47),0),ROUND(PRODUCT(T48,AB7:AB47),1))</f>
        <v>#DIV/0!</v>
      </c>
      <c r="U49" s="3406"/>
      <c r="V49" s="3406" t="e">
        <f>IF(F1="售价",ROUND(PRODUCT(V48,AC7:AC47),0),ROUND(PRODUCT(V48,AC7:AC47),1))</f>
        <v>#DIV/0!</v>
      </c>
      <c r="W49" s="3406"/>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47" t="str">
        <f>A50</f>
        <v>估价对象XX用房的比较价值（楼面单价，元/平方米）</v>
      </c>
      <c r="Q50" s="3448"/>
      <c r="R50" s="3449" t="e">
        <f>IF(F1="售价",ROUND(IF(D49="简单平均",AVERAGE(R49:V49),R49*F49+T49*H49+V49*J49),0),ROUND(IF(D49="简单平均",AVERAGE(R49:V49),R49*F49+T49*H49+V49*J49),1))</f>
        <v>#DIV/0!</v>
      </c>
      <c r="S50" s="3449"/>
      <c r="T50" s="3449"/>
      <c r="U50" s="3449"/>
      <c r="V50" s="3449"/>
      <c r="W50" s="3449"/>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15367.93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20" t="s">
        <v>1770</v>
      </c>
      <c r="D4" s="3421"/>
      <c r="E4" s="3422" t="s">
        <v>1771</v>
      </c>
      <c r="F4" s="3423"/>
      <c r="G4" s="3420" t="s">
        <v>1772</v>
      </c>
      <c r="H4" s="3421"/>
      <c r="I4" s="3420" t="s">
        <v>1773</v>
      </c>
      <c r="J4" s="3421"/>
      <c r="K4" s="537" t="s">
        <v>1774</v>
      </c>
      <c r="L4" s="860"/>
      <c r="M4" s="861"/>
      <c r="N4" s="861"/>
      <c r="O4" s="861"/>
      <c r="P4" s="3424" t="s">
        <v>1775</v>
      </c>
      <c r="Q4" s="3425"/>
      <c r="R4" s="3430" t="s">
        <v>1771</v>
      </c>
      <c r="S4" s="3431"/>
      <c r="T4" s="3430" t="s">
        <v>1772</v>
      </c>
      <c r="U4" s="3431"/>
      <c r="V4" s="3406" t="s">
        <v>1773</v>
      </c>
      <c r="W4" s="3406"/>
      <c r="X4" s="1265"/>
      <c r="Y4" s="3430" t="s">
        <v>1775</v>
      </c>
      <c r="Z4" s="3431"/>
      <c r="AA4" s="3417" t="s">
        <v>1771</v>
      </c>
      <c r="AB4" s="3418" t="s">
        <v>1772</v>
      </c>
      <c r="AC4" s="3417" t="s">
        <v>1773</v>
      </c>
    </row>
    <row r="5" spans="1:29" ht="15">
      <c r="A5" s="348"/>
      <c r="B5" s="349"/>
      <c r="C5" s="3438" t="s">
        <v>1673</v>
      </c>
      <c r="D5" s="3439"/>
      <c r="E5" s="3445" t="s">
        <v>1674</v>
      </c>
      <c r="F5" s="3446"/>
      <c r="G5" s="3438" t="s">
        <v>1675</v>
      </c>
      <c r="H5" s="3439"/>
      <c r="I5" s="3438" t="s">
        <v>1676</v>
      </c>
      <c r="J5" s="3439"/>
      <c r="K5" s="537"/>
      <c r="L5" s="860"/>
      <c r="M5" s="861"/>
      <c r="N5" s="861"/>
      <c r="O5" s="861"/>
      <c r="P5" s="3426"/>
      <c r="Q5" s="3427"/>
      <c r="R5" s="3432"/>
      <c r="S5" s="3433"/>
      <c r="T5" s="3432"/>
      <c r="U5" s="3433"/>
      <c r="V5" s="3406"/>
      <c r="W5" s="3406"/>
      <c r="X5" s="1265"/>
      <c r="Y5" s="3432"/>
      <c r="Z5" s="3433"/>
      <c r="AA5" s="3418"/>
      <c r="AB5" s="3418"/>
      <c r="AC5" s="3418"/>
    </row>
    <row r="6" spans="1:29" ht="15.75" thickBot="1">
      <c r="A6" s="350"/>
      <c r="B6" s="351"/>
      <c r="C6" s="3436" t="s">
        <v>1677</v>
      </c>
      <c r="D6" s="3437"/>
      <c r="E6" s="3443" t="s">
        <v>1677</v>
      </c>
      <c r="F6" s="3444"/>
      <c r="G6" s="3436" t="s">
        <v>1677</v>
      </c>
      <c r="H6" s="3437"/>
      <c r="I6" s="3436" t="s">
        <v>1677</v>
      </c>
      <c r="J6" s="3437"/>
      <c r="K6" s="537" t="s">
        <v>1678</v>
      </c>
      <c r="L6" s="860"/>
      <c r="M6" s="861"/>
      <c r="N6" s="861"/>
      <c r="O6" s="861"/>
      <c r="P6" s="3428"/>
      <c r="Q6" s="3429"/>
      <c r="R6" s="3432"/>
      <c r="S6" s="3433"/>
      <c r="T6" s="3434"/>
      <c r="U6" s="3435"/>
      <c r="V6" s="3406"/>
      <c r="W6" s="3406"/>
      <c r="X6" s="1265"/>
      <c r="Y6" s="3434"/>
      <c r="Z6" s="3435"/>
      <c r="AA6" s="3419"/>
      <c r="AB6" s="3419"/>
      <c r="AC6" s="3419"/>
    </row>
    <row r="7" spans="1:29" s="102" customFormat="1" ht="15.75" thickBot="1">
      <c r="A7" s="352" t="s">
        <v>1679</v>
      </c>
      <c r="B7" s="353"/>
      <c r="C7" s="354">
        <f>'数据-取费表'!B2</f>
        <v>45845</v>
      </c>
      <c r="D7" s="355">
        <v>100</v>
      </c>
      <c r="E7" s="356"/>
      <c r="F7" s="357">
        <f>SUMIF(52:52,YEAR(E7)&amp;"-"&amp;MONTH(E7),53:53)</f>
        <v>0</v>
      </c>
      <c r="G7" s="356"/>
      <c r="H7" s="355">
        <f>SUMIF(52:52,YEAR(G7)&amp;"-"&amp;MONTH(G7),53:53)</f>
        <v>0</v>
      </c>
      <c r="I7" s="356"/>
      <c r="J7" s="355">
        <f>SUMIF(52:52,YEAR(I7)&amp;"-"&amp;MONTH(I7),53:53)</f>
        <v>0</v>
      </c>
      <c r="K7" s="38"/>
      <c r="L7" s="862"/>
      <c r="M7" s="863"/>
      <c r="N7" s="863"/>
      <c r="O7" s="863"/>
      <c r="P7" s="3440" t="s">
        <v>1680</v>
      </c>
      <c r="Q7" s="3442"/>
      <c r="R7" s="664" t="s">
        <v>14</v>
      </c>
      <c r="S7" s="665">
        <f t="shared" ref="S7:S15" si="0">F7</f>
        <v>0</v>
      </c>
      <c r="T7" s="664" t="s">
        <v>14</v>
      </c>
      <c r="U7" s="665">
        <f t="shared" ref="U7:U15" si="1">H7</f>
        <v>0</v>
      </c>
      <c r="V7" s="664" t="s">
        <v>14</v>
      </c>
      <c r="W7" s="665">
        <f t="shared" ref="W7:W15" si="2">J7</f>
        <v>0</v>
      </c>
      <c r="X7" s="666"/>
      <c r="Y7" s="3440" t="s">
        <v>1680</v>
      </c>
      <c r="Z7" s="344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40" t="s">
        <v>1683</v>
      </c>
      <c r="Q8" s="3441"/>
      <c r="R8" s="664" t="s">
        <v>14</v>
      </c>
      <c r="S8" s="665">
        <f t="shared" si="0"/>
        <v>100</v>
      </c>
      <c r="T8" s="664" t="s">
        <v>14</v>
      </c>
      <c r="U8" s="665">
        <f t="shared" si="1"/>
        <v>100</v>
      </c>
      <c r="V8" s="664" t="s">
        <v>14</v>
      </c>
      <c r="W8" s="665">
        <f t="shared" si="2"/>
        <v>100</v>
      </c>
      <c r="X8" s="666"/>
      <c r="Y8" s="3440" t="s">
        <v>1683</v>
      </c>
      <c r="Z8" s="344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5"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05"/>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5"/>
      <c r="Q11" s="530" t="str">
        <f t="shared" si="6"/>
        <v>容积率</v>
      </c>
      <c r="R11" s="664" t="s">
        <v>14</v>
      </c>
      <c r="S11" s="665">
        <f t="shared" si="0"/>
        <v>100</v>
      </c>
      <c r="T11" s="664" t="s">
        <v>14</v>
      </c>
      <c r="U11" s="665">
        <f t="shared" si="1"/>
        <v>100</v>
      </c>
      <c r="V11" s="664" t="s">
        <v>14</v>
      </c>
      <c r="W11" s="665">
        <f t="shared" si="2"/>
        <v>100</v>
      </c>
      <c r="X11" s="666"/>
      <c r="Y11" s="326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5"/>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5"/>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5"/>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7" t="s">
        <v>1691</v>
      </c>
      <c r="Q15" s="1263" t="str">
        <f t="shared" si="6"/>
        <v>产业集聚程度</v>
      </c>
      <c r="R15" s="667" t="s">
        <v>14</v>
      </c>
      <c r="S15" s="668">
        <f t="shared" si="0"/>
        <v>100</v>
      </c>
      <c r="T15" s="667" t="s">
        <v>14</v>
      </c>
      <c r="U15" s="668">
        <f t="shared" si="1"/>
        <v>100</v>
      </c>
      <c r="V15" s="667" t="s">
        <v>14</v>
      </c>
      <c r="W15" s="668">
        <f t="shared" si="2"/>
        <v>100</v>
      </c>
      <c r="X15" s="1265"/>
      <c r="Y15" s="340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8"/>
      <c r="Q16" s="1263"/>
      <c r="R16" s="667"/>
      <c r="S16" s="668"/>
      <c r="T16" s="667"/>
      <c r="U16" s="668"/>
      <c r="V16" s="667"/>
      <c r="W16" s="668"/>
      <c r="X16" s="1265"/>
      <c r="Y16" s="3408"/>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8"/>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8"/>
      <c r="Q18" s="1263"/>
      <c r="R18" s="667"/>
      <c r="S18" s="668"/>
      <c r="T18" s="667"/>
      <c r="U18" s="668"/>
      <c r="V18" s="667"/>
      <c r="W18" s="668"/>
      <c r="X18" s="1265"/>
      <c r="Y18" s="3408"/>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8"/>
      <c r="Q19" s="1263" t="str">
        <f>B19</f>
        <v>公共配套设施</v>
      </c>
      <c r="R19" s="667" t="s">
        <v>14</v>
      </c>
      <c r="S19" s="668">
        <f>F19</f>
        <v>100</v>
      </c>
      <c r="T19" s="667" t="s">
        <v>14</v>
      </c>
      <c r="U19" s="668">
        <f>H19</f>
        <v>100</v>
      </c>
      <c r="V19" s="667" t="s">
        <v>14</v>
      </c>
      <c r="W19" s="668">
        <f>J19</f>
        <v>100</v>
      </c>
      <c r="X19" s="1265"/>
      <c r="Y19" s="340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8"/>
      <c r="Q20" s="1263"/>
      <c r="R20" s="667"/>
      <c r="S20" s="668"/>
      <c r="T20" s="667"/>
      <c r="U20" s="668"/>
      <c r="V20" s="667"/>
      <c r="W20" s="668"/>
      <c r="X20" s="1265"/>
      <c r="Y20" s="3408"/>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8"/>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8"/>
      <c r="Q22" s="1263"/>
      <c r="R22" s="667"/>
      <c r="S22" s="668"/>
      <c r="T22" s="667"/>
      <c r="U22" s="668"/>
      <c r="V22" s="667"/>
      <c r="W22" s="668"/>
      <c r="X22" s="1265"/>
      <c r="Y22" s="3408"/>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8"/>
      <c r="Q23" s="1263" t="str">
        <f>B23</f>
        <v>环境质量</v>
      </c>
      <c r="R23" s="667" t="s">
        <v>14</v>
      </c>
      <c r="S23" s="668">
        <f>F23</f>
        <v>100</v>
      </c>
      <c r="T23" s="667" t="s">
        <v>14</v>
      </c>
      <c r="U23" s="668">
        <f>H23</f>
        <v>100</v>
      </c>
      <c r="V23" s="667" t="s">
        <v>14</v>
      </c>
      <c r="W23" s="668">
        <f>J23</f>
        <v>100</v>
      </c>
      <c r="X23" s="1265"/>
      <c r="Y23" s="340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8"/>
      <c r="Q24" s="1263"/>
      <c r="R24" s="667"/>
      <c r="S24" s="668"/>
      <c r="T24" s="667"/>
      <c r="U24" s="668"/>
      <c r="V24" s="667"/>
      <c r="W24" s="668"/>
      <c r="X24" s="1265"/>
      <c r="Y24" s="340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8"/>
      <c r="Q25" s="1263">
        <f>B25</f>
        <v>111</v>
      </c>
      <c r="R25" s="667" t="s">
        <v>14</v>
      </c>
      <c r="S25" s="668">
        <f>F25</f>
        <v>100</v>
      </c>
      <c r="T25" s="667" t="s">
        <v>14</v>
      </c>
      <c r="U25" s="668">
        <f>H25</f>
        <v>100</v>
      </c>
      <c r="V25" s="667" t="s">
        <v>14</v>
      </c>
      <c r="W25" s="668">
        <f>J25</f>
        <v>100</v>
      </c>
      <c r="X25" s="1265"/>
      <c r="Y25" s="340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8"/>
      <c r="Q26" s="1263">
        <f t="shared" ref="Q26:Q40" si="11">B26</f>
        <v>111</v>
      </c>
      <c r="R26" s="667" t="s">
        <v>14</v>
      </c>
      <c r="S26" s="668">
        <f>F26</f>
        <v>100</v>
      </c>
      <c r="T26" s="667" t="s">
        <v>14</v>
      </c>
      <c r="U26" s="668">
        <f>H26</f>
        <v>100</v>
      </c>
      <c r="V26" s="667" t="s">
        <v>14</v>
      </c>
      <c r="W26" s="668">
        <f>J26</f>
        <v>100</v>
      </c>
      <c r="X26" s="1265"/>
      <c r="Y26" s="340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8"/>
      <c r="Q27" s="530">
        <f t="shared" si="11"/>
        <v>111</v>
      </c>
      <c r="R27" s="664" t="s">
        <v>14</v>
      </c>
      <c r="S27" s="665">
        <f>F27</f>
        <v>100</v>
      </c>
      <c r="T27" s="664" t="s">
        <v>14</v>
      </c>
      <c r="U27" s="665">
        <f>H27</f>
        <v>100</v>
      </c>
      <c r="V27" s="664" t="s">
        <v>14</v>
      </c>
      <c r="W27" s="665">
        <f>J27</f>
        <v>100</v>
      </c>
      <c r="X27" s="666"/>
      <c r="Y27" s="3408"/>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8"/>
      <c r="Q28" s="1263">
        <f t="shared" si="11"/>
        <v>111</v>
      </c>
      <c r="R28" s="667" t="s">
        <v>14</v>
      </c>
      <c r="S28" s="668">
        <f t="shared" ref="S28:S40" si="12">F28</f>
        <v>100</v>
      </c>
      <c r="T28" s="667" t="s">
        <v>14</v>
      </c>
      <c r="U28" s="668">
        <f t="shared" ref="U28:U40" si="13">H28</f>
        <v>100</v>
      </c>
      <c r="V28" s="667" t="s">
        <v>14</v>
      </c>
      <c r="W28" s="668">
        <f t="shared" ref="W28:W40" si="14">J28</f>
        <v>100</v>
      </c>
      <c r="X28" s="1265"/>
      <c r="Y28" s="3408"/>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2" t="s">
        <v>1696</v>
      </c>
      <c r="Q29" s="1263" t="str">
        <f t="shared" si="11"/>
        <v>建筑类型</v>
      </c>
      <c r="R29" s="667" t="s">
        <v>14</v>
      </c>
      <c r="S29" s="668">
        <f t="shared" si="12"/>
        <v>100</v>
      </c>
      <c r="T29" s="667" t="s">
        <v>14</v>
      </c>
      <c r="U29" s="668">
        <f t="shared" si="13"/>
        <v>100</v>
      </c>
      <c r="V29" s="667" t="s">
        <v>14</v>
      </c>
      <c r="W29" s="668">
        <f t="shared" si="14"/>
        <v>100</v>
      </c>
      <c r="X29" s="1265"/>
      <c r="Y29" s="341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2"/>
      <c r="Q30" s="531" t="str">
        <f t="shared" si="11"/>
        <v>项目建筑规模</v>
      </c>
      <c r="R30" s="669" t="s">
        <v>14</v>
      </c>
      <c r="S30" s="670" t="e">
        <f t="shared" si="12"/>
        <v>#N/A</v>
      </c>
      <c r="T30" s="669" t="s">
        <v>14</v>
      </c>
      <c r="U30" s="670" t="e">
        <f t="shared" si="13"/>
        <v>#N/A</v>
      </c>
      <c r="V30" s="669" t="s">
        <v>14</v>
      </c>
      <c r="W30" s="670" t="e">
        <f t="shared" si="14"/>
        <v>#N/A</v>
      </c>
      <c r="X30" s="671"/>
      <c r="Y30" s="341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2"/>
      <c r="Q31" s="1263" t="str">
        <f t="shared" si="11"/>
        <v>建筑结构</v>
      </c>
      <c r="R31" s="667" t="s">
        <v>14</v>
      </c>
      <c r="S31" s="668">
        <f t="shared" si="12"/>
        <v>100</v>
      </c>
      <c r="T31" s="667" t="s">
        <v>14</v>
      </c>
      <c r="U31" s="668">
        <f t="shared" si="13"/>
        <v>100</v>
      </c>
      <c r="V31" s="667" t="s">
        <v>14</v>
      </c>
      <c r="W31" s="668">
        <f t="shared" si="14"/>
        <v>100</v>
      </c>
      <c r="X31" s="1265"/>
      <c r="Y31" s="341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2"/>
      <c r="Q32" s="1263" t="str">
        <f t="shared" si="11"/>
        <v>公共部分装修</v>
      </c>
      <c r="R32" s="667" t="s">
        <v>14</v>
      </c>
      <c r="S32" s="668">
        <f t="shared" si="12"/>
        <v>100</v>
      </c>
      <c r="T32" s="667" t="s">
        <v>14</v>
      </c>
      <c r="U32" s="668">
        <f t="shared" si="13"/>
        <v>100</v>
      </c>
      <c r="V32" s="667" t="s">
        <v>14</v>
      </c>
      <c r="W32" s="668">
        <f t="shared" si="14"/>
        <v>100</v>
      </c>
      <c r="X32" s="1265"/>
      <c r="Y32" s="341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2"/>
      <c r="Q33" s="1263" t="str">
        <f t="shared" si="11"/>
        <v>成新度</v>
      </c>
      <c r="R33" s="667" t="s">
        <v>14</v>
      </c>
      <c r="S33" s="668" t="e">
        <f t="shared" si="12"/>
        <v>#N/A</v>
      </c>
      <c r="T33" s="667" t="s">
        <v>14</v>
      </c>
      <c r="U33" s="668" t="e">
        <f t="shared" si="13"/>
        <v>#N/A</v>
      </c>
      <c r="V33" s="667" t="s">
        <v>14</v>
      </c>
      <c r="W33" s="668" t="e">
        <f t="shared" si="14"/>
        <v>#N/A</v>
      </c>
      <c r="X33" s="1265"/>
      <c r="Y33" s="341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2"/>
      <c r="Q34" s="530" t="str">
        <f t="shared" si="11"/>
        <v>物业管理</v>
      </c>
      <c r="R34" s="664" t="s">
        <v>14</v>
      </c>
      <c r="S34" s="665">
        <f t="shared" si="12"/>
        <v>100</v>
      </c>
      <c r="T34" s="664" t="s">
        <v>14</v>
      </c>
      <c r="U34" s="665">
        <f t="shared" si="13"/>
        <v>100</v>
      </c>
      <c r="V34" s="664" t="s">
        <v>14</v>
      </c>
      <c r="W34" s="665">
        <f t="shared" si="14"/>
        <v>100</v>
      </c>
      <c r="X34" s="666"/>
      <c r="Y34" s="341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2" t="s">
        <v>1696</v>
      </c>
      <c r="Q35" s="1263" t="str">
        <f t="shared" si="11"/>
        <v>市政基础设施</v>
      </c>
      <c r="R35" s="667" t="s">
        <v>14</v>
      </c>
      <c r="S35" s="668">
        <f t="shared" si="12"/>
        <v>100</v>
      </c>
      <c r="T35" s="667" t="s">
        <v>14</v>
      </c>
      <c r="U35" s="668">
        <f t="shared" si="13"/>
        <v>100</v>
      </c>
      <c r="V35" s="667" t="s">
        <v>14</v>
      </c>
      <c r="W35" s="668">
        <f t="shared" si="14"/>
        <v>100</v>
      </c>
      <c r="X35" s="1265"/>
      <c r="Y35" s="341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2"/>
      <c r="Q36" s="1263" t="str">
        <f t="shared" si="11"/>
        <v>内部装修</v>
      </c>
      <c r="R36" s="667" t="s">
        <v>14</v>
      </c>
      <c r="S36" s="668">
        <f t="shared" si="12"/>
        <v>100</v>
      </c>
      <c r="T36" s="667" t="s">
        <v>14</v>
      </c>
      <c r="U36" s="668">
        <f t="shared" si="13"/>
        <v>100</v>
      </c>
      <c r="V36" s="667" t="s">
        <v>14</v>
      </c>
      <c r="W36" s="668">
        <f t="shared" si="14"/>
        <v>100</v>
      </c>
      <c r="X36" s="1265"/>
      <c r="Y36" s="341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2"/>
      <c r="Q37" s="1263" t="str">
        <f t="shared" si="11"/>
        <v>内部装修状况</v>
      </c>
      <c r="R37" s="667" t="s">
        <v>14</v>
      </c>
      <c r="S37" s="668">
        <f t="shared" si="12"/>
        <v>100</v>
      </c>
      <c r="T37" s="667" t="s">
        <v>14</v>
      </c>
      <c r="U37" s="668">
        <f t="shared" si="13"/>
        <v>100</v>
      </c>
      <c r="V37" s="667" t="s">
        <v>14</v>
      </c>
      <c r="W37" s="668">
        <f t="shared" si="14"/>
        <v>100</v>
      </c>
      <c r="X37" s="1265"/>
      <c r="Y37" s="341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2"/>
      <c r="Q38" s="531">
        <f t="shared" si="11"/>
        <v>111</v>
      </c>
      <c r="R38" s="669" t="s">
        <v>14</v>
      </c>
      <c r="S38" s="670">
        <f t="shared" si="12"/>
        <v>100</v>
      </c>
      <c r="T38" s="669" t="s">
        <v>14</v>
      </c>
      <c r="U38" s="670">
        <f t="shared" si="13"/>
        <v>100</v>
      </c>
      <c r="V38" s="669" t="s">
        <v>14</v>
      </c>
      <c r="W38" s="670">
        <f t="shared" si="14"/>
        <v>100</v>
      </c>
      <c r="X38" s="671"/>
      <c r="Y38" s="341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2"/>
      <c r="Q39" s="1263">
        <f t="shared" si="11"/>
        <v>111</v>
      </c>
      <c r="R39" s="667" t="s">
        <v>14</v>
      </c>
      <c r="S39" s="668">
        <f t="shared" si="12"/>
        <v>100</v>
      </c>
      <c r="T39" s="667" t="s">
        <v>14</v>
      </c>
      <c r="U39" s="668">
        <f t="shared" si="13"/>
        <v>100</v>
      </c>
      <c r="V39" s="667" t="s">
        <v>14</v>
      </c>
      <c r="W39" s="668">
        <f t="shared" si="14"/>
        <v>100</v>
      </c>
      <c r="X39" s="1265"/>
      <c r="Y39" s="3412"/>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3"/>
      <c r="Q40" s="1263">
        <f t="shared" si="11"/>
        <v>111</v>
      </c>
      <c r="R40" s="667" t="s">
        <v>14</v>
      </c>
      <c r="S40" s="668">
        <f t="shared" si="12"/>
        <v>100</v>
      </c>
      <c r="T40" s="667" t="s">
        <v>14</v>
      </c>
      <c r="U40" s="668">
        <f t="shared" si="13"/>
        <v>100</v>
      </c>
      <c r="V40" s="667" t="s">
        <v>14</v>
      </c>
      <c r="W40" s="668">
        <f t="shared" si="14"/>
        <v>100</v>
      </c>
      <c r="X40" s="1265"/>
      <c r="Y40" s="3413"/>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5" t="str">
        <f>A41</f>
        <v>成交单价（元/平方米）</v>
      </c>
      <c r="Q41" s="3405"/>
      <c r="R41" s="3406">
        <f>E41</f>
        <v>0</v>
      </c>
      <c r="S41" s="3406"/>
      <c r="T41" s="3406">
        <f>G41</f>
        <v>0</v>
      </c>
      <c r="U41" s="3406"/>
      <c r="V41" s="3406">
        <f>I41</f>
        <v>0</v>
      </c>
      <c r="W41" s="3406"/>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5" t="str">
        <f>A42</f>
        <v>比较价值（元/平方米）</v>
      </c>
      <c r="Q42" s="3405"/>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2" t="str">
        <f>A43</f>
        <v>估价对象XX用房的比较价值（楼面单价，元/平方米）</v>
      </c>
      <c r="Q43" s="3403"/>
      <c r="R43" s="3404" t="e">
        <f>IF(F1="售价",ROUND(IF(D42="简单平均",AVERAGE(R42:V42),R42*F42+T42*H42+V42*J42),0),ROUND(IF(D42="简单平均",AVERAGE(R42:V42),R42*F42+T42*H42+V42*J42),1))</f>
        <v>#DIV/0!</v>
      </c>
      <c r="S43" s="3404"/>
      <c r="T43" s="3404"/>
      <c r="U43" s="3404"/>
      <c r="V43" s="3404"/>
      <c r="W43" s="3404"/>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20" t="s">
        <v>1770</v>
      </c>
      <c r="D4" s="3421"/>
      <c r="E4" s="3422" t="s">
        <v>1771</v>
      </c>
      <c r="F4" s="3423"/>
      <c r="G4" s="3420" t="s">
        <v>1772</v>
      </c>
      <c r="H4" s="3421"/>
      <c r="I4" s="3420" t="s">
        <v>1773</v>
      </c>
      <c r="J4" s="3421"/>
      <c r="K4" s="537" t="s">
        <v>1774</v>
      </c>
      <c r="L4" s="2487"/>
      <c r="M4" s="2488"/>
      <c r="N4" s="2488"/>
      <c r="O4" s="2488"/>
      <c r="P4" s="3424" t="s">
        <v>1775</v>
      </c>
      <c r="Q4" s="3425"/>
      <c r="R4" s="3430" t="s">
        <v>1771</v>
      </c>
      <c r="S4" s="3431"/>
      <c r="T4" s="3430" t="s">
        <v>1772</v>
      </c>
      <c r="U4" s="3431"/>
      <c r="V4" s="3406" t="s">
        <v>1773</v>
      </c>
      <c r="W4" s="3406"/>
      <c r="X4" s="1265"/>
      <c r="Y4" s="3430" t="s">
        <v>1775</v>
      </c>
      <c r="Z4" s="3431"/>
      <c r="AA4" s="3417" t="s">
        <v>1771</v>
      </c>
      <c r="AB4" s="3418" t="s">
        <v>1772</v>
      </c>
      <c r="AC4" s="3417" t="s">
        <v>1773</v>
      </c>
    </row>
    <row r="5" spans="1:29" ht="15">
      <c r="A5" s="348"/>
      <c r="B5" s="349"/>
      <c r="C5" s="3438" t="s">
        <v>1673</v>
      </c>
      <c r="D5" s="3439"/>
      <c r="E5" s="3445" t="s">
        <v>1674</v>
      </c>
      <c r="F5" s="3446"/>
      <c r="G5" s="3438" t="s">
        <v>1675</v>
      </c>
      <c r="H5" s="3439"/>
      <c r="I5" s="3438" t="s">
        <v>1676</v>
      </c>
      <c r="J5" s="3439"/>
      <c r="K5" s="537"/>
      <c r="L5" s="2487"/>
      <c r="M5" s="2488"/>
      <c r="N5" s="2488"/>
      <c r="O5" s="2488"/>
      <c r="P5" s="3426"/>
      <c r="Q5" s="3427"/>
      <c r="R5" s="3432"/>
      <c r="S5" s="3433"/>
      <c r="T5" s="3432"/>
      <c r="U5" s="3433"/>
      <c r="V5" s="3406"/>
      <c r="W5" s="3406"/>
      <c r="X5" s="1265"/>
      <c r="Y5" s="3432"/>
      <c r="Z5" s="3433"/>
      <c r="AA5" s="3418"/>
      <c r="AB5" s="3418"/>
      <c r="AC5" s="3418"/>
    </row>
    <row r="6" spans="1:29" ht="15.75" thickBot="1">
      <c r="A6" s="350"/>
      <c r="B6" s="351"/>
      <c r="C6" s="3436" t="s">
        <v>1677</v>
      </c>
      <c r="D6" s="3437"/>
      <c r="E6" s="3443" t="s">
        <v>1677</v>
      </c>
      <c r="F6" s="3444"/>
      <c r="G6" s="3436" t="s">
        <v>1677</v>
      </c>
      <c r="H6" s="3437"/>
      <c r="I6" s="3436" t="s">
        <v>1677</v>
      </c>
      <c r="J6" s="3437"/>
      <c r="K6" s="537" t="s">
        <v>1678</v>
      </c>
      <c r="L6" s="2487"/>
      <c r="M6" s="2488"/>
      <c r="N6" s="2488"/>
      <c r="O6" s="2488"/>
      <c r="P6" s="3428"/>
      <c r="Q6" s="3429"/>
      <c r="R6" s="3432"/>
      <c r="S6" s="3433"/>
      <c r="T6" s="3434"/>
      <c r="U6" s="3435"/>
      <c r="V6" s="3406"/>
      <c r="W6" s="3406"/>
      <c r="X6" s="1265"/>
      <c r="Y6" s="3434"/>
      <c r="Z6" s="3435"/>
      <c r="AA6" s="3419"/>
      <c r="AB6" s="3419"/>
      <c r="AC6" s="3419"/>
    </row>
    <row r="7" spans="1:29" s="102" customFormat="1" ht="15.75" thickBot="1">
      <c r="A7" s="352" t="s">
        <v>1679</v>
      </c>
      <c r="B7" s="353"/>
      <c r="C7" s="354">
        <f>'数据-取费表'!B2</f>
        <v>45845</v>
      </c>
      <c r="D7" s="355">
        <v>100</v>
      </c>
      <c r="E7" s="356"/>
      <c r="F7" s="357">
        <f>SUMIF(48:48,YEAR(E7)&amp;"-"&amp;MONTH(E7),49:49)</f>
        <v>0</v>
      </c>
      <c r="G7" s="356"/>
      <c r="H7" s="355">
        <f>SUMIF(48:48,YEAR(G7)&amp;"-"&amp;MONTH(G7),49:49)</f>
        <v>0</v>
      </c>
      <c r="I7" s="356"/>
      <c r="J7" s="355">
        <f>SUMIF(48:48,YEAR(I7)&amp;"-"&amp;MONTH(I7),49:49)</f>
        <v>0</v>
      </c>
      <c r="K7" s="38"/>
      <c r="L7" s="2489"/>
      <c r="M7" s="2440"/>
      <c r="N7" s="2440"/>
      <c r="O7" s="2440"/>
      <c r="P7" s="3440" t="s">
        <v>1680</v>
      </c>
      <c r="Q7" s="3442"/>
      <c r="R7" s="664" t="s">
        <v>14</v>
      </c>
      <c r="S7" s="665">
        <f t="shared" ref="S7:S14" si="0">F7</f>
        <v>0</v>
      </c>
      <c r="T7" s="664" t="s">
        <v>14</v>
      </c>
      <c r="U7" s="665">
        <f t="shared" ref="U7:U14" si="1">H7</f>
        <v>0</v>
      </c>
      <c r="V7" s="664" t="s">
        <v>14</v>
      </c>
      <c r="W7" s="665">
        <f t="shared" ref="W7:W14" si="2">J7</f>
        <v>0</v>
      </c>
      <c r="X7" s="666"/>
      <c r="Y7" s="3440" t="s">
        <v>1680</v>
      </c>
      <c r="Z7" s="344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40" t="s">
        <v>1683</v>
      </c>
      <c r="Q8" s="3441"/>
      <c r="R8" s="664" t="s">
        <v>14</v>
      </c>
      <c r="S8" s="665">
        <f t="shared" si="0"/>
        <v>100</v>
      </c>
      <c r="T8" s="664" t="s">
        <v>14</v>
      </c>
      <c r="U8" s="665">
        <f t="shared" si="1"/>
        <v>100</v>
      </c>
      <c r="V8" s="664" t="s">
        <v>14</v>
      </c>
      <c r="W8" s="665">
        <f t="shared" si="2"/>
        <v>100</v>
      </c>
      <c r="X8" s="666"/>
      <c r="Y8" s="3440" t="s">
        <v>1683</v>
      </c>
      <c r="Z8" s="344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05" t="s">
        <v>1686</v>
      </c>
      <c r="Q9" s="530" t="str">
        <f t="shared" ref="Q9:Q14" si="6">B9</f>
        <v>用途</v>
      </c>
      <c r="R9" s="664" t="s">
        <v>14</v>
      </c>
      <c r="S9" s="665">
        <f t="shared" si="0"/>
        <v>100</v>
      </c>
      <c r="T9" s="664" t="s">
        <v>14</v>
      </c>
      <c r="U9" s="665">
        <f t="shared" si="1"/>
        <v>100</v>
      </c>
      <c r="V9" s="664" t="s">
        <v>14</v>
      </c>
      <c r="W9" s="665">
        <f t="shared" si="2"/>
        <v>100</v>
      </c>
      <c r="X9" s="666"/>
      <c r="Y9" s="3261"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05"/>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05"/>
      <c r="Q11" s="530">
        <f t="shared" si="6"/>
        <v>111</v>
      </c>
      <c r="R11" s="664" t="s">
        <v>14</v>
      </c>
      <c r="S11" s="665">
        <f t="shared" si="0"/>
        <v>100</v>
      </c>
      <c r="T11" s="664" t="s">
        <v>14</v>
      </c>
      <c r="U11" s="665">
        <f t="shared" si="1"/>
        <v>100</v>
      </c>
      <c r="V11" s="664" t="s">
        <v>14</v>
      </c>
      <c r="W11" s="665">
        <f t="shared" si="2"/>
        <v>100</v>
      </c>
      <c r="X11" s="666"/>
      <c r="Y11" s="326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05"/>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05"/>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07" t="s">
        <v>1691</v>
      </c>
      <c r="Q14" s="1263" t="str">
        <f t="shared" si="6"/>
        <v>交通便捷度</v>
      </c>
      <c r="R14" s="667" t="s">
        <v>14</v>
      </c>
      <c r="S14" s="668">
        <f t="shared" si="0"/>
        <v>100</v>
      </c>
      <c r="T14" s="667" t="s">
        <v>14</v>
      </c>
      <c r="U14" s="668">
        <f t="shared" si="1"/>
        <v>100</v>
      </c>
      <c r="V14" s="667" t="s">
        <v>14</v>
      </c>
      <c r="W14" s="668">
        <f t="shared" si="2"/>
        <v>100</v>
      </c>
      <c r="X14" s="1265"/>
      <c r="Y14" s="340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08"/>
      <c r="Q15" s="1263"/>
      <c r="R15" s="667"/>
      <c r="S15" s="668"/>
      <c r="T15" s="667"/>
      <c r="U15" s="668"/>
      <c r="V15" s="667"/>
      <c r="W15" s="668"/>
      <c r="X15" s="1265"/>
      <c r="Y15" s="3408"/>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08"/>
      <c r="Q16" s="1263" t="str">
        <f>B16</f>
        <v>公共配套设施</v>
      </c>
      <c r="R16" s="667" t="s">
        <v>14</v>
      </c>
      <c r="S16" s="668">
        <f>F16</f>
        <v>100</v>
      </c>
      <c r="T16" s="667" t="s">
        <v>14</v>
      </c>
      <c r="U16" s="668">
        <f>H16</f>
        <v>100</v>
      </c>
      <c r="V16" s="667" t="s">
        <v>14</v>
      </c>
      <c r="W16" s="668">
        <f>J16</f>
        <v>100</v>
      </c>
      <c r="X16" s="1265"/>
      <c r="Y16" s="340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08"/>
      <c r="Q17" s="1263"/>
      <c r="R17" s="667"/>
      <c r="S17" s="668"/>
      <c r="T17" s="667"/>
      <c r="U17" s="668"/>
      <c r="V17" s="667"/>
      <c r="W17" s="668"/>
      <c r="X17" s="1265"/>
      <c r="Y17" s="3408"/>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08"/>
      <c r="Q18" s="1263" t="str">
        <f>B18</f>
        <v>基础设施水平</v>
      </c>
      <c r="R18" s="667" t="s">
        <v>14</v>
      </c>
      <c r="S18" s="668">
        <f>F18</f>
        <v>100</v>
      </c>
      <c r="T18" s="667" t="s">
        <v>14</v>
      </c>
      <c r="U18" s="668">
        <f>H18</f>
        <v>100</v>
      </c>
      <c r="V18" s="667" t="s">
        <v>14</v>
      </c>
      <c r="W18" s="668">
        <f>J18</f>
        <v>100</v>
      </c>
      <c r="X18" s="1265"/>
      <c r="Y18" s="340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08"/>
      <c r="Q19" s="1263"/>
      <c r="R19" s="667"/>
      <c r="S19" s="668"/>
      <c r="T19" s="667"/>
      <c r="U19" s="668"/>
      <c r="V19" s="667"/>
      <c r="W19" s="668"/>
      <c r="X19" s="1265"/>
      <c r="Y19" s="3408"/>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08"/>
      <c r="Q20" s="1263" t="str">
        <f>B20</f>
        <v>自然及人文环境</v>
      </c>
      <c r="R20" s="667" t="s">
        <v>14</v>
      </c>
      <c r="S20" s="668">
        <f>F20</f>
        <v>100</v>
      </c>
      <c r="T20" s="667" t="s">
        <v>14</v>
      </c>
      <c r="U20" s="668">
        <f>H20</f>
        <v>100</v>
      </c>
      <c r="V20" s="667" t="s">
        <v>14</v>
      </c>
      <c r="W20" s="668">
        <f>J20</f>
        <v>100</v>
      </c>
      <c r="X20" s="1265"/>
      <c r="Y20" s="340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08"/>
      <c r="Q21" s="1263"/>
      <c r="R21" s="667"/>
      <c r="S21" s="668"/>
      <c r="T21" s="667"/>
      <c r="U21" s="668"/>
      <c r="V21" s="667"/>
      <c r="W21" s="668"/>
      <c r="X21" s="1265"/>
      <c r="Y21" s="340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08"/>
      <c r="Q22" s="1263" t="str">
        <f>B22</f>
        <v>楼层</v>
      </c>
      <c r="R22" s="667" t="s">
        <v>14</v>
      </c>
      <c r="S22" s="668">
        <f>F22</f>
        <v>100</v>
      </c>
      <c r="T22" s="667" t="s">
        <v>14</v>
      </c>
      <c r="U22" s="668">
        <f>H22</f>
        <v>100</v>
      </c>
      <c r="V22" s="667" t="s">
        <v>14</v>
      </c>
      <c r="W22" s="668">
        <f>J22</f>
        <v>100</v>
      </c>
      <c r="X22" s="1265"/>
      <c r="Y22" s="340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08"/>
      <c r="Q23" s="1263">
        <f>B23</f>
        <v>111</v>
      </c>
      <c r="R23" s="667" t="s">
        <v>14</v>
      </c>
      <c r="S23" s="668">
        <f>F23</f>
        <v>100</v>
      </c>
      <c r="T23" s="667" t="s">
        <v>14</v>
      </c>
      <c r="U23" s="668">
        <f>H23</f>
        <v>100</v>
      </c>
      <c r="V23" s="667" t="s">
        <v>14</v>
      </c>
      <c r="W23" s="668">
        <f>J23</f>
        <v>100</v>
      </c>
      <c r="X23" s="1265"/>
      <c r="Y23" s="340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08"/>
      <c r="Q24" s="1263">
        <f t="shared" ref="Q24:Q36" si="11">B24</f>
        <v>111</v>
      </c>
      <c r="R24" s="667" t="s">
        <v>14</v>
      </c>
      <c r="S24" s="668">
        <f>F24</f>
        <v>100</v>
      </c>
      <c r="T24" s="667" t="s">
        <v>14</v>
      </c>
      <c r="U24" s="668">
        <f>H24</f>
        <v>100</v>
      </c>
      <c r="V24" s="667" t="s">
        <v>14</v>
      </c>
      <c r="W24" s="668">
        <f>J24</f>
        <v>100</v>
      </c>
      <c r="X24" s="1265"/>
      <c r="Y24" s="3408"/>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08"/>
      <c r="Q25" s="530">
        <f t="shared" si="11"/>
        <v>111</v>
      </c>
      <c r="R25" s="664" t="s">
        <v>14</v>
      </c>
      <c r="S25" s="665">
        <f>F25</f>
        <v>100</v>
      </c>
      <c r="T25" s="664" t="s">
        <v>14</v>
      </c>
      <c r="U25" s="665">
        <f>H25</f>
        <v>100</v>
      </c>
      <c r="V25" s="664" t="s">
        <v>14</v>
      </c>
      <c r="W25" s="665">
        <f>J25</f>
        <v>100</v>
      </c>
      <c r="X25" s="666"/>
      <c r="Y25" s="3408"/>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6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12"/>
      <c r="Q27" s="531" t="str">
        <f t="shared" si="11"/>
        <v>项目停车位配比</v>
      </c>
      <c r="R27" s="669" t="s">
        <v>14</v>
      </c>
      <c r="S27" s="670">
        <f t="shared" si="12"/>
        <v>100</v>
      </c>
      <c r="T27" s="669" t="s">
        <v>14</v>
      </c>
      <c r="U27" s="670">
        <f t="shared" si="13"/>
        <v>100</v>
      </c>
      <c r="V27" s="669" t="s">
        <v>14</v>
      </c>
      <c r="W27" s="670">
        <f t="shared" si="14"/>
        <v>100</v>
      </c>
      <c r="X27" s="671"/>
      <c r="Y27" s="341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12"/>
      <c r="Q28" s="1263" t="str">
        <f t="shared" si="11"/>
        <v>公共部分装修</v>
      </c>
      <c r="R28" s="667" t="s">
        <v>14</v>
      </c>
      <c r="S28" s="668">
        <f t="shared" si="12"/>
        <v>100</v>
      </c>
      <c r="T28" s="667" t="s">
        <v>14</v>
      </c>
      <c r="U28" s="668">
        <f t="shared" si="13"/>
        <v>100</v>
      </c>
      <c r="V28" s="667" t="s">
        <v>14</v>
      </c>
      <c r="W28" s="668">
        <f t="shared" si="14"/>
        <v>100</v>
      </c>
      <c r="X28" s="1265"/>
      <c r="Y28" s="341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12"/>
      <c r="Q29" s="1263" t="str">
        <f t="shared" si="11"/>
        <v>成新率</v>
      </c>
      <c r="R29" s="667" t="s">
        <v>14</v>
      </c>
      <c r="S29" s="668" t="e">
        <f t="shared" si="12"/>
        <v>#N/A</v>
      </c>
      <c r="T29" s="667" t="s">
        <v>14</v>
      </c>
      <c r="U29" s="668" t="e">
        <f t="shared" si="13"/>
        <v>#N/A</v>
      </c>
      <c r="V29" s="667" t="s">
        <v>14</v>
      </c>
      <c r="W29" s="668" t="e">
        <f t="shared" si="14"/>
        <v>#N/A</v>
      </c>
      <c r="X29" s="1265"/>
      <c r="Y29" s="341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12"/>
      <c r="Q30" s="1263" t="str">
        <f t="shared" si="11"/>
        <v>物业等级</v>
      </c>
      <c r="R30" s="667" t="s">
        <v>14</v>
      </c>
      <c r="S30" s="668">
        <f t="shared" si="12"/>
        <v>100</v>
      </c>
      <c r="T30" s="667" t="s">
        <v>14</v>
      </c>
      <c r="U30" s="668">
        <f t="shared" si="13"/>
        <v>100</v>
      </c>
      <c r="V30" s="667" t="s">
        <v>14</v>
      </c>
      <c r="W30" s="668">
        <f t="shared" si="14"/>
        <v>100</v>
      </c>
      <c r="X30" s="1265"/>
      <c r="Y30" s="341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12"/>
      <c r="Q31" s="530" t="str">
        <f t="shared" si="11"/>
        <v>停车位面积</v>
      </c>
      <c r="R31" s="664" t="s">
        <v>14</v>
      </c>
      <c r="S31" s="665" t="e">
        <f t="shared" si="12"/>
        <v>#N/A</v>
      </c>
      <c r="T31" s="664" t="s">
        <v>14</v>
      </c>
      <c r="U31" s="665" t="e">
        <f t="shared" si="13"/>
        <v>#N/A</v>
      </c>
      <c r="V31" s="664" t="s">
        <v>14</v>
      </c>
      <c r="W31" s="665" t="e">
        <f t="shared" si="14"/>
        <v>#N/A</v>
      </c>
      <c r="X31" s="666"/>
      <c r="Y31" s="341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12" t="s">
        <v>1696</v>
      </c>
      <c r="Q32" s="1263" t="str">
        <f t="shared" si="11"/>
        <v>车位类型</v>
      </c>
      <c r="R32" s="667" t="s">
        <v>14</v>
      </c>
      <c r="S32" s="668">
        <f t="shared" si="12"/>
        <v>100</v>
      </c>
      <c r="T32" s="667" t="s">
        <v>14</v>
      </c>
      <c r="U32" s="668">
        <f t="shared" si="13"/>
        <v>100</v>
      </c>
      <c r="V32" s="667" t="s">
        <v>14</v>
      </c>
      <c r="W32" s="668">
        <f t="shared" si="14"/>
        <v>100</v>
      </c>
      <c r="X32" s="1265"/>
      <c r="Y32" s="341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12"/>
      <c r="Q33" s="1263" t="str">
        <f t="shared" si="11"/>
        <v>是否直接入户</v>
      </c>
      <c r="R33" s="667" t="s">
        <v>14</v>
      </c>
      <c r="S33" s="668">
        <f t="shared" si="12"/>
        <v>100</v>
      </c>
      <c r="T33" s="667" t="s">
        <v>14</v>
      </c>
      <c r="U33" s="668">
        <f t="shared" si="13"/>
        <v>100</v>
      </c>
      <c r="V33" s="667" t="s">
        <v>14</v>
      </c>
      <c r="W33" s="668">
        <f t="shared" si="14"/>
        <v>100</v>
      </c>
      <c r="X33" s="1265"/>
      <c r="Y33" s="341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12"/>
      <c r="Q34" s="1263">
        <f t="shared" si="11"/>
        <v>111</v>
      </c>
      <c r="R34" s="667" t="s">
        <v>14</v>
      </c>
      <c r="S34" s="668">
        <f t="shared" si="12"/>
        <v>100</v>
      </c>
      <c r="T34" s="667" t="s">
        <v>14</v>
      </c>
      <c r="U34" s="668">
        <f t="shared" si="13"/>
        <v>100</v>
      </c>
      <c r="V34" s="667" t="s">
        <v>14</v>
      </c>
      <c r="W34" s="668">
        <f t="shared" si="14"/>
        <v>100</v>
      </c>
      <c r="X34" s="1265"/>
      <c r="Y34" s="341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12"/>
      <c r="Q35" s="531">
        <f t="shared" si="11"/>
        <v>111</v>
      </c>
      <c r="R35" s="669" t="s">
        <v>14</v>
      </c>
      <c r="S35" s="670">
        <f t="shared" si="12"/>
        <v>100</v>
      </c>
      <c r="T35" s="669" t="s">
        <v>14</v>
      </c>
      <c r="U35" s="670">
        <f t="shared" si="13"/>
        <v>100</v>
      </c>
      <c r="V35" s="669" t="s">
        <v>14</v>
      </c>
      <c r="W35" s="670">
        <f t="shared" si="14"/>
        <v>100</v>
      </c>
      <c r="X35" s="671"/>
      <c r="Y35" s="3412"/>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12"/>
      <c r="Q36" s="1263">
        <f t="shared" si="11"/>
        <v>111</v>
      </c>
      <c r="R36" s="667" t="s">
        <v>14</v>
      </c>
      <c r="S36" s="668">
        <f t="shared" si="12"/>
        <v>100</v>
      </c>
      <c r="T36" s="667" t="s">
        <v>14</v>
      </c>
      <c r="U36" s="668">
        <f t="shared" si="13"/>
        <v>100</v>
      </c>
      <c r="V36" s="667" t="s">
        <v>14</v>
      </c>
      <c r="W36" s="668">
        <f t="shared" si="14"/>
        <v>100</v>
      </c>
      <c r="X36" s="1265"/>
      <c r="Y36" s="3412"/>
      <c r="Z36" s="1264">
        <f t="shared" si="15"/>
        <v>111</v>
      </c>
      <c r="AA36" s="1264">
        <f t="shared" si="3"/>
        <v>1</v>
      </c>
      <c r="AB36" s="1264">
        <f t="shared" si="4"/>
        <v>1</v>
      </c>
      <c r="AC36" s="1264">
        <f t="shared" si="5"/>
        <v>1</v>
      </c>
    </row>
    <row r="37" spans="1:29" ht="15">
      <c r="A37" s="416" t="s">
        <v>1844</v>
      </c>
      <c r="B37" s="1821" t="s">
        <v>3345</v>
      </c>
      <c r="C37" s="1081" t="s">
        <v>0</v>
      </c>
      <c r="D37" s="418"/>
      <c r="E37" s="419"/>
      <c r="F37" s="420"/>
      <c r="G37" s="421"/>
      <c r="H37" s="422"/>
      <c r="I37" s="419"/>
      <c r="J37" s="422"/>
      <c r="K37" s="545"/>
      <c r="L37" s="2495"/>
      <c r="M37" s="2488"/>
      <c r="N37" s="2488"/>
      <c r="O37" s="2488"/>
      <c r="P37" s="3405" t="str">
        <f>A37</f>
        <v>成交单价</v>
      </c>
      <c r="Q37" s="3405"/>
      <c r="R37" s="3406">
        <f>E37</f>
        <v>0</v>
      </c>
      <c r="S37" s="3406"/>
      <c r="T37" s="3406">
        <f>G37</f>
        <v>0</v>
      </c>
      <c r="U37" s="3406"/>
      <c r="V37" s="3406">
        <f>I37</f>
        <v>0</v>
      </c>
      <c r="W37" s="3406"/>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05" t="str">
        <f>A38</f>
        <v>比较价值（元/平方米）</v>
      </c>
      <c r="Q38" s="3405"/>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02" t="str">
        <f>A39</f>
        <v>估价对象XX用房的比较价值（楼面单价，元/平方米）</v>
      </c>
      <c r="Q39" s="3403"/>
      <c r="R39" s="3463" t="e">
        <f>IF(F1="售价",ROUND(IF(D38="简单平均",AVERAGE(R38:W38),R38*F38+T38*H38+V38*J38),0),ROUND(IF(D38="简单平均",AVERAGE(R38:V38),R38*F38+T38*H38+V38*J38),1))</f>
        <v>#DIV/0!</v>
      </c>
      <c r="S39" s="3463"/>
      <c r="T39" s="3463"/>
      <c r="U39" s="3463"/>
      <c r="V39" s="3463"/>
      <c r="W39" s="3463"/>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20" t="s">
        <v>1770</v>
      </c>
      <c r="D4" s="3421"/>
      <c r="E4" s="3422" t="s">
        <v>1771</v>
      </c>
      <c r="F4" s="3423"/>
      <c r="G4" s="3420" t="s">
        <v>1772</v>
      </c>
      <c r="H4" s="3421"/>
      <c r="I4" s="3420" t="s">
        <v>1773</v>
      </c>
      <c r="J4" s="3421"/>
      <c r="K4" s="537" t="s">
        <v>1774</v>
      </c>
      <c r="L4" s="2487"/>
      <c r="M4" s="2488"/>
      <c r="N4" s="2488"/>
      <c r="O4" s="2488"/>
      <c r="P4" s="3424" t="s">
        <v>1775</v>
      </c>
      <c r="Q4" s="3425"/>
      <c r="R4" s="3430" t="s">
        <v>1771</v>
      </c>
      <c r="S4" s="3431"/>
      <c r="T4" s="3430" t="s">
        <v>1772</v>
      </c>
      <c r="U4" s="3431"/>
      <c r="V4" s="3406" t="s">
        <v>1773</v>
      </c>
      <c r="W4" s="3406"/>
      <c r="X4" s="1265"/>
      <c r="Y4" s="3430" t="s">
        <v>1775</v>
      </c>
      <c r="Z4" s="3431"/>
      <c r="AA4" s="3417" t="s">
        <v>1771</v>
      </c>
      <c r="AB4" s="3418" t="s">
        <v>1772</v>
      </c>
      <c r="AC4" s="3417" t="s">
        <v>1773</v>
      </c>
    </row>
    <row r="5" spans="1:29" ht="15">
      <c r="A5" s="348"/>
      <c r="B5" s="349"/>
      <c r="C5" s="3438" t="s">
        <v>1673</v>
      </c>
      <c r="D5" s="3439"/>
      <c r="E5" s="3445" t="s">
        <v>1674</v>
      </c>
      <c r="F5" s="3446"/>
      <c r="G5" s="3438" t="s">
        <v>1675</v>
      </c>
      <c r="H5" s="3439"/>
      <c r="I5" s="3438" t="s">
        <v>1676</v>
      </c>
      <c r="J5" s="3439"/>
      <c r="K5" s="537"/>
      <c r="L5" s="2487"/>
      <c r="M5" s="2488"/>
      <c r="N5" s="2488"/>
      <c r="O5" s="2488"/>
      <c r="P5" s="3426"/>
      <c r="Q5" s="3427"/>
      <c r="R5" s="3432"/>
      <c r="S5" s="3433"/>
      <c r="T5" s="3432"/>
      <c r="U5" s="3433"/>
      <c r="V5" s="3406"/>
      <c r="W5" s="3406"/>
      <c r="X5" s="1265"/>
      <c r="Y5" s="3432"/>
      <c r="Z5" s="3433"/>
      <c r="AA5" s="3418"/>
      <c r="AB5" s="3418"/>
      <c r="AC5" s="3418"/>
    </row>
    <row r="6" spans="1:29" ht="15.75" thickBot="1">
      <c r="A6" s="350"/>
      <c r="B6" s="351"/>
      <c r="C6" s="3436" t="s">
        <v>1677</v>
      </c>
      <c r="D6" s="3437"/>
      <c r="E6" s="3443" t="s">
        <v>1677</v>
      </c>
      <c r="F6" s="3444"/>
      <c r="G6" s="3436" t="s">
        <v>1677</v>
      </c>
      <c r="H6" s="3437"/>
      <c r="I6" s="3436" t="s">
        <v>1677</v>
      </c>
      <c r="J6" s="3437"/>
      <c r="K6" s="537" t="s">
        <v>1678</v>
      </c>
      <c r="L6" s="2487"/>
      <c r="M6" s="2488"/>
      <c r="N6" s="2488"/>
      <c r="O6" s="2488"/>
      <c r="P6" s="3428"/>
      <c r="Q6" s="3429"/>
      <c r="R6" s="3432"/>
      <c r="S6" s="3433"/>
      <c r="T6" s="3434"/>
      <c r="U6" s="3435"/>
      <c r="V6" s="3406"/>
      <c r="W6" s="3406"/>
      <c r="X6" s="1265"/>
      <c r="Y6" s="3434"/>
      <c r="Z6" s="3435"/>
      <c r="AA6" s="3419"/>
      <c r="AB6" s="3419"/>
      <c r="AC6" s="3419"/>
    </row>
    <row r="7" spans="1:29" s="102" customFormat="1" ht="15.75" thickBot="1">
      <c r="A7" s="352" t="s">
        <v>1679</v>
      </c>
      <c r="B7" s="353"/>
      <c r="C7" s="354">
        <f>'数据-取费表'!B2</f>
        <v>45845</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40" t="s">
        <v>1680</v>
      </c>
      <c r="Q7" s="3442"/>
      <c r="R7" s="664" t="s">
        <v>14</v>
      </c>
      <c r="S7" s="665">
        <f t="shared" ref="S7:S14" si="0">F7</f>
        <v>0</v>
      </c>
      <c r="T7" s="664" t="s">
        <v>14</v>
      </c>
      <c r="U7" s="665">
        <f t="shared" ref="U7:U14" si="1">H7</f>
        <v>0</v>
      </c>
      <c r="V7" s="664" t="s">
        <v>14</v>
      </c>
      <c r="W7" s="665">
        <f t="shared" ref="W7:W14" si="2">J7</f>
        <v>0</v>
      </c>
      <c r="X7" s="666"/>
      <c r="Y7" s="3440" t="s">
        <v>1680</v>
      </c>
      <c r="Z7" s="344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40" t="s">
        <v>1683</v>
      </c>
      <c r="Q8" s="3441"/>
      <c r="R8" s="664" t="s">
        <v>14</v>
      </c>
      <c r="S8" s="665">
        <f t="shared" si="0"/>
        <v>100</v>
      </c>
      <c r="T8" s="664" t="s">
        <v>14</v>
      </c>
      <c r="U8" s="665">
        <f t="shared" si="1"/>
        <v>100</v>
      </c>
      <c r="V8" s="664" t="s">
        <v>14</v>
      </c>
      <c r="W8" s="665">
        <f t="shared" si="2"/>
        <v>100</v>
      </c>
      <c r="X8" s="666"/>
      <c r="Y8" s="3440" t="s">
        <v>1683</v>
      </c>
      <c r="Z8" s="344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05" t="s">
        <v>1686</v>
      </c>
      <c r="Q9" s="530" t="str">
        <f t="shared" ref="Q9:Q14" si="6">B9</f>
        <v>用途</v>
      </c>
      <c r="R9" s="664" t="s">
        <v>14</v>
      </c>
      <c r="S9" s="665">
        <f t="shared" si="0"/>
        <v>100</v>
      </c>
      <c r="T9" s="664" t="s">
        <v>14</v>
      </c>
      <c r="U9" s="665">
        <f t="shared" si="1"/>
        <v>100</v>
      </c>
      <c r="V9" s="664" t="s">
        <v>14</v>
      </c>
      <c r="W9" s="665">
        <f t="shared" si="2"/>
        <v>100</v>
      </c>
      <c r="X9" s="666"/>
      <c r="Y9" s="3261"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05"/>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05"/>
      <c r="Q11" s="530">
        <f t="shared" si="6"/>
        <v>111</v>
      </c>
      <c r="R11" s="664" t="s">
        <v>14</v>
      </c>
      <c r="S11" s="665">
        <f t="shared" si="0"/>
        <v>100</v>
      </c>
      <c r="T11" s="664" t="s">
        <v>14</v>
      </c>
      <c r="U11" s="665">
        <f t="shared" si="1"/>
        <v>100</v>
      </c>
      <c r="V11" s="664" t="s">
        <v>14</v>
      </c>
      <c r="W11" s="665">
        <f t="shared" si="2"/>
        <v>100</v>
      </c>
      <c r="X11" s="666"/>
      <c r="Y11" s="326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05"/>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05"/>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07" t="s">
        <v>1691</v>
      </c>
      <c r="Q14" s="1263" t="str">
        <f t="shared" si="6"/>
        <v>交通便捷度</v>
      </c>
      <c r="R14" s="667" t="s">
        <v>14</v>
      </c>
      <c r="S14" s="668">
        <f t="shared" si="0"/>
        <v>100</v>
      </c>
      <c r="T14" s="667" t="s">
        <v>14</v>
      </c>
      <c r="U14" s="668">
        <f t="shared" si="1"/>
        <v>100</v>
      </c>
      <c r="V14" s="667" t="s">
        <v>14</v>
      </c>
      <c r="W14" s="668">
        <f t="shared" si="2"/>
        <v>100</v>
      </c>
      <c r="X14" s="1265"/>
      <c r="Y14" s="340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08"/>
      <c r="Q15" s="1263"/>
      <c r="R15" s="667"/>
      <c r="S15" s="668"/>
      <c r="T15" s="667"/>
      <c r="U15" s="668"/>
      <c r="V15" s="667"/>
      <c r="W15" s="668"/>
      <c r="X15" s="1265"/>
      <c r="Y15" s="3408"/>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08"/>
      <c r="Q16" s="1263" t="str">
        <f>B16</f>
        <v>公共配套设施</v>
      </c>
      <c r="R16" s="667" t="s">
        <v>14</v>
      </c>
      <c r="S16" s="668">
        <f>F16</f>
        <v>100</v>
      </c>
      <c r="T16" s="667" t="s">
        <v>14</v>
      </c>
      <c r="U16" s="668">
        <f>H16</f>
        <v>100</v>
      </c>
      <c r="V16" s="667" t="s">
        <v>14</v>
      </c>
      <c r="W16" s="668">
        <f>J16</f>
        <v>100</v>
      </c>
      <c r="X16" s="1265"/>
      <c r="Y16" s="340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08"/>
      <c r="Q17" s="1263"/>
      <c r="R17" s="667"/>
      <c r="S17" s="668"/>
      <c r="T17" s="667"/>
      <c r="U17" s="668"/>
      <c r="V17" s="667"/>
      <c r="W17" s="668"/>
      <c r="X17" s="1265"/>
      <c r="Y17" s="3408"/>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08"/>
      <c r="Q18" s="1263" t="str">
        <f>B18</f>
        <v>基础设施水平</v>
      </c>
      <c r="R18" s="667" t="s">
        <v>14</v>
      </c>
      <c r="S18" s="668">
        <f>F18</f>
        <v>100</v>
      </c>
      <c r="T18" s="667" t="s">
        <v>14</v>
      </c>
      <c r="U18" s="668">
        <f>H18</f>
        <v>100</v>
      </c>
      <c r="V18" s="667" t="s">
        <v>14</v>
      </c>
      <c r="W18" s="668">
        <f>J18</f>
        <v>100</v>
      </c>
      <c r="X18" s="1265"/>
      <c r="Y18" s="340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08"/>
      <c r="Q19" s="1263"/>
      <c r="R19" s="667"/>
      <c r="S19" s="668"/>
      <c r="T19" s="667"/>
      <c r="U19" s="668"/>
      <c r="V19" s="667"/>
      <c r="W19" s="668"/>
      <c r="X19" s="1265"/>
      <c r="Y19" s="3408"/>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08"/>
      <c r="Q20" s="1263" t="str">
        <f>B20</f>
        <v>自然及人文环境</v>
      </c>
      <c r="R20" s="667" t="s">
        <v>14</v>
      </c>
      <c r="S20" s="668">
        <f>F20</f>
        <v>100</v>
      </c>
      <c r="T20" s="667" t="s">
        <v>14</v>
      </c>
      <c r="U20" s="668">
        <f>H20</f>
        <v>100</v>
      </c>
      <c r="V20" s="667" t="s">
        <v>14</v>
      </c>
      <c r="W20" s="668">
        <f>J20</f>
        <v>100</v>
      </c>
      <c r="X20" s="1265"/>
      <c r="Y20" s="340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08"/>
      <c r="Q21" s="1263"/>
      <c r="R21" s="667"/>
      <c r="S21" s="668"/>
      <c r="T21" s="667"/>
      <c r="U21" s="668"/>
      <c r="V21" s="667"/>
      <c r="W21" s="668"/>
      <c r="X21" s="1265"/>
      <c r="Y21" s="340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08"/>
      <c r="Q22" s="1263" t="str">
        <f>B22</f>
        <v>楼层</v>
      </c>
      <c r="R22" s="667" t="s">
        <v>14</v>
      </c>
      <c r="S22" s="668">
        <f>F22</f>
        <v>100</v>
      </c>
      <c r="T22" s="667" t="s">
        <v>14</v>
      </c>
      <c r="U22" s="668">
        <f>H22</f>
        <v>100</v>
      </c>
      <c r="V22" s="667" t="s">
        <v>14</v>
      </c>
      <c r="W22" s="668">
        <f>J22</f>
        <v>100</v>
      </c>
      <c r="X22" s="1265"/>
      <c r="Y22" s="340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08"/>
      <c r="Q23" s="1263">
        <f>B23</f>
        <v>111</v>
      </c>
      <c r="R23" s="667" t="s">
        <v>14</v>
      </c>
      <c r="S23" s="668">
        <f>F23</f>
        <v>100</v>
      </c>
      <c r="T23" s="667" t="s">
        <v>14</v>
      </c>
      <c r="U23" s="668">
        <f>H23</f>
        <v>100</v>
      </c>
      <c r="V23" s="667" t="s">
        <v>14</v>
      </c>
      <c r="W23" s="668">
        <f>J23</f>
        <v>100</v>
      </c>
      <c r="X23" s="1265"/>
      <c r="Y23" s="340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08"/>
      <c r="Q24" s="1263">
        <f t="shared" ref="Q24:Q34" si="11">B24</f>
        <v>111</v>
      </c>
      <c r="R24" s="667" t="s">
        <v>14</v>
      </c>
      <c r="S24" s="668">
        <f>F24</f>
        <v>100</v>
      </c>
      <c r="T24" s="667" t="s">
        <v>14</v>
      </c>
      <c r="U24" s="668">
        <f>H24</f>
        <v>100</v>
      </c>
      <c r="V24" s="667" t="s">
        <v>14</v>
      </c>
      <c r="W24" s="668">
        <f>J24</f>
        <v>100</v>
      </c>
      <c r="X24" s="1265"/>
      <c r="Y24" s="3408"/>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08"/>
      <c r="Q25" s="530">
        <f t="shared" si="11"/>
        <v>111</v>
      </c>
      <c r="R25" s="664" t="s">
        <v>14</v>
      </c>
      <c r="S25" s="665">
        <f>F25</f>
        <v>100</v>
      </c>
      <c r="T25" s="664" t="s">
        <v>14</v>
      </c>
      <c r="U25" s="665">
        <f>H25</f>
        <v>100</v>
      </c>
      <c r="V25" s="664" t="s">
        <v>14</v>
      </c>
      <c r="W25" s="665">
        <f>J25</f>
        <v>100</v>
      </c>
      <c r="X25" s="666"/>
      <c r="Y25" s="3408"/>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6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12"/>
      <c r="Q27" s="531" t="str">
        <f t="shared" si="11"/>
        <v>成新率</v>
      </c>
      <c r="R27" s="669" t="s">
        <v>14</v>
      </c>
      <c r="S27" s="670" t="e">
        <f t="shared" si="12"/>
        <v>#N/A</v>
      </c>
      <c r="T27" s="669" t="s">
        <v>14</v>
      </c>
      <c r="U27" s="670" t="e">
        <f t="shared" si="13"/>
        <v>#N/A</v>
      </c>
      <c r="V27" s="669" t="s">
        <v>14</v>
      </c>
      <c r="W27" s="670" t="e">
        <f t="shared" si="14"/>
        <v>#N/A</v>
      </c>
      <c r="X27" s="671"/>
      <c r="Y27" s="341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12"/>
      <c r="Q28" s="1263" t="str">
        <f t="shared" si="11"/>
        <v>物业等级</v>
      </c>
      <c r="R28" s="667" t="s">
        <v>14</v>
      </c>
      <c r="S28" s="668">
        <f t="shared" si="12"/>
        <v>100</v>
      </c>
      <c r="T28" s="667" t="s">
        <v>14</v>
      </c>
      <c r="U28" s="668">
        <f t="shared" si="13"/>
        <v>100</v>
      </c>
      <c r="V28" s="667" t="s">
        <v>14</v>
      </c>
      <c r="W28" s="668">
        <f t="shared" si="14"/>
        <v>100</v>
      </c>
      <c r="X28" s="1265"/>
      <c r="Y28" s="341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12"/>
      <c r="Q29" s="1263" t="str">
        <f t="shared" si="11"/>
        <v>有无电梯</v>
      </c>
      <c r="R29" s="667" t="s">
        <v>14</v>
      </c>
      <c r="S29" s="668">
        <f t="shared" si="12"/>
        <v>100</v>
      </c>
      <c r="T29" s="667" t="s">
        <v>14</v>
      </c>
      <c r="U29" s="668">
        <f t="shared" si="13"/>
        <v>100</v>
      </c>
      <c r="V29" s="667" t="s">
        <v>14</v>
      </c>
      <c r="W29" s="668">
        <f t="shared" si="14"/>
        <v>100</v>
      </c>
      <c r="X29" s="1265"/>
      <c r="Y29" s="341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12"/>
      <c r="Q30" s="1263" t="str">
        <f t="shared" si="11"/>
        <v>建筑面积</v>
      </c>
      <c r="R30" s="667" t="s">
        <v>14</v>
      </c>
      <c r="S30" s="668" t="e">
        <f t="shared" si="12"/>
        <v>#N/A</v>
      </c>
      <c r="T30" s="667" t="s">
        <v>14</v>
      </c>
      <c r="U30" s="668" t="e">
        <f t="shared" si="13"/>
        <v>#N/A</v>
      </c>
      <c r="V30" s="667" t="s">
        <v>14</v>
      </c>
      <c r="W30" s="668" t="e">
        <f t="shared" si="14"/>
        <v>#N/A</v>
      </c>
      <c r="X30" s="1265"/>
      <c r="Y30" s="341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12"/>
      <c r="Q31" s="530" t="str">
        <f t="shared" si="11"/>
        <v>是否封闭</v>
      </c>
      <c r="R31" s="664" t="s">
        <v>14</v>
      </c>
      <c r="S31" s="665">
        <f t="shared" si="12"/>
        <v>100</v>
      </c>
      <c r="T31" s="664" t="s">
        <v>14</v>
      </c>
      <c r="U31" s="665">
        <f t="shared" si="13"/>
        <v>100</v>
      </c>
      <c r="V31" s="664" t="s">
        <v>14</v>
      </c>
      <c r="W31" s="665">
        <f t="shared" si="14"/>
        <v>100</v>
      </c>
      <c r="X31" s="666"/>
      <c r="Y31" s="341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12" t="s">
        <v>1696</v>
      </c>
      <c r="Q32" s="1263">
        <f t="shared" si="11"/>
        <v>111</v>
      </c>
      <c r="R32" s="667" t="s">
        <v>14</v>
      </c>
      <c r="S32" s="668">
        <f t="shared" si="12"/>
        <v>100</v>
      </c>
      <c r="T32" s="667" t="s">
        <v>14</v>
      </c>
      <c r="U32" s="668">
        <f t="shared" si="13"/>
        <v>100</v>
      </c>
      <c r="V32" s="667" t="s">
        <v>14</v>
      </c>
      <c r="W32" s="668">
        <f t="shared" si="14"/>
        <v>100</v>
      </c>
      <c r="X32" s="1265"/>
      <c r="Y32" s="341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12"/>
      <c r="Q33" s="1263">
        <f t="shared" si="11"/>
        <v>111</v>
      </c>
      <c r="R33" s="667" t="s">
        <v>14</v>
      </c>
      <c r="S33" s="668">
        <f t="shared" si="12"/>
        <v>100</v>
      </c>
      <c r="T33" s="667" t="s">
        <v>14</v>
      </c>
      <c r="U33" s="668">
        <f t="shared" si="13"/>
        <v>100</v>
      </c>
      <c r="V33" s="667" t="s">
        <v>14</v>
      </c>
      <c r="W33" s="668">
        <f t="shared" si="14"/>
        <v>100</v>
      </c>
      <c r="X33" s="1265"/>
      <c r="Y33" s="3412"/>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12"/>
      <c r="Q34" s="1263">
        <f t="shared" si="11"/>
        <v>111</v>
      </c>
      <c r="R34" s="667" t="s">
        <v>14</v>
      </c>
      <c r="S34" s="668">
        <f t="shared" si="12"/>
        <v>100</v>
      </c>
      <c r="T34" s="667" t="s">
        <v>14</v>
      </c>
      <c r="U34" s="668">
        <f t="shared" si="13"/>
        <v>100</v>
      </c>
      <c r="V34" s="667" t="s">
        <v>14</v>
      </c>
      <c r="W34" s="668">
        <f t="shared" si="14"/>
        <v>100</v>
      </c>
      <c r="X34" s="1265"/>
      <c r="Y34" s="3412"/>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05" t="str">
        <f>A35</f>
        <v>成交单价（元/平方米）</v>
      </c>
      <c r="Q35" s="3405"/>
      <c r="R35" s="3406">
        <f>E35</f>
        <v>0</v>
      </c>
      <c r="S35" s="3406"/>
      <c r="T35" s="3406">
        <f>G35</f>
        <v>0</v>
      </c>
      <c r="U35" s="3406"/>
      <c r="V35" s="3406">
        <f>I35</f>
        <v>0</v>
      </c>
      <c r="W35" s="3406"/>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05" t="str">
        <f>A36</f>
        <v>比较价值（元/平方米）</v>
      </c>
      <c r="Q36" s="3405"/>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02" t="str">
        <f>A37</f>
        <v>估价对象XX用房的比较价值（楼面单价，元/平方米）</v>
      </c>
      <c r="Q37" s="3403"/>
      <c r="R37" s="3463" t="e">
        <f>IF(F1="售价",ROUND(IF(D36="简单平均",AVERAGE(R36:W36),R36*F36+T36*H36+V36*J36),0),ROUND(IF(D36="简单平均",AVERAGE(R36:V36),R36*F36+T36*H36+V36*J36),1))</f>
        <v>#DIV/0!</v>
      </c>
      <c r="S37" s="3463"/>
      <c r="T37" s="3463"/>
      <c r="U37" s="3463"/>
      <c r="V37" s="3463"/>
      <c r="W37" s="3463"/>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20" t="s">
        <v>1770</v>
      </c>
      <c r="D4" s="3421"/>
      <c r="E4" s="3422" t="s">
        <v>1771</v>
      </c>
      <c r="F4" s="3423"/>
      <c r="G4" s="3420" t="s">
        <v>1772</v>
      </c>
      <c r="H4" s="3421"/>
      <c r="I4" s="3420" t="s">
        <v>1773</v>
      </c>
      <c r="J4" s="3421"/>
      <c r="K4" s="537" t="s">
        <v>1774</v>
      </c>
      <c r="L4" s="2487"/>
      <c r="M4" s="2488"/>
      <c r="N4" s="2488"/>
      <c r="O4" s="2488"/>
      <c r="P4" s="3424" t="s">
        <v>1775</v>
      </c>
      <c r="Q4" s="3425"/>
      <c r="R4" s="3430" t="s">
        <v>1771</v>
      </c>
      <c r="S4" s="3431"/>
      <c r="T4" s="3430" t="s">
        <v>1772</v>
      </c>
      <c r="U4" s="3431"/>
      <c r="V4" s="3406" t="s">
        <v>1773</v>
      </c>
      <c r="W4" s="3406"/>
      <c r="X4" s="1265"/>
      <c r="Y4" s="3430" t="s">
        <v>1775</v>
      </c>
      <c r="Z4" s="3431"/>
      <c r="AA4" s="3417" t="s">
        <v>1771</v>
      </c>
      <c r="AB4" s="3418" t="s">
        <v>1772</v>
      </c>
      <c r="AC4" s="3417" t="s">
        <v>1773</v>
      </c>
    </row>
    <row r="5" spans="1:29" ht="15">
      <c r="A5" s="348"/>
      <c r="B5" s="349"/>
      <c r="C5" s="3438" t="s">
        <v>1673</v>
      </c>
      <c r="D5" s="3439"/>
      <c r="E5" s="3445" t="s">
        <v>1674</v>
      </c>
      <c r="F5" s="3446"/>
      <c r="G5" s="3438" t="s">
        <v>1675</v>
      </c>
      <c r="H5" s="3439"/>
      <c r="I5" s="3438" t="s">
        <v>1676</v>
      </c>
      <c r="J5" s="3439"/>
      <c r="K5" s="537"/>
      <c r="L5" s="2487"/>
      <c r="M5" s="2488"/>
      <c r="N5" s="2488"/>
      <c r="O5" s="2488"/>
      <c r="P5" s="3426"/>
      <c r="Q5" s="3427"/>
      <c r="R5" s="3432"/>
      <c r="S5" s="3433"/>
      <c r="T5" s="3432"/>
      <c r="U5" s="3433"/>
      <c r="V5" s="3406"/>
      <c r="W5" s="3406"/>
      <c r="X5" s="1265"/>
      <c r="Y5" s="3432"/>
      <c r="Z5" s="3433"/>
      <c r="AA5" s="3418"/>
      <c r="AB5" s="3418"/>
      <c r="AC5" s="3418"/>
    </row>
    <row r="6" spans="1:29" ht="15.75" thickBot="1">
      <c r="A6" s="350"/>
      <c r="B6" s="351"/>
      <c r="C6" s="3436" t="s">
        <v>1677</v>
      </c>
      <c r="D6" s="3437"/>
      <c r="E6" s="3443" t="s">
        <v>1677</v>
      </c>
      <c r="F6" s="3444"/>
      <c r="G6" s="3436" t="s">
        <v>1677</v>
      </c>
      <c r="H6" s="3437"/>
      <c r="I6" s="3436" t="s">
        <v>1677</v>
      </c>
      <c r="J6" s="3437"/>
      <c r="K6" s="537" t="s">
        <v>1678</v>
      </c>
      <c r="L6" s="2487"/>
      <c r="M6" s="2488"/>
      <c r="N6" s="2488"/>
      <c r="O6" s="2488"/>
      <c r="P6" s="3428"/>
      <c r="Q6" s="3429"/>
      <c r="R6" s="3432"/>
      <c r="S6" s="3433"/>
      <c r="T6" s="3434"/>
      <c r="U6" s="3435"/>
      <c r="V6" s="3406"/>
      <c r="W6" s="3406"/>
      <c r="X6" s="1265"/>
      <c r="Y6" s="3434"/>
      <c r="Z6" s="3435"/>
      <c r="AA6" s="3419"/>
      <c r="AB6" s="3419"/>
      <c r="AC6" s="3419"/>
    </row>
    <row r="7" spans="1:29" s="102" customFormat="1" ht="15.75" thickBot="1">
      <c r="A7" s="352" t="s">
        <v>1679</v>
      </c>
      <c r="B7" s="353"/>
      <c r="C7" s="354">
        <f>'数据-取费表'!B2</f>
        <v>45845</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40" t="s">
        <v>1680</v>
      </c>
      <c r="Q7" s="3442"/>
      <c r="R7" s="664" t="s">
        <v>14</v>
      </c>
      <c r="S7" s="665">
        <f t="shared" ref="S7:S15" si="0">F7</f>
        <v>0</v>
      </c>
      <c r="T7" s="664" t="s">
        <v>14</v>
      </c>
      <c r="U7" s="665">
        <f t="shared" ref="U7:U15" si="1">H7</f>
        <v>0</v>
      </c>
      <c r="V7" s="664" t="s">
        <v>14</v>
      </c>
      <c r="W7" s="665">
        <f t="shared" ref="W7:W15" si="2">J7</f>
        <v>0</v>
      </c>
      <c r="X7" s="666"/>
      <c r="Y7" s="3440" t="s">
        <v>1680</v>
      </c>
      <c r="Z7" s="3441"/>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40" t="s">
        <v>1683</v>
      </c>
      <c r="Q8" s="3441"/>
      <c r="R8" s="664" t="s">
        <v>14</v>
      </c>
      <c r="S8" s="665">
        <f t="shared" si="0"/>
        <v>0</v>
      </c>
      <c r="T8" s="664" t="s">
        <v>14</v>
      </c>
      <c r="U8" s="665">
        <f t="shared" si="1"/>
        <v>0</v>
      </c>
      <c r="V8" s="664" t="s">
        <v>14</v>
      </c>
      <c r="W8" s="665">
        <f t="shared" si="2"/>
        <v>0</v>
      </c>
      <c r="X8" s="666"/>
      <c r="Y8" s="3440" t="s">
        <v>1683</v>
      </c>
      <c r="Z8" s="3441"/>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05"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110</v>
      </c>
      <c r="G10" s="402"/>
      <c r="H10" s="119">
        <f>ROUND(100/'数据-取费表'!G16,0)</f>
        <v>110</v>
      </c>
      <c r="I10" s="402"/>
      <c r="J10" s="119">
        <f>ROUND(100/'数据-取费表'!G16,0)</f>
        <v>110</v>
      </c>
      <c r="K10" s="592"/>
      <c r="L10" s="2490"/>
      <c r="M10" s="2491"/>
      <c r="N10" s="2491"/>
      <c r="O10" s="2542"/>
      <c r="P10" s="3405"/>
      <c r="Q10" s="530" t="str">
        <f t="shared" si="6"/>
        <v>土地使用年限（年）</v>
      </c>
      <c r="R10" s="664" t="s">
        <v>14</v>
      </c>
      <c r="S10" s="665">
        <f t="shared" si="0"/>
        <v>110</v>
      </c>
      <c r="T10" s="664" t="s">
        <v>14</v>
      </c>
      <c r="U10" s="665">
        <f t="shared" si="1"/>
        <v>110</v>
      </c>
      <c r="V10" s="664" t="s">
        <v>14</v>
      </c>
      <c r="W10" s="665">
        <f t="shared" si="2"/>
        <v>110</v>
      </c>
      <c r="X10" s="666"/>
      <c r="Y10" s="3261"/>
      <c r="Z10" s="50" t="str">
        <f t="shared" si="7"/>
        <v>土地使用年限（年）</v>
      </c>
      <c r="AA10" s="50">
        <f t="shared" si="3"/>
        <v>0.90909090909090906</v>
      </c>
      <c r="AB10" s="50">
        <f t="shared" si="4"/>
        <v>0.90909090909090906</v>
      </c>
      <c r="AC10" s="50">
        <f t="shared" si="5"/>
        <v>0.90909090909090906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05"/>
      <c r="Q11" s="530" t="str">
        <f t="shared" si="6"/>
        <v>容积率</v>
      </c>
      <c r="R11" s="664" t="s">
        <v>14</v>
      </c>
      <c r="S11" s="665" t="e">
        <f t="shared" si="0"/>
        <v>#N/A</v>
      </c>
      <c r="T11" s="664" t="s">
        <v>14</v>
      </c>
      <c r="U11" s="665" t="e">
        <f t="shared" si="1"/>
        <v>#N/A</v>
      </c>
      <c r="V11" s="664" t="s">
        <v>14</v>
      </c>
      <c r="W11" s="665" t="e">
        <f t="shared" si="2"/>
        <v>#N/A</v>
      </c>
      <c r="X11" s="666"/>
      <c r="Y11" s="326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05"/>
      <c r="Q12" s="530" t="str">
        <f t="shared" si="6"/>
        <v>配建</v>
      </c>
      <c r="R12" s="664" t="s">
        <v>14</v>
      </c>
      <c r="S12" s="665">
        <f t="shared" si="0"/>
        <v>100</v>
      </c>
      <c r="T12" s="664" t="s">
        <v>14</v>
      </c>
      <c r="U12" s="665">
        <f t="shared" si="1"/>
        <v>100</v>
      </c>
      <c r="V12" s="664" t="s">
        <v>14</v>
      </c>
      <c r="W12" s="665">
        <f t="shared" si="2"/>
        <v>100</v>
      </c>
      <c r="X12" s="666"/>
      <c r="Y12" s="326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05"/>
      <c r="Q13" s="530">
        <f t="shared" si="6"/>
        <v>111</v>
      </c>
      <c r="R13" s="664" t="s">
        <v>14</v>
      </c>
      <c r="S13" s="665">
        <f t="shared" si="0"/>
        <v>100</v>
      </c>
      <c r="T13" s="664" t="s">
        <v>14</v>
      </c>
      <c r="U13" s="665">
        <f t="shared" si="1"/>
        <v>100</v>
      </c>
      <c r="V13" s="664" t="s">
        <v>14</v>
      </c>
      <c r="W13" s="665">
        <f t="shared" si="2"/>
        <v>100</v>
      </c>
      <c r="X13" s="666"/>
      <c r="Y13" s="326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05"/>
      <c r="Q14" s="530">
        <f t="shared" si="6"/>
        <v>111</v>
      </c>
      <c r="R14" s="664" t="s">
        <v>14</v>
      </c>
      <c r="S14" s="665">
        <f t="shared" si="0"/>
        <v>100</v>
      </c>
      <c r="T14" s="664" t="s">
        <v>14</v>
      </c>
      <c r="U14" s="665">
        <f t="shared" si="1"/>
        <v>100</v>
      </c>
      <c r="V14" s="664" t="s">
        <v>14</v>
      </c>
      <c r="W14" s="665">
        <f t="shared" si="2"/>
        <v>100</v>
      </c>
      <c r="X14" s="666"/>
      <c r="Y14" s="3261"/>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07" t="s">
        <v>1691</v>
      </c>
      <c r="Q15" s="1263" t="str">
        <f t="shared" si="6"/>
        <v>居住社区成熟度</v>
      </c>
      <c r="R15" s="667" t="s">
        <v>14</v>
      </c>
      <c r="S15" s="668">
        <f t="shared" si="0"/>
        <v>100</v>
      </c>
      <c r="T15" s="667" t="s">
        <v>14</v>
      </c>
      <c r="U15" s="668">
        <f t="shared" si="1"/>
        <v>100</v>
      </c>
      <c r="V15" s="667" t="s">
        <v>14</v>
      </c>
      <c r="W15" s="668">
        <f t="shared" si="2"/>
        <v>100</v>
      </c>
      <c r="X15" s="1265"/>
      <c r="Y15" s="340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08"/>
      <c r="Q16" s="1263"/>
      <c r="R16" s="667"/>
      <c r="S16" s="668"/>
      <c r="T16" s="667"/>
      <c r="U16" s="668"/>
      <c r="V16" s="667"/>
      <c r="W16" s="668"/>
      <c r="X16" s="1265"/>
      <c r="Y16" s="3408"/>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08"/>
      <c r="Q17" s="1263" t="str">
        <f>B17</f>
        <v>商业繁华度</v>
      </c>
      <c r="R17" s="667" t="s">
        <v>14</v>
      </c>
      <c r="S17" s="668">
        <f>F17</f>
        <v>100</v>
      </c>
      <c r="T17" s="667" t="s">
        <v>14</v>
      </c>
      <c r="U17" s="668">
        <f>H17</f>
        <v>100</v>
      </c>
      <c r="V17" s="667" t="s">
        <v>14</v>
      </c>
      <c r="W17" s="668">
        <f>J17</f>
        <v>100</v>
      </c>
      <c r="X17" s="1265"/>
      <c r="Y17" s="340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08"/>
      <c r="Q18" s="1263"/>
      <c r="R18" s="667"/>
      <c r="S18" s="668"/>
      <c r="T18" s="667"/>
      <c r="U18" s="668"/>
      <c r="V18" s="667"/>
      <c r="W18" s="668"/>
      <c r="X18" s="1265"/>
      <c r="Y18" s="3408"/>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08"/>
      <c r="Q19" s="1263" t="str">
        <f>B19</f>
        <v>办公集聚程度</v>
      </c>
      <c r="R19" s="667" t="s">
        <v>14</v>
      </c>
      <c r="S19" s="668">
        <f>F19</f>
        <v>100</v>
      </c>
      <c r="T19" s="667" t="s">
        <v>14</v>
      </c>
      <c r="U19" s="668">
        <f>H19</f>
        <v>100</v>
      </c>
      <c r="V19" s="667" t="s">
        <v>14</v>
      </c>
      <c r="W19" s="668">
        <f>J19</f>
        <v>100</v>
      </c>
      <c r="X19" s="1265"/>
      <c r="Y19" s="340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08"/>
      <c r="Q20" s="1263"/>
      <c r="R20" s="667"/>
      <c r="S20" s="668"/>
      <c r="T20" s="667"/>
      <c r="U20" s="668"/>
      <c r="V20" s="667"/>
      <c r="W20" s="668"/>
      <c r="X20" s="1265"/>
      <c r="Y20" s="3408"/>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08"/>
      <c r="Q21" s="1263" t="str">
        <f>B21</f>
        <v>交通便捷度</v>
      </c>
      <c r="R21" s="667" t="s">
        <v>14</v>
      </c>
      <c r="S21" s="668">
        <f>F21</f>
        <v>100</v>
      </c>
      <c r="T21" s="667" t="s">
        <v>14</v>
      </c>
      <c r="U21" s="668">
        <f>H21</f>
        <v>100</v>
      </c>
      <c r="V21" s="667" t="s">
        <v>14</v>
      </c>
      <c r="W21" s="668">
        <f>J21</f>
        <v>100</v>
      </c>
      <c r="X21" s="1265"/>
      <c r="Y21" s="340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08"/>
      <c r="Q22" s="1263"/>
      <c r="R22" s="667"/>
      <c r="S22" s="668"/>
      <c r="T22" s="667"/>
      <c r="U22" s="668"/>
      <c r="V22" s="667"/>
      <c r="W22" s="668"/>
      <c r="X22" s="1265"/>
      <c r="Y22" s="3408"/>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08"/>
      <c r="Q23" s="1263" t="str">
        <f t="shared" ref="Q23:Q37" si="8">B23</f>
        <v>区域土地利用方向</v>
      </c>
      <c r="R23" s="667" t="s">
        <v>14</v>
      </c>
      <c r="S23" s="668">
        <f>F23</f>
        <v>100</v>
      </c>
      <c r="T23" s="667" t="s">
        <v>14</v>
      </c>
      <c r="U23" s="668">
        <f>H23</f>
        <v>100</v>
      </c>
      <c r="V23" s="667" t="s">
        <v>14</v>
      </c>
      <c r="W23" s="668">
        <f>J23</f>
        <v>100</v>
      </c>
      <c r="X23" s="1265"/>
      <c r="Y23" s="340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08"/>
      <c r="Q24" s="1263"/>
      <c r="R24" s="667"/>
      <c r="S24" s="668"/>
      <c r="T24" s="667"/>
      <c r="U24" s="668"/>
      <c r="V24" s="667"/>
      <c r="W24" s="668"/>
      <c r="X24" s="1265"/>
      <c r="Y24" s="3408"/>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08"/>
      <c r="Q25" s="1263" t="str">
        <f t="shared" si="8"/>
        <v>自然及人文环境状况</v>
      </c>
      <c r="R25" s="667" t="s">
        <v>14</v>
      </c>
      <c r="S25" s="668">
        <f>F25</f>
        <v>100</v>
      </c>
      <c r="T25" s="667" t="s">
        <v>14</v>
      </c>
      <c r="U25" s="668">
        <f>H25</f>
        <v>100</v>
      </c>
      <c r="V25" s="667" t="s">
        <v>14</v>
      </c>
      <c r="W25" s="668">
        <f>J25</f>
        <v>100</v>
      </c>
      <c r="X25" s="1265"/>
      <c r="Y25" s="340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08"/>
      <c r="Q26" s="1263"/>
      <c r="R26" s="667"/>
      <c r="S26" s="668"/>
      <c r="T26" s="667"/>
      <c r="U26" s="668"/>
      <c r="V26" s="667"/>
      <c r="W26" s="668"/>
      <c r="X26" s="1265"/>
      <c r="Y26" s="3408"/>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08"/>
      <c r="Q27" s="530" t="str">
        <f t="shared" si="8"/>
        <v>公共配套设施</v>
      </c>
      <c r="R27" s="664" t="s">
        <v>14</v>
      </c>
      <c r="S27" s="665">
        <f>F27</f>
        <v>100</v>
      </c>
      <c r="T27" s="664" t="s">
        <v>14</v>
      </c>
      <c r="U27" s="665">
        <f>H27</f>
        <v>100</v>
      </c>
      <c r="V27" s="664" t="s">
        <v>14</v>
      </c>
      <c r="W27" s="665">
        <f>J27</f>
        <v>100</v>
      </c>
      <c r="X27" s="666"/>
      <c r="Y27" s="340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08"/>
      <c r="Q28" s="530"/>
      <c r="R28" s="664"/>
      <c r="S28" s="665"/>
      <c r="T28" s="664"/>
      <c r="U28" s="665"/>
      <c r="V28" s="664"/>
      <c r="W28" s="665"/>
      <c r="X28" s="666"/>
      <c r="Y28" s="3408"/>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08"/>
      <c r="Q29" s="530" t="str">
        <f t="shared" ref="Q29" si="9">B29</f>
        <v>基础设施水平</v>
      </c>
      <c r="R29" s="664" t="s">
        <v>14</v>
      </c>
      <c r="S29" s="665">
        <f>F29</f>
        <v>100</v>
      </c>
      <c r="T29" s="664" t="s">
        <v>14</v>
      </c>
      <c r="U29" s="665">
        <f>H29</f>
        <v>100</v>
      </c>
      <c r="V29" s="664" t="s">
        <v>14</v>
      </c>
      <c r="W29" s="665">
        <f>J29</f>
        <v>100</v>
      </c>
      <c r="X29" s="666"/>
      <c r="Y29" s="340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08"/>
      <c r="Q30" s="530"/>
      <c r="R30" s="664"/>
      <c r="S30" s="665"/>
      <c r="T30" s="664"/>
      <c r="U30" s="665"/>
      <c r="V30" s="664"/>
      <c r="W30" s="665"/>
      <c r="X30" s="666"/>
      <c r="Y30" s="340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0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8"/>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08"/>
      <c r="Q32" s="1263" t="str">
        <f t="shared" si="8"/>
        <v>毗邻道路的类型与等级</v>
      </c>
      <c r="R32" s="667" t="s">
        <v>14</v>
      </c>
      <c r="S32" s="668">
        <f t="shared" si="10"/>
        <v>100</v>
      </c>
      <c r="T32" s="667" t="s">
        <v>14</v>
      </c>
      <c r="U32" s="668">
        <f t="shared" si="11"/>
        <v>100</v>
      </c>
      <c r="V32" s="667" t="s">
        <v>14</v>
      </c>
      <c r="W32" s="668">
        <f t="shared" si="12"/>
        <v>100</v>
      </c>
      <c r="X32" s="1265"/>
      <c r="Y32" s="340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08"/>
      <c r="Q33" s="1263"/>
      <c r="R33" s="667"/>
      <c r="S33" s="668"/>
      <c r="T33" s="667"/>
      <c r="U33" s="668"/>
      <c r="V33" s="667"/>
      <c r="W33" s="668"/>
      <c r="X33" s="1265"/>
      <c r="Y33" s="340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08"/>
      <c r="Q34" s="1263" t="str">
        <f t="shared" si="8"/>
        <v>土地级别</v>
      </c>
      <c r="R34" s="667" t="s">
        <v>14</v>
      </c>
      <c r="S34" s="668">
        <f t="shared" si="10"/>
        <v>100</v>
      </c>
      <c r="T34" s="667" t="s">
        <v>14</v>
      </c>
      <c r="U34" s="668">
        <f t="shared" si="11"/>
        <v>100</v>
      </c>
      <c r="V34" s="667" t="s">
        <v>14</v>
      </c>
      <c r="W34" s="668">
        <f t="shared" si="12"/>
        <v>100</v>
      </c>
      <c r="X34" s="1265"/>
      <c r="Y34" s="340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08"/>
      <c r="Q35" s="1263">
        <f t="shared" si="8"/>
        <v>111</v>
      </c>
      <c r="R35" s="667" t="s">
        <v>14</v>
      </c>
      <c r="S35" s="668">
        <f t="shared" si="10"/>
        <v>100</v>
      </c>
      <c r="T35" s="667" t="s">
        <v>14</v>
      </c>
      <c r="U35" s="668">
        <f t="shared" si="11"/>
        <v>100</v>
      </c>
      <c r="V35" s="667" t="s">
        <v>14</v>
      </c>
      <c r="W35" s="668">
        <f t="shared" si="12"/>
        <v>100</v>
      </c>
      <c r="X35" s="1265"/>
      <c r="Y35" s="340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62" t="s">
        <v>1696</v>
      </c>
      <c r="Q36" s="1263">
        <f t="shared" si="8"/>
        <v>111</v>
      </c>
      <c r="R36" s="667" t="s">
        <v>14</v>
      </c>
      <c r="S36" s="668">
        <f t="shared" si="10"/>
        <v>100</v>
      </c>
      <c r="T36" s="667" t="s">
        <v>14</v>
      </c>
      <c r="U36" s="668">
        <f t="shared" si="11"/>
        <v>100</v>
      </c>
      <c r="V36" s="667" t="s">
        <v>14</v>
      </c>
      <c r="W36" s="668">
        <f t="shared" si="12"/>
        <v>100</v>
      </c>
      <c r="X36" s="1265"/>
      <c r="Y36" s="3412"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12"/>
      <c r="Q37" s="1263">
        <f t="shared" si="8"/>
        <v>111</v>
      </c>
      <c r="R37" s="669" t="s">
        <v>14</v>
      </c>
      <c r="S37" s="670">
        <f t="shared" si="10"/>
        <v>100</v>
      </c>
      <c r="T37" s="669" t="s">
        <v>14</v>
      </c>
      <c r="U37" s="670">
        <f t="shared" si="11"/>
        <v>100</v>
      </c>
      <c r="V37" s="669" t="s">
        <v>14</v>
      </c>
      <c r="W37" s="670">
        <f t="shared" si="12"/>
        <v>100</v>
      </c>
      <c r="X37" s="671"/>
      <c r="Y37" s="3412"/>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12"/>
      <c r="Q38" s="1263" t="str">
        <f>B38</f>
        <v>宗地面积</v>
      </c>
      <c r="R38" s="667" t="s">
        <v>14</v>
      </c>
      <c r="S38" s="668" t="e">
        <f t="shared" si="10"/>
        <v>#N/A</v>
      </c>
      <c r="T38" s="667" t="s">
        <v>14</v>
      </c>
      <c r="U38" s="668" t="e">
        <f t="shared" si="11"/>
        <v>#N/A</v>
      </c>
      <c r="V38" s="667" t="s">
        <v>14</v>
      </c>
      <c r="W38" s="668" t="e">
        <f t="shared" si="12"/>
        <v>#N/A</v>
      </c>
      <c r="X38" s="1265"/>
      <c r="Y38" s="341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12"/>
      <c r="Q39" s="1263" t="str">
        <f t="shared" ref="Q39:Q45" si="14">B39</f>
        <v>宗地形状</v>
      </c>
      <c r="R39" s="667" t="s">
        <v>14</v>
      </c>
      <c r="S39" s="668">
        <f t="shared" si="10"/>
        <v>100</v>
      </c>
      <c r="T39" s="667" t="s">
        <v>14</v>
      </c>
      <c r="U39" s="668">
        <f t="shared" si="11"/>
        <v>100</v>
      </c>
      <c r="V39" s="667" t="s">
        <v>14</v>
      </c>
      <c r="W39" s="668">
        <f t="shared" si="12"/>
        <v>100</v>
      </c>
      <c r="X39" s="1265"/>
      <c r="Y39" s="341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12"/>
      <c r="Q40" s="1263" t="str">
        <f t="shared" si="14"/>
        <v>临街宽度及深度</v>
      </c>
      <c r="R40" s="667" t="s">
        <v>14</v>
      </c>
      <c r="S40" s="668">
        <f t="shared" si="10"/>
        <v>100</v>
      </c>
      <c r="T40" s="667" t="s">
        <v>14</v>
      </c>
      <c r="U40" s="668">
        <f t="shared" si="11"/>
        <v>100</v>
      </c>
      <c r="V40" s="667" t="s">
        <v>14</v>
      </c>
      <c r="W40" s="668">
        <f t="shared" si="12"/>
        <v>100</v>
      </c>
      <c r="X40" s="1265"/>
      <c r="Y40" s="341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12"/>
      <c r="Q41" s="1263" t="str">
        <f t="shared" si="14"/>
        <v>宗地开发程度</v>
      </c>
      <c r="R41" s="664" t="s">
        <v>14</v>
      </c>
      <c r="S41" s="665">
        <f t="shared" si="10"/>
        <v>100</v>
      </c>
      <c r="T41" s="664" t="s">
        <v>14</v>
      </c>
      <c r="U41" s="665">
        <f t="shared" si="11"/>
        <v>100</v>
      </c>
      <c r="V41" s="664" t="s">
        <v>14</v>
      </c>
      <c r="W41" s="665">
        <f t="shared" si="12"/>
        <v>100</v>
      </c>
      <c r="X41" s="666"/>
      <c r="Y41" s="341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12" t="s">
        <v>1696</v>
      </c>
      <c r="Q42" s="1263" t="str">
        <f t="shared" si="14"/>
        <v>工程地质条件</v>
      </c>
      <c r="R42" s="667" t="s">
        <v>14</v>
      </c>
      <c r="S42" s="668">
        <f t="shared" si="10"/>
        <v>100</v>
      </c>
      <c r="T42" s="667" t="s">
        <v>14</v>
      </c>
      <c r="U42" s="668">
        <f t="shared" si="11"/>
        <v>100</v>
      </c>
      <c r="V42" s="667" t="s">
        <v>14</v>
      </c>
      <c r="W42" s="668">
        <f t="shared" si="12"/>
        <v>100</v>
      </c>
      <c r="X42" s="1265"/>
      <c r="Y42" s="341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12"/>
      <c r="Q43" s="1263">
        <f t="shared" si="14"/>
        <v>111</v>
      </c>
      <c r="R43" s="667" t="s">
        <v>14</v>
      </c>
      <c r="S43" s="668">
        <f t="shared" si="10"/>
        <v>100</v>
      </c>
      <c r="T43" s="667" t="s">
        <v>14</v>
      </c>
      <c r="U43" s="668">
        <f t="shared" si="11"/>
        <v>100</v>
      </c>
      <c r="V43" s="667" t="s">
        <v>14</v>
      </c>
      <c r="W43" s="668">
        <f t="shared" si="12"/>
        <v>100</v>
      </c>
      <c r="X43" s="1265"/>
      <c r="Y43" s="341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12"/>
      <c r="Q44" s="1263">
        <f t="shared" si="14"/>
        <v>111</v>
      </c>
      <c r="R44" s="667" t="s">
        <v>14</v>
      </c>
      <c r="S44" s="668">
        <f t="shared" si="10"/>
        <v>100</v>
      </c>
      <c r="T44" s="667" t="s">
        <v>14</v>
      </c>
      <c r="U44" s="668">
        <f t="shared" si="11"/>
        <v>100</v>
      </c>
      <c r="V44" s="667" t="s">
        <v>14</v>
      </c>
      <c r="W44" s="668">
        <f t="shared" si="12"/>
        <v>100</v>
      </c>
      <c r="X44" s="1265"/>
      <c r="Y44" s="3412"/>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12"/>
      <c r="Q45" s="1263">
        <f t="shared" si="14"/>
        <v>111</v>
      </c>
      <c r="R45" s="669" t="s">
        <v>14</v>
      </c>
      <c r="S45" s="670">
        <f t="shared" si="10"/>
        <v>100</v>
      </c>
      <c r="T45" s="669" t="s">
        <v>14</v>
      </c>
      <c r="U45" s="670">
        <f t="shared" si="11"/>
        <v>100</v>
      </c>
      <c r="V45" s="669" t="s">
        <v>14</v>
      </c>
      <c r="W45" s="670">
        <f t="shared" si="12"/>
        <v>100</v>
      </c>
      <c r="X45" s="671"/>
      <c r="Y45" s="3412"/>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05" t="str">
        <f>A46</f>
        <v>成交单价</v>
      </c>
      <c r="Q46" s="3405"/>
      <c r="R46" s="3406">
        <f>E46</f>
        <v>0</v>
      </c>
      <c r="S46" s="3406"/>
      <c r="T46" s="3406">
        <f>G46</f>
        <v>0</v>
      </c>
      <c r="U46" s="3406"/>
      <c r="V46" s="3406">
        <f>I46</f>
        <v>0</v>
      </c>
      <c r="W46" s="3406"/>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05" t="str">
        <f>A47</f>
        <v>比较价值（元/平方米）</v>
      </c>
      <c r="Q47" s="3405"/>
      <c r="R47" s="3464" t="e">
        <f>ROUND(PRODUCT(R46,AA7:AA45),0)</f>
        <v>#DIV/0!</v>
      </c>
      <c r="S47" s="3464"/>
      <c r="T47" s="3464" t="e">
        <f>ROUND(PRODUCT(T46,AB7:AB45),0)</f>
        <v>#DIV/0!</v>
      </c>
      <c r="U47" s="3464"/>
      <c r="V47" s="3464" t="e">
        <f>ROUND(PRODUCT(V46,AC7:AC45),0)</f>
        <v>#DIV/0!</v>
      </c>
      <c r="W47" s="3464"/>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02" t="str">
        <f>A48</f>
        <v>估价对象XX用房的比较价值（楼面单价，元/平方米）</v>
      </c>
      <c r="Q48" s="3403"/>
      <c r="R48" s="3465" t="e">
        <f>ROUND(IF(D47="简单平均",AVERAGE(R47:W47),R47*F47+T47*H47+V47*J47),0)</f>
        <v>#DIV/0!</v>
      </c>
      <c r="S48" s="3465"/>
      <c r="T48" s="3465"/>
      <c r="U48" s="3465"/>
      <c r="V48" s="3465"/>
      <c r="W48" s="3465"/>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20" t="s">
        <v>1887</v>
      </c>
      <c r="H55" s="3466"/>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15367.93</v>
      </c>
      <c r="F56" s="833" t="e">
        <f t="shared" ref="F56:F64" si="15">ROUND(B56*E56/10000,0)</f>
        <v>#DIV/0!</v>
      </c>
      <c r="G56" s="3416"/>
      <c r="H56" s="3405"/>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15367.93</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20" t="s">
        <v>1770</v>
      </c>
      <c r="D4" s="3421"/>
      <c r="E4" s="3422" t="s">
        <v>1771</v>
      </c>
      <c r="F4" s="3423"/>
      <c r="G4" s="3420" t="s">
        <v>1772</v>
      </c>
      <c r="H4" s="3421"/>
      <c r="I4" s="3420" t="s">
        <v>1773</v>
      </c>
      <c r="J4" s="3421"/>
      <c r="K4" s="537" t="s">
        <v>1774</v>
      </c>
      <c r="L4" s="2487"/>
      <c r="M4" s="2488"/>
      <c r="N4" s="2488"/>
      <c r="O4" s="2488"/>
      <c r="P4" s="3424" t="s">
        <v>1775</v>
      </c>
      <c r="Q4" s="3425"/>
      <c r="R4" s="3430" t="s">
        <v>1771</v>
      </c>
      <c r="S4" s="3431"/>
      <c r="T4" s="3430" t="s">
        <v>1772</v>
      </c>
      <c r="U4" s="3431"/>
      <c r="V4" s="3406" t="s">
        <v>1773</v>
      </c>
      <c r="W4" s="3406"/>
      <c r="X4" s="1265"/>
      <c r="Y4" s="3430" t="s">
        <v>1775</v>
      </c>
      <c r="Z4" s="3431"/>
      <c r="AA4" s="3417" t="s">
        <v>1771</v>
      </c>
      <c r="AB4" s="3418" t="s">
        <v>1772</v>
      </c>
      <c r="AC4" s="3417" t="s">
        <v>1773</v>
      </c>
    </row>
    <row r="5" spans="1:29" ht="15">
      <c r="A5" s="348"/>
      <c r="B5" s="349"/>
      <c r="C5" s="3438" t="s">
        <v>1673</v>
      </c>
      <c r="D5" s="3439"/>
      <c r="E5" s="3445" t="s">
        <v>1674</v>
      </c>
      <c r="F5" s="3446"/>
      <c r="G5" s="3438" t="s">
        <v>1675</v>
      </c>
      <c r="H5" s="3439"/>
      <c r="I5" s="3438" t="s">
        <v>1676</v>
      </c>
      <c r="J5" s="3439"/>
      <c r="K5" s="537"/>
      <c r="L5" s="2487"/>
      <c r="M5" s="2488"/>
      <c r="N5" s="2488"/>
      <c r="O5" s="2488"/>
      <c r="P5" s="3426"/>
      <c r="Q5" s="3427"/>
      <c r="R5" s="3432"/>
      <c r="S5" s="3433"/>
      <c r="T5" s="3432"/>
      <c r="U5" s="3433"/>
      <c r="V5" s="3406"/>
      <c r="W5" s="3406"/>
      <c r="X5" s="1265"/>
      <c r="Y5" s="3432"/>
      <c r="Z5" s="3433"/>
      <c r="AA5" s="3418"/>
      <c r="AB5" s="3418"/>
      <c r="AC5" s="3418"/>
    </row>
    <row r="6" spans="1:29" ht="15.75" thickBot="1">
      <c r="A6" s="350"/>
      <c r="B6" s="351"/>
      <c r="C6" s="3467" t="s">
        <v>1919</v>
      </c>
      <c r="D6" s="3468"/>
      <c r="E6" s="3469" t="s">
        <v>1919</v>
      </c>
      <c r="F6" s="3470"/>
      <c r="G6" s="3467" t="s">
        <v>1919</v>
      </c>
      <c r="H6" s="3468"/>
      <c r="I6" s="3467" t="s">
        <v>1919</v>
      </c>
      <c r="J6" s="3468"/>
      <c r="K6" s="537" t="s">
        <v>1678</v>
      </c>
      <c r="L6" s="2487"/>
      <c r="M6" s="2488"/>
      <c r="N6" s="2488"/>
      <c r="O6" s="2488"/>
      <c r="P6" s="3428"/>
      <c r="Q6" s="3429"/>
      <c r="R6" s="3432"/>
      <c r="S6" s="3433"/>
      <c r="T6" s="3434"/>
      <c r="U6" s="3435"/>
      <c r="V6" s="3406"/>
      <c r="W6" s="3406"/>
      <c r="X6" s="1265"/>
      <c r="Y6" s="3434"/>
      <c r="Z6" s="3435"/>
      <c r="AA6" s="3419"/>
      <c r="AB6" s="3419"/>
      <c r="AC6" s="3419"/>
    </row>
    <row r="7" spans="1:29" s="102" customFormat="1" ht="15.75" thickBot="1">
      <c r="A7" s="352" t="s">
        <v>1679</v>
      </c>
      <c r="B7" s="353"/>
      <c r="C7" s="354">
        <f>'数据-取费表'!B2</f>
        <v>45845</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40" t="s">
        <v>1680</v>
      </c>
      <c r="Q7" s="3442"/>
      <c r="R7" s="664" t="s">
        <v>14</v>
      </c>
      <c r="S7" s="665">
        <f t="shared" ref="S7:S15" si="0">F7</f>
        <v>0</v>
      </c>
      <c r="T7" s="664" t="s">
        <v>14</v>
      </c>
      <c r="U7" s="665">
        <f t="shared" ref="U7:U15" si="1">H7</f>
        <v>0</v>
      </c>
      <c r="V7" s="664" t="s">
        <v>14</v>
      </c>
      <c r="W7" s="665">
        <f t="shared" ref="W7:W15" si="2">J7</f>
        <v>0</v>
      </c>
      <c r="X7" s="666"/>
      <c r="Y7" s="3440" t="s">
        <v>1680</v>
      </c>
      <c r="Z7" s="344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40" t="s">
        <v>1683</v>
      </c>
      <c r="Q8" s="3441"/>
      <c r="R8" s="664" t="s">
        <v>14</v>
      </c>
      <c r="S8" s="665">
        <f t="shared" si="0"/>
        <v>0</v>
      </c>
      <c r="T8" s="664" t="s">
        <v>14</v>
      </c>
      <c r="U8" s="665">
        <f t="shared" si="1"/>
        <v>0</v>
      </c>
      <c r="V8" s="664" t="s">
        <v>14</v>
      </c>
      <c r="W8" s="665">
        <f t="shared" si="2"/>
        <v>0</v>
      </c>
      <c r="X8" s="666"/>
      <c r="Y8" s="3440" t="s">
        <v>1683</v>
      </c>
      <c r="Z8" s="344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05"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110</v>
      </c>
      <c r="G10" s="371"/>
      <c r="H10" s="119">
        <f>ROUND(100/'数据-取费表'!G16,0)</f>
        <v>110</v>
      </c>
      <c r="I10" s="371"/>
      <c r="J10" s="119">
        <f>ROUND(100/'数据-取费表'!G16,0)</f>
        <v>110</v>
      </c>
      <c r="K10" s="592"/>
      <c r="L10" s="2490"/>
      <c r="M10" s="2491"/>
      <c r="N10" s="2491"/>
      <c r="O10" s="2542"/>
      <c r="P10" s="3405"/>
      <c r="Q10" s="530" t="str">
        <f t="shared" si="6"/>
        <v>土地使用年限（年）</v>
      </c>
      <c r="R10" s="664" t="s">
        <v>14</v>
      </c>
      <c r="S10" s="665">
        <f t="shared" si="0"/>
        <v>110</v>
      </c>
      <c r="T10" s="664" t="s">
        <v>14</v>
      </c>
      <c r="U10" s="665">
        <f t="shared" si="1"/>
        <v>110</v>
      </c>
      <c r="V10" s="664" t="s">
        <v>14</v>
      </c>
      <c r="W10" s="665">
        <f t="shared" si="2"/>
        <v>110</v>
      </c>
      <c r="X10" s="666"/>
      <c r="Y10" s="3261"/>
      <c r="Z10" s="50" t="str">
        <f t="shared" si="7"/>
        <v>土地使用年限（年）</v>
      </c>
      <c r="AA10" s="50">
        <f t="shared" si="3"/>
        <v>0.90909090909090906</v>
      </c>
      <c r="AB10" s="50">
        <f t="shared" si="4"/>
        <v>0.90909090909090906</v>
      </c>
      <c r="AC10" s="50">
        <f t="shared" si="5"/>
        <v>0.90909090909090906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05"/>
      <c r="Q11" s="530" t="str">
        <f t="shared" si="6"/>
        <v>容积率</v>
      </c>
      <c r="R11" s="664" t="s">
        <v>14</v>
      </c>
      <c r="S11" s="665" t="e">
        <f t="shared" si="0"/>
        <v>#N/A</v>
      </c>
      <c r="T11" s="664" t="s">
        <v>14</v>
      </c>
      <c r="U11" s="665" t="e">
        <f t="shared" si="1"/>
        <v>#N/A</v>
      </c>
      <c r="V11" s="664" t="s">
        <v>14</v>
      </c>
      <c r="W11" s="665" t="e">
        <f t="shared" si="2"/>
        <v>#N/A</v>
      </c>
      <c r="X11" s="666"/>
      <c r="Y11" s="326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05"/>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05"/>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05"/>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07" t="s">
        <v>1691</v>
      </c>
      <c r="Q15" s="1263" t="str">
        <f t="shared" si="6"/>
        <v>产业集聚程度</v>
      </c>
      <c r="R15" s="667" t="s">
        <v>14</v>
      </c>
      <c r="S15" s="668">
        <f t="shared" si="0"/>
        <v>100</v>
      </c>
      <c r="T15" s="667" t="s">
        <v>14</v>
      </c>
      <c r="U15" s="668">
        <f t="shared" si="1"/>
        <v>100</v>
      </c>
      <c r="V15" s="667" t="s">
        <v>14</v>
      </c>
      <c r="W15" s="668">
        <f t="shared" si="2"/>
        <v>100</v>
      </c>
      <c r="X15" s="1265"/>
      <c r="Y15" s="340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08"/>
      <c r="Q16" s="1263"/>
      <c r="R16" s="667"/>
      <c r="S16" s="668"/>
      <c r="T16" s="667"/>
      <c r="U16" s="668"/>
      <c r="V16" s="667"/>
      <c r="W16" s="668"/>
      <c r="X16" s="1265"/>
      <c r="Y16" s="3408"/>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08"/>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08"/>
      <c r="Q18" s="1263"/>
      <c r="R18" s="667"/>
      <c r="S18" s="668"/>
      <c r="T18" s="667"/>
      <c r="U18" s="668"/>
      <c r="V18" s="667"/>
      <c r="W18" s="668"/>
      <c r="X18" s="1265"/>
      <c r="Y18" s="3408"/>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08"/>
      <c r="Q19" s="1263" t="str">
        <f t="shared" ref="Q19:Q33" si="8">B19</f>
        <v>区域土地利用方向</v>
      </c>
      <c r="R19" s="667" t="s">
        <v>14</v>
      </c>
      <c r="S19" s="668">
        <f>F19</f>
        <v>100</v>
      </c>
      <c r="T19" s="667" t="s">
        <v>14</v>
      </c>
      <c r="U19" s="668">
        <f>H19</f>
        <v>100</v>
      </c>
      <c r="V19" s="667" t="s">
        <v>14</v>
      </c>
      <c r="W19" s="668">
        <f>J19</f>
        <v>100</v>
      </c>
      <c r="X19" s="1265"/>
      <c r="Y19" s="340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08"/>
      <c r="Q20" s="1263"/>
      <c r="R20" s="667"/>
      <c r="S20" s="668"/>
      <c r="T20" s="667"/>
      <c r="U20" s="668"/>
      <c r="V20" s="667"/>
      <c r="W20" s="668"/>
      <c r="X20" s="1265"/>
      <c r="Y20" s="3408"/>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08"/>
      <c r="Q21" s="1263" t="str">
        <f t="shared" si="8"/>
        <v>环境状况</v>
      </c>
      <c r="R21" s="667" t="s">
        <v>14</v>
      </c>
      <c r="S21" s="668">
        <f>F21</f>
        <v>100</v>
      </c>
      <c r="T21" s="667" t="s">
        <v>14</v>
      </c>
      <c r="U21" s="668">
        <f>H21</f>
        <v>100</v>
      </c>
      <c r="V21" s="667" t="s">
        <v>14</v>
      </c>
      <c r="W21" s="668">
        <f>J21</f>
        <v>100</v>
      </c>
      <c r="X21" s="1265"/>
      <c r="Y21" s="340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08"/>
      <c r="Q22" s="1263"/>
      <c r="R22" s="667"/>
      <c r="S22" s="668"/>
      <c r="T22" s="667"/>
      <c r="U22" s="668"/>
      <c r="V22" s="667"/>
      <c r="W22" s="668"/>
      <c r="X22" s="1265"/>
      <c r="Y22" s="3408"/>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08"/>
      <c r="Q23" s="530" t="str">
        <f t="shared" si="8"/>
        <v>公共配套设施</v>
      </c>
      <c r="R23" s="664" t="s">
        <v>14</v>
      </c>
      <c r="S23" s="665">
        <f>F23</f>
        <v>100</v>
      </c>
      <c r="T23" s="664" t="s">
        <v>14</v>
      </c>
      <c r="U23" s="665">
        <f>H23</f>
        <v>100</v>
      </c>
      <c r="V23" s="664" t="s">
        <v>14</v>
      </c>
      <c r="W23" s="665">
        <f>J23</f>
        <v>100</v>
      </c>
      <c r="X23" s="666"/>
      <c r="Y23" s="340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08"/>
      <c r="Q24" s="530"/>
      <c r="R24" s="664"/>
      <c r="S24" s="665"/>
      <c r="T24" s="664"/>
      <c r="U24" s="665"/>
      <c r="V24" s="664"/>
      <c r="W24" s="665"/>
      <c r="X24" s="666"/>
      <c r="Y24" s="3408"/>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08"/>
      <c r="Q25" s="530" t="str">
        <f t="shared" ref="Q25" si="9">B25</f>
        <v>基础设施水平</v>
      </c>
      <c r="R25" s="664" t="s">
        <v>14</v>
      </c>
      <c r="S25" s="665">
        <f>F25</f>
        <v>100</v>
      </c>
      <c r="T25" s="664" t="s">
        <v>14</v>
      </c>
      <c r="U25" s="665">
        <f>H25</f>
        <v>100</v>
      </c>
      <c r="V25" s="664" t="s">
        <v>14</v>
      </c>
      <c r="W25" s="665">
        <f>J25</f>
        <v>100</v>
      </c>
      <c r="X25" s="666"/>
      <c r="Y25" s="340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08"/>
      <c r="Q26" s="530"/>
      <c r="R26" s="664"/>
      <c r="S26" s="665"/>
      <c r="T26" s="664"/>
      <c r="U26" s="665"/>
      <c r="V26" s="664"/>
      <c r="W26" s="665"/>
      <c r="X26" s="666"/>
      <c r="Y26" s="340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0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8"/>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08"/>
      <c r="Q28" s="1263" t="str">
        <f t="shared" si="8"/>
        <v>毗邻道路的类型与等级</v>
      </c>
      <c r="R28" s="667" t="s">
        <v>14</v>
      </c>
      <c r="S28" s="668">
        <f t="shared" si="10"/>
        <v>100</v>
      </c>
      <c r="T28" s="667" t="s">
        <v>14</v>
      </c>
      <c r="U28" s="668">
        <f t="shared" si="11"/>
        <v>100</v>
      </c>
      <c r="V28" s="667" t="s">
        <v>14</v>
      </c>
      <c r="W28" s="668">
        <f t="shared" si="12"/>
        <v>100</v>
      </c>
      <c r="X28" s="1265"/>
      <c r="Y28" s="340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08"/>
      <c r="Q29" s="1263"/>
      <c r="R29" s="667"/>
      <c r="S29" s="668"/>
      <c r="T29" s="667"/>
      <c r="U29" s="668"/>
      <c r="V29" s="667"/>
      <c r="W29" s="668"/>
      <c r="X29" s="1265"/>
      <c r="Y29" s="340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08"/>
      <c r="Q30" s="1263" t="str">
        <f t="shared" si="8"/>
        <v>土地级别</v>
      </c>
      <c r="R30" s="667" t="s">
        <v>14</v>
      </c>
      <c r="S30" s="668">
        <f t="shared" si="10"/>
        <v>100</v>
      </c>
      <c r="T30" s="667" t="s">
        <v>14</v>
      </c>
      <c r="U30" s="668">
        <f t="shared" si="11"/>
        <v>100</v>
      </c>
      <c r="V30" s="667" t="s">
        <v>14</v>
      </c>
      <c r="W30" s="668">
        <f t="shared" si="12"/>
        <v>100</v>
      </c>
      <c r="X30" s="1265"/>
      <c r="Y30" s="340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08"/>
      <c r="Q31" s="1263">
        <f t="shared" si="8"/>
        <v>111</v>
      </c>
      <c r="R31" s="667" t="s">
        <v>14</v>
      </c>
      <c r="S31" s="668">
        <f t="shared" si="10"/>
        <v>100</v>
      </c>
      <c r="T31" s="667" t="s">
        <v>14</v>
      </c>
      <c r="U31" s="668">
        <f t="shared" si="11"/>
        <v>100</v>
      </c>
      <c r="V31" s="667" t="s">
        <v>14</v>
      </c>
      <c r="W31" s="668">
        <f t="shared" si="12"/>
        <v>100</v>
      </c>
      <c r="X31" s="1265"/>
      <c r="Y31" s="340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62" t="s">
        <v>1696</v>
      </c>
      <c r="Q32" s="1263">
        <f t="shared" si="8"/>
        <v>111</v>
      </c>
      <c r="R32" s="667" t="s">
        <v>14</v>
      </c>
      <c r="S32" s="668">
        <f t="shared" si="10"/>
        <v>100</v>
      </c>
      <c r="T32" s="667" t="s">
        <v>14</v>
      </c>
      <c r="U32" s="668">
        <f t="shared" si="11"/>
        <v>100</v>
      </c>
      <c r="V32" s="667" t="s">
        <v>14</v>
      </c>
      <c r="W32" s="668">
        <f t="shared" si="12"/>
        <v>100</v>
      </c>
      <c r="X32" s="1265"/>
      <c r="Y32" s="3412"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12"/>
      <c r="Q33" s="1263">
        <f t="shared" si="8"/>
        <v>111</v>
      </c>
      <c r="R33" s="669" t="s">
        <v>14</v>
      </c>
      <c r="S33" s="670">
        <f t="shared" si="10"/>
        <v>100</v>
      </c>
      <c r="T33" s="669" t="s">
        <v>14</v>
      </c>
      <c r="U33" s="670">
        <f t="shared" si="11"/>
        <v>100</v>
      </c>
      <c r="V33" s="669" t="s">
        <v>14</v>
      </c>
      <c r="W33" s="670">
        <f t="shared" si="12"/>
        <v>100</v>
      </c>
      <c r="X33" s="671"/>
      <c r="Y33" s="341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12"/>
      <c r="Q34" s="1263" t="str">
        <f>B34</f>
        <v>宗地面积</v>
      </c>
      <c r="R34" s="667" t="s">
        <v>14</v>
      </c>
      <c r="S34" s="668" t="e">
        <f t="shared" si="10"/>
        <v>#N/A</v>
      </c>
      <c r="T34" s="667" t="s">
        <v>14</v>
      </c>
      <c r="U34" s="668" t="e">
        <f t="shared" si="11"/>
        <v>#N/A</v>
      </c>
      <c r="V34" s="667" t="s">
        <v>14</v>
      </c>
      <c r="W34" s="668" t="e">
        <f t="shared" si="12"/>
        <v>#N/A</v>
      </c>
      <c r="X34" s="1265"/>
      <c r="Y34" s="341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12"/>
      <c r="Q35" s="1263" t="str">
        <f t="shared" ref="Q35:Q40" si="14">B35</f>
        <v>宗地形状</v>
      </c>
      <c r="R35" s="667" t="s">
        <v>14</v>
      </c>
      <c r="S35" s="668">
        <f t="shared" si="10"/>
        <v>100</v>
      </c>
      <c r="T35" s="667" t="s">
        <v>14</v>
      </c>
      <c r="U35" s="668">
        <f t="shared" si="11"/>
        <v>100</v>
      </c>
      <c r="V35" s="667" t="s">
        <v>14</v>
      </c>
      <c r="W35" s="668">
        <f t="shared" si="12"/>
        <v>100</v>
      </c>
      <c r="X35" s="1265"/>
      <c r="Y35" s="341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12"/>
      <c r="Q36" s="1263" t="str">
        <f t="shared" si="14"/>
        <v>宗地开发程度</v>
      </c>
      <c r="R36" s="664" t="s">
        <v>14</v>
      </c>
      <c r="S36" s="665">
        <f t="shared" si="10"/>
        <v>100</v>
      </c>
      <c r="T36" s="664" t="s">
        <v>14</v>
      </c>
      <c r="U36" s="665">
        <f t="shared" si="11"/>
        <v>100</v>
      </c>
      <c r="V36" s="664" t="s">
        <v>14</v>
      </c>
      <c r="W36" s="665">
        <f t="shared" si="12"/>
        <v>100</v>
      </c>
      <c r="X36" s="666"/>
      <c r="Y36" s="341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12" t="s">
        <v>1696</v>
      </c>
      <c r="Q37" s="1263" t="str">
        <f t="shared" si="14"/>
        <v>工程地质条件</v>
      </c>
      <c r="R37" s="667" t="s">
        <v>14</v>
      </c>
      <c r="S37" s="668">
        <f t="shared" si="10"/>
        <v>100</v>
      </c>
      <c r="T37" s="667" t="s">
        <v>14</v>
      </c>
      <c r="U37" s="668">
        <f t="shared" si="11"/>
        <v>100</v>
      </c>
      <c r="V37" s="667" t="s">
        <v>14</v>
      </c>
      <c r="W37" s="668">
        <f t="shared" si="12"/>
        <v>100</v>
      </c>
      <c r="X37" s="1265"/>
      <c r="Y37" s="341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12"/>
      <c r="Q38" s="1263">
        <f t="shared" si="14"/>
        <v>111</v>
      </c>
      <c r="R38" s="667" t="s">
        <v>14</v>
      </c>
      <c r="S38" s="668">
        <f t="shared" si="10"/>
        <v>100</v>
      </c>
      <c r="T38" s="667" t="s">
        <v>14</v>
      </c>
      <c r="U38" s="668">
        <f t="shared" si="11"/>
        <v>100</v>
      </c>
      <c r="V38" s="667" t="s">
        <v>14</v>
      </c>
      <c r="W38" s="668">
        <f t="shared" si="12"/>
        <v>100</v>
      </c>
      <c r="X38" s="1265"/>
      <c r="Y38" s="341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12"/>
      <c r="Q39" s="1263">
        <f t="shared" si="14"/>
        <v>111</v>
      </c>
      <c r="R39" s="667" t="s">
        <v>14</v>
      </c>
      <c r="S39" s="668">
        <f t="shared" si="10"/>
        <v>100</v>
      </c>
      <c r="T39" s="667" t="s">
        <v>14</v>
      </c>
      <c r="U39" s="668">
        <f t="shared" si="11"/>
        <v>100</v>
      </c>
      <c r="V39" s="667" t="s">
        <v>14</v>
      </c>
      <c r="W39" s="668">
        <f t="shared" si="12"/>
        <v>100</v>
      </c>
      <c r="X39" s="1265"/>
      <c r="Y39" s="3412"/>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12"/>
      <c r="Q40" s="1263">
        <f t="shared" si="14"/>
        <v>111</v>
      </c>
      <c r="R40" s="669" t="s">
        <v>14</v>
      </c>
      <c r="S40" s="670">
        <f t="shared" si="10"/>
        <v>100</v>
      </c>
      <c r="T40" s="669" t="s">
        <v>14</v>
      </c>
      <c r="U40" s="670">
        <f t="shared" si="11"/>
        <v>100</v>
      </c>
      <c r="V40" s="669" t="s">
        <v>14</v>
      </c>
      <c r="W40" s="670">
        <f t="shared" si="12"/>
        <v>100</v>
      </c>
      <c r="X40" s="671"/>
      <c r="Y40" s="3412"/>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05" t="str">
        <f>A41</f>
        <v>成交单价</v>
      </c>
      <c r="Q41" s="3405"/>
      <c r="R41" s="3406">
        <f>E41</f>
        <v>0</v>
      </c>
      <c r="S41" s="3406"/>
      <c r="T41" s="3406">
        <f>G41</f>
        <v>0</v>
      </c>
      <c r="U41" s="3406"/>
      <c r="V41" s="3406">
        <f>I41</f>
        <v>0</v>
      </c>
      <c r="W41" s="3406"/>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05" t="str">
        <f>A42</f>
        <v>比较价值（元/平方米）</v>
      </c>
      <c r="Q42" s="3405"/>
      <c r="R42" s="3464" t="e">
        <f>ROUND(PRODUCT(R41,AA7:AA40),0)</f>
        <v>#DIV/0!</v>
      </c>
      <c r="S42" s="3464"/>
      <c r="T42" s="3464" t="e">
        <f>ROUND(PRODUCT(T41,AB7:AB40),0)</f>
        <v>#DIV/0!</v>
      </c>
      <c r="U42" s="3464"/>
      <c r="V42" s="3464" t="e">
        <f>ROUND(PRODUCT(V41,AC7:AC40),0)</f>
        <v>#DIV/0!</v>
      </c>
      <c r="W42" s="3464"/>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02" t="str">
        <f>A43</f>
        <v>估价对象XX用房的比较价值（楼面单价，元/平方米）</v>
      </c>
      <c r="Q43" s="3403"/>
      <c r="R43" s="3465" t="e">
        <f>ROUND(IF(D42="简单平均",AVERAGE(R42:W42),R42*F42+T42*H42+V42*J42),0)</f>
        <v>#DIV/0!</v>
      </c>
      <c r="S43" s="3465"/>
      <c r="T43" s="3465"/>
      <c r="U43" s="3465"/>
      <c r="V43" s="3465"/>
      <c r="W43" s="3465"/>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20" t="s">
        <v>1887</v>
      </c>
      <c r="H50" s="3466"/>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15367.93</v>
      </c>
      <c r="F51" s="611" t="e">
        <f t="shared" ref="F51:F60" si="15">ROUND(B51*E51/10000,0)</f>
        <v>#DIV/0!</v>
      </c>
      <c r="G51" s="3416"/>
      <c r="H51" s="3405"/>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15133.56</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4" t="s">
        <v>2084</v>
      </c>
      <c r="D1" s="3475"/>
      <c r="E1" s="3475"/>
      <c r="F1" s="3475"/>
      <c r="G1" s="3475"/>
      <c r="H1" s="3475"/>
      <c r="I1" s="3475"/>
      <c r="J1" s="3475"/>
      <c r="K1" s="3475"/>
      <c r="L1" s="3475"/>
      <c r="M1" s="3475"/>
      <c r="N1" s="3475"/>
      <c r="O1" s="3475"/>
      <c r="P1" s="3475"/>
      <c r="Q1" s="3475"/>
      <c r="R1" s="3475"/>
      <c r="S1" s="347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1" t="s">
        <v>27</v>
      </c>
      <c r="D22" s="3472"/>
      <c r="E22" s="3472"/>
      <c r="F22" s="3472"/>
      <c r="G22" s="3472"/>
      <c r="H22" s="3472"/>
      <c r="I22" s="3472"/>
      <c r="J22" s="3472"/>
      <c r="K22" s="3472"/>
      <c r="L22" s="3472"/>
      <c r="M22" s="3472"/>
      <c r="N22" s="3472"/>
      <c r="O22" s="3472"/>
      <c r="P22" s="3472"/>
      <c r="Q22" s="347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2846</v>
      </c>
      <c r="C2" s="1984" t="s">
        <v>2074</v>
      </c>
      <c r="D2" s="1984" t="s">
        <v>2075</v>
      </c>
      <c r="E2" s="2398">
        <f ca="1">SUMIF(E6:E13,"&lt;&gt;#ref!",E6:E13)</f>
        <v>15367.93</v>
      </c>
      <c r="F2" s="2545"/>
      <c r="G2" s="2545"/>
      <c r="H2" s="2545"/>
      <c r="I2" s="2545"/>
      <c r="J2" s="2545"/>
      <c r="K2" s="2545"/>
      <c r="L2" s="2545"/>
      <c r="M2" s="2545"/>
      <c r="N2" s="2545"/>
      <c r="O2" s="2545"/>
      <c r="P2" s="2545"/>
    </row>
    <row r="3" spans="1:16" ht="15.75">
      <c r="A3" s="1984" t="s">
        <v>2076</v>
      </c>
      <c r="B3" s="2388">
        <f ca="1">ROUND(B2*10000/E2,0)</f>
        <v>1852</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2846</v>
      </c>
      <c r="C6" s="1984" t="s">
        <v>2074</v>
      </c>
      <c r="D6" s="2545"/>
      <c r="E6" s="2398">
        <f ca="1">SUMIF(INDIRECT("'"&amp;A6&amp;"'"&amp;"!C:C"),"建筑面积",INDIRECT("'"&amp;A6&amp;"'"&amp;"!D:D"))</f>
        <v>15367.93</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88" t="s">
        <v>2598</v>
      </c>
      <c r="B20" s="3481" t="s">
        <v>2619</v>
      </c>
      <c r="C20" s="3169" t="s">
        <v>2430</v>
      </c>
      <c r="D20" s="3169"/>
      <c r="E20" s="2845">
        <v>1</v>
      </c>
      <c r="F20" s="2846" t="s">
        <v>2431</v>
      </c>
      <c r="G20" s="2846"/>
    </row>
    <row r="21" spans="1:13" ht="19.5" customHeight="1">
      <c r="A21" s="3489"/>
      <c r="B21" s="3477"/>
      <c r="C21" s="2858" t="s">
        <v>2432</v>
      </c>
      <c r="D21" s="2858"/>
      <c r="E21" s="2849">
        <v>1</v>
      </c>
      <c r="F21" s="2846" t="s">
        <v>2433</v>
      </c>
      <c r="G21" s="2846"/>
    </row>
    <row r="22" spans="1:13" ht="19.5" customHeight="1">
      <c r="A22" s="3489"/>
      <c r="B22" s="3477"/>
      <c r="C22" s="2858" t="s">
        <v>2434</v>
      </c>
      <c r="D22" s="2858"/>
      <c r="E22" s="2849">
        <v>0.9</v>
      </c>
      <c r="F22" s="2846" t="s">
        <v>2435</v>
      </c>
      <c r="G22" s="2846"/>
    </row>
    <row r="23" spans="1:13" ht="19.5" customHeight="1">
      <c r="A23" s="3489"/>
      <c r="B23" s="3477"/>
      <c r="C23" s="2858" t="s">
        <v>2436</v>
      </c>
      <c r="D23" s="2858"/>
      <c r="E23" s="2849">
        <v>0.9</v>
      </c>
      <c r="F23" s="2846" t="s">
        <v>2437</v>
      </c>
      <c r="G23" s="2846"/>
    </row>
    <row r="24" spans="1:13" ht="19.5" customHeight="1">
      <c r="A24" s="3489"/>
      <c r="B24" s="3477"/>
      <c r="C24" s="2858" t="s">
        <v>2438</v>
      </c>
      <c r="D24" s="2858"/>
      <c r="E24" s="2849">
        <v>0.8</v>
      </c>
      <c r="F24" s="2846" t="s">
        <v>2439</v>
      </c>
      <c r="G24" s="2846"/>
    </row>
    <row r="25" spans="1:13" ht="19.5" customHeight="1">
      <c r="A25" s="3489"/>
      <c r="B25" s="3477"/>
      <c r="C25" s="2858" t="s">
        <v>2440</v>
      </c>
      <c r="D25" s="2858"/>
      <c r="E25" s="2849">
        <v>0.8</v>
      </c>
      <c r="F25" s="2846"/>
      <c r="G25" s="2846"/>
    </row>
    <row r="26" spans="1:13" ht="19.5" customHeight="1">
      <c r="A26" s="3489"/>
      <c r="B26" s="3477"/>
      <c r="C26" s="2858" t="s">
        <v>3403</v>
      </c>
      <c r="D26" s="2858"/>
      <c r="E26" s="2849">
        <v>0.43</v>
      </c>
      <c r="F26" s="2846"/>
      <c r="G26" s="2846"/>
    </row>
    <row r="27" spans="1:13" ht="19.5" customHeight="1" thickBot="1">
      <c r="A27" s="3490"/>
      <c r="B27" s="3482"/>
      <c r="C27" s="3165" t="s">
        <v>3404</v>
      </c>
      <c r="D27" s="3165"/>
      <c r="E27" s="2852">
        <f>E26*0.9</f>
        <v>0.38700000000000001</v>
      </c>
      <c r="F27" s="2846" t="s">
        <v>2441</v>
      </c>
      <c r="G27" s="2846"/>
    </row>
    <row r="28" spans="1:13" ht="19.5" customHeight="1" thickBot="1">
      <c r="A28" s="3164" t="s">
        <v>2620</v>
      </c>
      <c r="B28" s="3163" t="s">
        <v>2619</v>
      </c>
      <c r="C28" s="3166" t="s">
        <v>2621</v>
      </c>
      <c r="D28" s="3167"/>
      <c r="E28" s="3168">
        <v>1</v>
      </c>
      <c r="F28" s="2846" t="s">
        <v>2442</v>
      </c>
      <c r="G28" s="2846"/>
    </row>
    <row r="29" spans="1:13" ht="19.5" customHeight="1">
      <c r="A29" s="3483" t="s">
        <v>2622</v>
      </c>
      <c r="B29" s="3486" t="s">
        <v>2603</v>
      </c>
      <c r="C29" s="2843" t="s">
        <v>2443</v>
      </c>
      <c r="D29" s="2844"/>
      <c r="E29" s="2845">
        <v>1</v>
      </c>
      <c r="F29" s="2846" t="s">
        <v>2444</v>
      </c>
      <c r="G29" s="2846"/>
    </row>
    <row r="30" spans="1:13" ht="19.5" customHeight="1">
      <c r="A30" s="3484"/>
      <c r="B30" s="3480"/>
      <c r="C30" s="2847" t="s">
        <v>2445</v>
      </c>
      <c r="D30" s="2848"/>
      <c r="E30" s="2849">
        <v>1</v>
      </c>
      <c r="F30" s="2846" t="s">
        <v>2446</v>
      </c>
      <c r="G30" s="2846"/>
    </row>
    <row r="31" spans="1:13" ht="19.5" customHeight="1">
      <c r="A31" s="3484"/>
      <c r="B31" s="3480"/>
      <c r="C31" s="2847" t="s">
        <v>2447</v>
      </c>
      <c r="D31" s="2848"/>
      <c r="E31" s="2849">
        <v>0.8</v>
      </c>
      <c r="F31" s="2846" t="s">
        <v>2448</v>
      </c>
      <c r="G31" s="2846"/>
    </row>
    <row r="32" spans="1:13" ht="19.5" customHeight="1">
      <c r="A32" s="3484"/>
      <c r="B32" s="3480"/>
      <c r="C32" s="2847" t="s">
        <v>2449</v>
      </c>
      <c r="D32" s="2848"/>
      <c r="E32" s="2849">
        <v>0.8</v>
      </c>
      <c r="F32" s="2846" t="s">
        <v>2450</v>
      </c>
      <c r="G32" s="2846"/>
    </row>
    <row r="33" spans="1:7" ht="19.5" customHeight="1">
      <c r="A33" s="3484"/>
      <c r="B33" s="3480"/>
      <c r="C33" s="2847" t="s">
        <v>2451</v>
      </c>
      <c r="D33" s="2848"/>
      <c r="E33" s="2849">
        <v>0.8</v>
      </c>
      <c r="F33" s="2846" t="s">
        <v>2452</v>
      </c>
      <c r="G33" s="2846"/>
    </row>
    <row r="34" spans="1:7" ht="19.5" customHeight="1">
      <c r="A34" s="3484"/>
      <c r="B34" s="3480"/>
      <c r="C34" s="2847" t="s">
        <v>2453</v>
      </c>
      <c r="D34" s="2848"/>
      <c r="E34" s="2849">
        <v>0.7</v>
      </c>
      <c r="F34" s="2846" t="s">
        <v>2454</v>
      </c>
      <c r="G34" s="2846"/>
    </row>
    <row r="35" spans="1:7" ht="19.5" customHeight="1">
      <c r="A35" s="3484"/>
      <c r="B35" s="3480"/>
      <c r="C35" s="2847" t="s">
        <v>2455</v>
      </c>
      <c r="D35" s="2848"/>
      <c r="E35" s="2849">
        <v>0.8</v>
      </c>
      <c r="F35" s="2846" t="s">
        <v>2456</v>
      </c>
      <c r="G35" s="2846"/>
    </row>
    <row r="36" spans="1:7" ht="19.5" customHeight="1">
      <c r="A36" s="3484"/>
      <c r="B36" s="3480"/>
      <c r="C36" s="2847" t="s">
        <v>2457</v>
      </c>
      <c r="D36" s="2848"/>
      <c r="E36" s="2849">
        <v>0.6</v>
      </c>
      <c r="F36" s="2846" t="s">
        <v>2458</v>
      </c>
      <c r="G36" s="2846"/>
    </row>
    <row r="37" spans="1:7" ht="19.5" customHeight="1">
      <c r="A37" s="3484"/>
      <c r="B37" s="3480"/>
      <c r="C37" s="2847" t="s">
        <v>2459</v>
      </c>
      <c r="D37" s="2848"/>
      <c r="E37" s="2849">
        <v>0.2</v>
      </c>
      <c r="F37" s="2846" t="s">
        <v>2460</v>
      </c>
      <c r="G37" s="2846"/>
    </row>
    <row r="38" spans="1:7" ht="19.5" customHeight="1">
      <c r="A38" s="3484"/>
      <c r="B38" s="3480"/>
      <c r="C38" s="2847" t="s">
        <v>2461</v>
      </c>
      <c r="D38" s="2848"/>
      <c r="E38" s="2849">
        <v>0.2</v>
      </c>
      <c r="F38" s="2846" t="s">
        <v>2462</v>
      </c>
      <c r="G38" s="2846"/>
    </row>
    <row r="39" spans="1:7" ht="19.5" customHeight="1">
      <c r="A39" s="3484"/>
      <c r="B39" s="3478" t="s">
        <v>2623</v>
      </c>
      <c r="C39" s="2847" t="s">
        <v>2463</v>
      </c>
      <c r="D39" s="2848"/>
      <c r="E39" s="2849">
        <v>0.6</v>
      </c>
      <c r="F39" s="2846" t="s">
        <v>2464</v>
      </c>
      <c r="G39" s="2846"/>
    </row>
    <row r="40" spans="1:7" ht="19.5" customHeight="1">
      <c r="A40" s="3484"/>
      <c r="B40" s="3480"/>
      <c r="C40" s="2847" t="s">
        <v>2465</v>
      </c>
      <c r="D40" s="2848"/>
      <c r="E40" s="2849">
        <v>0.6</v>
      </c>
      <c r="F40" s="2846" t="s">
        <v>2466</v>
      </c>
      <c r="G40" s="2846"/>
    </row>
    <row r="41" spans="1:7" ht="19.5" customHeight="1" thickBot="1">
      <c r="A41" s="3485"/>
      <c r="B41" s="3487"/>
      <c r="C41" s="2850" t="s">
        <v>2467</v>
      </c>
      <c r="D41" s="2851"/>
      <c r="E41" s="2852">
        <v>0.6</v>
      </c>
      <c r="F41" s="2846" t="s">
        <v>2468</v>
      </c>
      <c r="G41" s="2846"/>
    </row>
    <row r="42" spans="1:7" ht="19.5" customHeight="1" thickBot="1">
      <c r="A42" s="2853" t="s">
        <v>2600</v>
      </c>
      <c r="B42" s="2854" t="s">
        <v>2600</v>
      </c>
      <c r="C42" s="2855" t="s">
        <v>2624</v>
      </c>
      <c r="D42" s="2856"/>
      <c r="E42" s="2857">
        <v>1</v>
      </c>
      <c r="F42" s="2846" t="s">
        <v>2469</v>
      </c>
      <c r="G42" s="2846"/>
    </row>
    <row r="43" spans="1:7" ht="19.5" customHeight="1">
      <c r="A43" s="3488" t="s">
        <v>2601</v>
      </c>
      <c r="B43" s="3486" t="s">
        <v>2625</v>
      </c>
      <c r="C43" s="2843" t="s">
        <v>2470</v>
      </c>
      <c r="D43" s="2844"/>
      <c r="E43" s="2845">
        <v>1</v>
      </c>
      <c r="F43" s="2846" t="s">
        <v>2471</v>
      </c>
      <c r="G43" s="2846"/>
    </row>
    <row r="44" spans="1:7" ht="19.5" customHeight="1">
      <c r="A44" s="3489"/>
      <c r="B44" s="3480"/>
      <c r="C44" s="2847" t="s">
        <v>2472</v>
      </c>
      <c r="D44" s="2848"/>
      <c r="E44" s="2849">
        <v>1</v>
      </c>
      <c r="F44" s="2846" t="s">
        <v>2473</v>
      </c>
      <c r="G44" s="2846"/>
    </row>
    <row r="45" spans="1:7" ht="19.5" customHeight="1">
      <c r="A45" s="3489"/>
      <c r="B45" s="3479"/>
      <c r="C45" s="2847" t="s">
        <v>2474</v>
      </c>
      <c r="D45" s="2848"/>
      <c r="E45" s="2849">
        <v>1.5</v>
      </c>
      <c r="F45" s="2846" t="s">
        <v>2475</v>
      </c>
      <c r="G45" s="2846"/>
    </row>
    <row r="46" spans="1:7" ht="19.5" customHeight="1">
      <c r="A46" s="3489"/>
      <c r="B46" s="2858" t="s">
        <v>2626</v>
      </c>
      <c r="C46" s="2847" t="s">
        <v>2627</v>
      </c>
      <c r="D46" s="2848"/>
      <c r="E46" s="2849">
        <v>2</v>
      </c>
      <c r="F46" s="2846" t="s">
        <v>2476</v>
      </c>
      <c r="G46" s="2846"/>
    </row>
    <row r="47" spans="1:7" ht="19.5" customHeight="1">
      <c r="A47" s="3489"/>
      <c r="B47" s="3478" t="s">
        <v>2628</v>
      </c>
      <c r="C47" s="2847" t="s">
        <v>2477</v>
      </c>
      <c r="D47" s="2848"/>
      <c r="E47" s="2849">
        <v>1</v>
      </c>
      <c r="F47" s="2846" t="s">
        <v>2478</v>
      </c>
      <c r="G47" s="2846"/>
    </row>
    <row r="48" spans="1:7" ht="19.5" customHeight="1">
      <c r="A48" s="3489"/>
      <c r="B48" s="3480"/>
      <c r="C48" s="2847" t="s">
        <v>2479</v>
      </c>
      <c r="D48" s="2848"/>
      <c r="E48" s="2849">
        <v>1</v>
      </c>
      <c r="F48" s="2846" t="s">
        <v>2480</v>
      </c>
      <c r="G48" s="2846"/>
    </row>
    <row r="49" spans="1:7" ht="19.5" customHeight="1">
      <c r="A49" s="3489"/>
      <c r="B49" s="3480"/>
      <c r="C49" s="2847" t="s">
        <v>2481</v>
      </c>
      <c r="D49" s="2848"/>
      <c r="E49" s="2849">
        <v>1</v>
      </c>
      <c r="F49" s="2846" t="s">
        <v>2482</v>
      </c>
      <c r="G49" s="2846"/>
    </row>
    <row r="50" spans="1:7" ht="19.5" customHeight="1">
      <c r="A50" s="3489"/>
      <c r="B50" s="3480"/>
      <c r="C50" s="2847" t="s">
        <v>2483</v>
      </c>
      <c r="D50" s="2848"/>
      <c r="E50" s="2849">
        <v>1</v>
      </c>
      <c r="F50" s="2846" t="s">
        <v>2484</v>
      </c>
      <c r="G50" s="2846"/>
    </row>
    <row r="51" spans="1:7" ht="19.5" customHeight="1">
      <c r="A51" s="3489"/>
      <c r="B51" s="3480"/>
      <c r="C51" s="2847" t="s">
        <v>2485</v>
      </c>
      <c r="D51" s="2848"/>
      <c r="E51" s="2849">
        <v>1</v>
      </c>
      <c r="F51" s="2846" t="s">
        <v>2486</v>
      </c>
      <c r="G51" s="2846"/>
    </row>
    <row r="52" spans="1:7" ht="19.5" customHeight="1">
      <c r="A52" s="3489"/>
      <c r="B52" s="3480"/>
      <c r="C52" s="2847" t="s">
        <v>2487</v>
      </c>
      <c r="D52" s="2848"/>
      <c r="E52" s="2849">
        <v>1</v>
      </c>
      <c r="F52" s="2846" t="s">
        <v>2488</v>
      </c>
      <c r="G52" s="2846"/>
    </row>
    <row r="53" spans="1:7" ht="19.5" customHeight="1" thickBot="1">
      <c r="A53" s="3490"/>
      <c r="B53" s="3487"/>
      <c r="C53" s="2850" t="s">
        <v>2489</v>
      </c>
      <c r="D53" s="2851"/>
      <c r="E53" s="2852">
        <v>1</v>
      </c>
      <c r="F53" s="2846" t="s">
        <v>2490</v>
      </c>
      <c r="G53" s="2846"/>
    </row>
    <row r="54" spans="1:7" ht="19.5" customHeight="1">
      <c r="A54" s="2859"/>
      <c r="B54" s="2859"/>
      <c r="C54" s="2859"/>
      <c r="D54" s="2859"/>
      <c r="E54" s="2859"/>
      <c r="F54" s="2859"/>
      <c r="G54" s="2859"/>
    </row>
    <row r="56" spans="1:7" ht="19.5" customHeight="1">
      <c r="A56" s="2860"/>
      <c r="B56" s="2832" t="s">
        <v>2629</v>
      </c>
      <c r="C56" s="2832" t="s">
        <v>2629</v>
      </c>
      <c r="D56" s="2832" t="s">
        <v>2629</v>
      </c>
      <c r="E56" s="2835" t="s">
        <v>2629</v>
      </c>
      <c r="F56" s="2835" t="s">
        <v>2630</v>
      </c>
      <c r="G56" s="2835" t="s">
        <v>2631</v>
      </c>
    </row>
    <row r="57" spans="1:7" ht="19.5" customHeight="1">
      <c r="A57" s="2861"/>
      <c r="B57" s="2835" t="s">
        <v>2598</v>
      </c>
      <c r="C57" s="2835" t="s">
        <v>2598</v>
      </c>
      <c r="D57" s="2835" t="s">
        <v>2598</v>
      </c>
      <c r="E57" s="2832" t="s">
        <v>2599</v>
      </c>
      <c r="F57" s="2832" t="s">
        <v>2601</v>
      </c>
      <c r="G57" s="2832" t="s">
        <v>2632</v>
      </c>
    </row>
    <row r="58" spans="1:7" ht="19.5" customHeight="1">
      <c r="A58" s="2862"/>
      <c r="B58" s="2832">
        <v>1</v>
      </c>
      <c r="C58" s="2832">
        <v>2</v>
      </c>
      <c r="D58" s="2832">
        <v>3</v>
      </c>
      <c r="E58" s="2863" t="s">
        <v>2633</v>
      </c>
      <c r="F58" s="2863" t="s">
        <v>2633</v>
      </c>
      <c r="G58" s="2863" t="s">
        <v>2633</v>
      </c>
    </row>
    <row r="59" spans="1:7" ht="19.5" customHeight="1">
      <c r="A59" s="2864" t="s">
        <v>2586</v>
      </c>
      <c r="B59" s="2832">
        <v>0.7</v>
      </c>
      <c r="C59" s="2832">
        <v>0.4</v>
      </c>
      <c r="D59" s="2832">
        <v>0.3</v>
      </c>
      <c r="E59" s="2863">
        <v>0.3</v>
      </c>
      <c r="F59" s="2832">
        <v>0.3</v>
      </c>
      <c r="G59" s="2832">
        <v>0.2</v>
      </c>
    </row>
    <row r="60" spans="1:7" ht="19.5" customHeight="1">
      <c r="A60" s="2864" t="s">
        <v>2587</v>
      </c>
      <c r="B60" s="2832">
        <v>0.7</v>
      </c>
      <c r="C60" s="2832">
        <v>0.4</v>
      </c>
      <c r="D60" s="2832">
        <v>0.3</v>
      </c>
      <c r="E60" s="2832">
        <v>0.3</v>
      </c>
      <c r="F60" s="2832">
        <v>0.3</v>
      </c>
      <c r="G60" s="2832">
        <v>0.2</v>
      </c>
    </row>
    <row r="61" spans="1:7" ht="19.5" customHeight="1">
      <c r="A61" s="2864" t="s">
        <v>2588</v>
      </c>
      <c r="B61" s="2832">
        <v>0.6</v>
      </c>
      <c r="C61" s="2832">
        <v>0.3</v>
      </c>
      <c r="D61" s="2832">
        <v>0.25</v>
      </c>
      <c r="E61" s="2832">
        <v>0.25</v>
      </c>
      <c r="F61" s="2832">
        <v>0.25</v>
      </c>
      <c r="G61" s="2832">
        <v>0.15</v>
      </c>
    </row>
    <row r="62" spans="1:7" ht="19.5" customHeight="1">
      <c r="A62" s="2864" t="s">
        <v>2589</v>
      </c>
      <c r="B62" s="2832">
        <v>0.6</v>
      </c>
      <c r="C62" s="2832">
        <v>0.3</v>
      </c>
      <c r="D62" s="2832">
        <v>0.25</v>
      </c>
      <c r="E62" s="2832">
        <v>0.25</v>
      </c>
      <c r="F62" s="2832">
        <v>0.25</v>
      </c>
      <c r="G62" s="2832">
        <v>0.15</v>
      </c>
    </row>
    <row r="63" spans="1:7" ht="19.5" customHeight="1">
      <c r="A63" s="2864" t="s">
        <v>2590</v>
      </c>
      <c r="B63" s="2832">
        <v>0.6</v>
      </c>
      <c r="C63" s="2832">
        <v>0.3</v>
      </c>
      <c r="D63" s="2832">
        <v>0.25</v>
      </c>
      <c r="E63" s="2832">
        <v>0.25</v>
      </c>
      <c r="F63" s="2832">
        <v>0.25</v>
      </c>
      <c r="G63" s="2832">
        <v>0.15</v>
      </c>
    </row>
    <row r="64" spans="1:7" ht="19.5" customHeight="1">
      <c r="A64" s="2864" t="s">
        <v>2591</v>
      </c>
      <c r="B64" s="2832">
        <v>0.6</v>
      </c>
      <c r="C64" s="2832">
        <v>0.3</v>
      </c>
      <c r="D64" s="2832">
        <v>0.25</v>
      </c>
      <c r="E64" s="2832">
        <v>0.25</v>
      </c>
      <c r="F64" s="2832">
        <v>0.25</v>
      </c>
      <c r="G64" s="2832">
        <v>0.15</v>
      </c>
    </row>
    <row r="65" spans="1:7" ht="19.5" customHeight="1">
      <c r="A65" s="2864" t="s">
        <v>2592</v>
      </c>
      <c r="B65" s="2832">
        <v>0.6</v>
      </c>
      <c r="C65" s="2832">
        <v>0.3</v>
      </c>
      <c r="D65" s="2832">
        <v>0.25</v>
      </c>
      <c r="E65" s="2832">
        <v>0.25</v>
      </c>
      <c r="F65" s="2832">
        <v>0.25</v>
      </c>
      <c r="G65" s="2832">
        <v>0.15</v>
      </c>
    </row>
    <row r="66" spans="1:7" ht="19.5" customHeight="1">
      <c r="A66" s="2864" t="s">
        <v>2593</v>
      </c>
      <c r="B66" s="2832">
        <v>0.5</v>
      </c>
      <c r="C66" s="2832">
        <v>0.2</v>
      </c>
      <c r="D66" s="2832">
        <v>0.2</v>
      </c>
      <c r="E66" s="2832">
        <v>0.2</v>
      </c>
      <c r="F66" s="2832">
        <v>0.2</v>
      </c>
      <c r="G66" s="2832">
        <v>0.1</v>
      </c>
    </row>
    <row r="67" spans="1:7" ht="19.5" customHeight="1">
      <c r="A67" s="2864" t="s">
        <v>2594</v>
      </c>
      <c r="B67" s="2832">
        <v>0.5</v>
      </c>
      <c r="C67" s="2832">
        <v>0.2</v>
      </c>
      <c r="D67" s="2832">
        <v>0.2</v>
      </c>
      <c r="E67" s="2832">
        <v>0.2</v>
      </c>
      <c r="F67" s="2832">
        <v>0.2</v>
      </c>
      <c r="G67" s="2832">
        <v>0.1</v>
      </c>
    </row>
    <row r="68" spans="1:7" ht="19.5" customHeight="1">
      <c r="A68" s="2864" t="s">
        <v>2595</v>
      </c>
      <c r="B68" s="2832">
        <v>0.5</v>
      </c>
      <c r="C68" s="2832">
        <v>0.2</v>
      </c>
      <c r="D68" s="2832">
        <v>0.2</v>
      </c>
      <c r="E68" s="2832">
        <v>0.2</v>
      </c>
      <c r="F68" s="2832">
        <v>0.2</v>
      </c>
      <c r="G68" s="2832">
        <v>0.1</v>
      </c>
    </row>
    <row r="69" spans="1:7" ht="19.5" customHeight="1">
      <c r="A69" s="2864" t="s">
        <v>2596</v>
      </c>
      <c r="B69" s="2832">
        <v>0.5</v>
      </c>
      <c r="C69" s="2832">
        <v>0.2</v>
      </c>
      <c r="D69" s="2832">
        <v>0.2</v>
      </c>
      <c r="E69" s="2832">
        <v>0.2</v>
      </c>
      <c r="F69" s="2832">
        <v>0.2</v>
      </c>
      <c r="G69" s="2832">
        <v>0.1</v>
      </c>
    </row>
    <row r="70" spans="1:7" ht="19.5" customHeight="1">
      <c r="A70" s="2864" t="s">
        <v>2597</v>
      </c>
      <c r="B70" s="2832">
        <v>0.5</v>
      </c>
      <c r="C70" s="2832">
        <v>0.2</v>
      </c>
      <c r="D70" s="2832">
        <v>0.2</v>
      </c>
      <c r="E70" s="2832">
        <v>0.2</v>
      </c>
      <c r="F70" s="2832">
        <v>0.2</v>
      </c>
      <c r="G70" s="2832">
        <v>0.1</v>
      </c>
    </row>
    <row r="72" spans="1:7" ht="19.5" customHeight="1">
      <c r="A72" s="2846"/>
      <c r="B72" s="2865"/>
      <c r="C72" s="2865"/>
      <c r="D72" s="2865" t="s">
        <v>2634</v>
      </c>
      <c r="E72" s="2865"/>
      <c r="F72" s="2865"/>
    </row>
    <row r="73" spans="1:7" ht="19.5" customHeight="1">
      <c r="A73" s="2858" t="s">
        <v>2635</v>
      </c>
      <c r="B73" s="2858" t="s">
        <v>2636</v>
      </c>
      <c r="C73" s="2858" t="s">
        <v>2637</v>
      </c>
      <c r="D73" s="2858" t="s">
        <v>2638</v>
      </c>
      <c r="E73" s="2858" t="s">
        <v>2639</v>
      </c>
      <c r="F73" s="2858" t="s">
        <v>2640</v>
      </c>
    </row>
    <row r="74" spans="1:7" ht="13.5">
      <c r="A74" s="2858"/>
      <c r="B74" s="2858"/>
      <c r="C74" s="2858" t="s">
        <v>2641</v>
      </c>
      <c r="D74" s="2858"/>
      <c r="E74" s="2858" t="s">
        <v>2612</v>
      </c>
      <c r="F74" s="2858" t="s">
        <v>2612</v>
      </c>
    </row>
    <row r="75" spans="1:7" ht="13.5">
      <c r="A75" s="2858">
        <v>1</v>
      </c>
      <c r="B75" s="3478" t="s">
        <v>2642</v>
      </c>
      <c r="C75" s="2832" t="s">
        <v>2643</v>
      </c>
      <c r="D75" s="2832" t="s">
        <v>2644</v>
      </c>
      <c r="E75" s="2858">
        <v>0.2</v>
      </c>
      <c r="F75" s="2858">
        <v>25</v>
      </c>
    </row>
    <row r="76" spans="1:7" ht="24">
      <c r="A76" s="2858">
        <v>2</v>
      </c>
      <c r="B76" s="3480"/>
      <c r="C76" s="2832" t="s">
        <v>2645</v>
      </c>
      <c r="D76" s="2832" t="s">
        <v>2646</v>
      </c>
      <c r="E76" s="2858">
        <v>0.2</v>
      </c>
      <c r="F76" s="2858">
        <v>25</v>
      </c>
    </row>
    <row r="77" spans="1:7" ht="24">
      <c r="A77" s="2858">
        <v>3</v>
      </c>
      <c r="B77" s="3480"/>
      <c r="C77" s="2832" t="s">
        <v>2647</v>
      </c>
      <c r="D77" s="2832" t="s">
        <v>2648</v>
      </c>
      <c r="E77" s="2858">
        <v>0.2</v>
      </c>
      <c r="F77" s="2858">
        <v>25</v>
      </c>
    </row>
    <row r="78" spans="1:7" ht="13.5">
      <c r="A78" s="2858">
        <v>4</v>
      </c>
      <c r="B78" s="3480"/>
      <c r="C78" s="2832" t="s">
        <v>2649</v>
      </c>
      <c r="D78" s="2832" t="s">
        <v>2650</v>
      </c>
      <c r="E78" s="2858">
        <v>0.15</v>
      </c>
      <c r="F78" s="2858">
        <v>20</v>
      </c>
    </row>
    <row r="79" spans="1:7" ht="24">
      <c r="A79" s="2858">
        <v>5</v>
      </c>
      <c r="B79" s="3480"/>
      <c r="C79" s="2832" t="s">
        <v>2651</v>
      </c>
      <c r="D79" s="2832" t="s">
        <v>2652</v>
      </c>
      <c r="E79" s="2858">
        <v>0.15</v>
      </c>
      <c r="F79" s="2858">
        <v>20</v>
      </c>
    </row>
    <row r="80" spans="1:7" ht="24">
      <c r="A80" s="2858">
        <v>6</v>
      </c>
      <c r="B80" s="3480"/>
      <c r="C80" s="2832" t="s">
        <v>2653</v>
      </c>
      <c r="D80" s="2832" t="s">
        <v>2654</v>
      </c>
      <c r="E80" s="2858">
        <v>0.15</v>
      </c>
      <c r="F80" s="2858">
        <v>20</v>
      </c>
    </row>
    <row r="81" spans="1:6" ht="24">
      <c r="A81" s="2858">
        <v>7</v>
      </c>
      <c r="B81" s="3480"/>
      <c r="C81" s="2832" t="s">
        <v>2655</v>
      </c>
      <c r="D81" s="2832" t="s">
        <v>2656</v>
      </c>
      <c r="E81" s="2858">
        <v>0.15</v>
      </c>
      <c r="F81" s="2858">
        <v>20</v>
      </c>
    </row>
    <row r="82" spans="1:6" ht="24">
      <c r="A82" s="2858">
        <v>8</v>
      </c>
      <c r="B82" s="3480"/>
      <c r="C82" s="2832" t="s">
        <v>2657</v>
      </c>
      <c r="D82" s="2832" t="s">
        <v>2658</v>
      </c>
      <c r="E82" s="2858">
        <v>0.1</v>
      </c>
      <c r="F82" s="2858">
        <v>15</v>
      </c>
    </row>
    <row r="83" spans="1:6" ht="24">
      <c r="A83" s="2858">
        <v>9</v>
      </c>
      <c r="B83" s="3480"/>
      <c r="C83" s="2832" t="s">
        <v>2659</v>
      </c>
      <c r="D83" s="2832" t="s">
        <v>2660</v>
      </c>
      <c r="E83" s="2858">
        <v>0.1</v>
      </c>
      <c r="F83" s="2858">
        <v>15</v>
      </c>
    </row>
    <row r="84" spans="1:6" ht="24">
      <c r="A84" s="2858">
        <v>10</v>
      </c>
      <c r="B84" s="3480"/>
      <c r="C84" s="2832" t="s">
        <v>2661</v>
      </c>
      <c r="D84" s="2832" t="s">
        <v>2662</v>
      </c>
      <c r="E84" s="2858">
        <v>0.1</v>
      </c>
      <c r="F84" s="2858">
        <v>15</v>
      </c>
    </row>
    <row r="85" spans="1:6" ht="24">
      <c r="A85" s="2858">
        <v>11</v>
      </c>
      <c r="B85" s="3480"/>
      <c r="C85" s="2832" t="s">
        <v>2663</v>
      </c>
      <c r="D85" s="2832" t="s">
        <v>2664</v>
      </c>
      <c r="E85" s="2858">
        <v>0.1</v>
      </c>
      <c r="F85" s="2858">
        <v>15</v>
      </c>
    </row>
    <row r="86" spans="1:6" ht="24">
      <c r="A86" s="2858">
        <v>12</v>
      </c>
      <c r="B86" s="3480"/>
      <c r="C86" s="2832" t="s">
        <v>2665</v>
      </c>
      <c r="D86" s="2832" t="s">
        <v>2666</v>
      </c>
      <c r="E86" s="2858">
        <v>0.1</v>
      </c>
      <c r="F86" s="2858">
        <v>15</v>
      </c>
    </row>
    <row r="87" spans="1:6" ht="13.5">
      <c r="A87" s="2858">
        <v>13</v>
      </c>
      <c r="B87" s="3480"/>
      <c r="C87" s="2832" t="s">
        <v>2667</v>
      </c>
      <c r="D87" s="2832" t="s">
        <v>2668</v>
      </c>
      <c r="E87" s="2858">
        <v>0.1</v>
      </c>
      <c r="F87" s="2858">
        <v>15</v>
      </c>
    </row>
    <row r="88" spans="1:6" ht="13.5">
      <c r="A88" s="2858">
        <v>14</v>
      </c>
      <c r="B88" s="3480"/>
      <c r="C88" s="2832" t="s">
        <v>2669</v>
      </c>
      <c r="D88" s="2832" t="s">
        <v>2670</v>
      </c>
      <c r="E88" s="2858">
        <v>0.1</v>
      </c>
      <c r="F88" s="2858">
        <v>15</v>
      </c>
    </row>
    <row r="89" spans="1:6" ht="13.5">
      <c r="A89" s="2858">
        <v>15</v>
      </c>
      <c r="B89" s="3480"/>
      <c r="C89" s="2832" t="s">
        <v>2671</v>
      </c>
      <c r="D89" s="2832" t="s">
        <v>2672</v>
      </c>
      <c r="E89" s="2858">
        <v>0.1</v>
      </c>
      <c r="F89" s="2858">
        <v>15</v>
      </c>
    </row>
    <row r="90" spans="1:6" ht="24">
      <c r="A90" s="2858">
        <v>16</v>
      </c>
      <c r="B90" s="3480"/>
      <c r="C90" s="2832" t="s">
        <v>2673</v>
      </c>
      <c r="D90" s="2832" t="s">
        <v>2674</v>
      </c>
      <c r="E90" s="2858">
        <v>0.1</v>
      </c>
      <c r="F90" s="2858">
        <v>15</v>
      </c>
    </row>
    <row r="91" spans="1:6" ht="24">
      <c r="A91" s="2858">
        <v>17</v>
      </c>
      <c r="B91" s="3479"/>
      <c r="C91" s="2832" t="s">
        <v>2675</v>
      </c>
      <c r="D91" s="2832" t="s">
        <v>2676</v>
      </c>
      <c r="E91" s="2858">
        <v>0.1</v>
      </c>
      <c r="F91" s="2858">
        <v>15</v>
      </c>
    </row>
    <row r="92" spans="1:6" ht="13.5">
      <c r="A92" s="2858">
        <v>18</v>
      </c>
      <c r="B92" s="3478" t="s">
        <v>2677</v>
      </c>
      <c r="C92" s="2832" t="s">
        <v>2678</v>
      </c>
      <c r="D92" s="2832" t="s">
        <v>2679</v>
      </c>
      <c r="E92" s="2858">
        <v>0.2</v>
      </c>
      <c r="F92" s="2858">
        <v>25</v>
      </c>
    </row>
    <row r="93" spans="1:6" ht="24">
      <c r="A93" s="2858">
        <v>19</v>
      </c>
      <c r="B93" s="3480"/>
      <c r="C93" s="2832" t="s">
        <v>2680</v>
      </c>
      <c r="D93" s="2832" t="s">
        <v>2681</v>
      </c>
      <c r="E93" s="2858">
        <v>0.2</v>
      </c>
      <c r="F93" s="2858">
        <v>25</v>
      </c>
    </row>
    <row r="94" spans="1:6" ht="13.5">
      <c r="A94" s="2858">
        <v>20</v>
      </c>
      <c r="B94" s="3480"/>
      <c r="C94" s="2832" t="s">
        <v>2682</v>
      </c>
      <c r="D94" s="2832" t="s">
        <v>2683</v>
      </c>
      <c r="E94" s="2858">
        <v>0.15</v>
      </c>
      <c r="F94" s="2858">
        <v>20</v>
      </c>
    </row>
    <row r="95" spans="1:6" ht="13.5">
      <c r="A95" s="2858">
        <v>21</v>
      </c>
      <c r="B95" s="3480"/>
      <c r="C95" s="2832" t="s">
        <v>2684</v>
      </c>
      <c r="D95" s="2832" t="s">
        <v>2685</v>
      </c>
      <c r="E95" s="2858">
        <v>0.15</v>
      </c>
      <c r="F95" s="2858">
        <v>20</v>
      </c>
    </row>
    <row r="96" spans="1:6" ht="13.5">
      <c r="A96" s="2858">
        <v>22</v>
      </c>
      <c r="B96" s="3480"/>
      <c r="C96" s="2832" t="s">
        <v>2686</v>
      </c>
      <c r="D96" s="2832" t="s">
        <v>2687</v>
      </c>
      <c r="E96" s="2858">
        <v>0.15</v>
      </c>
      <c r="F96" s="2858">
        <v>20</v>
      </c>
    </row>
    <row r="97" spans="1:6" ht="36">
      <c r="A97" s="2858">
        <v>23</v>
      </c>
      <c r="B97" s="3480"/>
      <c r="C97" s="2832" t="s">
        <v>2688</v>
      </c>
      <c r="D97" s="2832" t="s">
        <v>2689</v>
      </c>
      <c r="E97" s="2858">
        <v>0.15</v>
      </c>
      <c r="F97" s="2858">
        <v>20</v>
      </c>
    </row>
    <row r="98" spans="1:6" ht="13.5">
      <c r="A98" s="2858">
        <v>24</v>
      </c>
      <c r="B98" s="3480"/>
      <c r="C98" s="2832" t="s">
        <v>2690</v>
      </c>
      <c r="D98" s="2832" t="s">
        <v>2691</v>
      </c>
      <c r="E98" s="2858">
        <v>0.1</v>
      </c>
      <c r="F98" s="2858">
        <v>15</v>
      </c>
    </row>
    <row r="99" spans="1:6" ht="13.5">
      <c r="A99" s="2858">
        <v>25</v>
      </c>
      <c r="B99" s="3480"/>
      <c r="C99" s="2832" t="s">
        <v>2692</v>
      </c>
      <c r="D99" s="2832" t="s">
        <v>2693</v>
      </c>
      <c r="E99" s="2858">
        <v>0.1</v>
      </c>
      <c r="F99" s="2858">
        <v>15</v>
      </c>
    </row>
    <row r="100" spans="1:6" ht="24">
      <c r="A100" s="2858">
        <v>26</v>
      </c>
      <c r="B100" s="3480"/>
      <c r="C100" s="2832" t="s">
        <v>2694</v>
      </c>
      <c r="D100" s="2832" t="s">
        <v>2695</v>
      </c>
      <c r="E100" s="2858">
        <v>0.1</v>
      </c>
      <c r="F100" s="2858">
        <v>15</v>
      </c>
    </row>
    <row r="101" spans="1:6" ht="24">
      <c r="A101" s="2858">
        <v>27</v>
      </c>
      <c r="B101" s="3480"/>
      <c r="C101" s="2832" t="s">
        <v>2696</v>
      </c>
      <c r="D101" s="2832" t="s">
        <v>2697</v>
      </c>
      <c r="E101" s="2858">
        <v>0.1</v>
      </c>
      <c r="F101" s="2858">
        <v>15</v>
      </c>
    </row>
    <row r="102" spans="1:6" ht="13.5">
      <c r="A102" s="2858">
        <v>28</v>
      </c>
      <c r="B102" s="3480"/>
      <c r="C102" s="2832" t="s">
        <v>2698</v>
      </c>
      <c r="D102" s="2832" t="s">
        <v>2699</v>
      </c>
      <c r="E102" s="2858">
        <v>0.1</v>
      </c>
      <c r="F102" s="2858">
        <v>15</v>
      </c>
    </row>
    <row r="103" spans="1:6" ht="13.5">
      <c r="A103" s="2858">
        <v>29</v>
      </c>
      <c r="B103" s="3480"/>
      <c r="C103" s="2832" t="s">
        <v>2700</v>
      </c>
      <c r="D103" s="2832" t="s">
        <v>2701</v>
      </c>
      <c r="E103" s="2858">
        <v>0.1</v>
      </c>
      <c r="F103" s="2858">
        <v>15</v>
      </c>
    </row>
    <row r="104" spans="1:6" ht="13.5">
      <c r="A104" s="2858">
        <v>30</v>
      </c>
      <c r="B104" s="3480"/>
      <c r="C104" s="2832" t="s">
        <v>2702</v>
      </c>
      <c r="D104" s="2832" t="s">
        <v>2703</v>
      </c>
      <c r="E104" s="2858">
        <v>0.1</v>
      </c>
      <c r="F104" s="2858">
        <v>15</v>
      </c>
    </row>
    <row r="105" spans="1:6" ht="24">
      <c r="A105" s="2858">
        <v>31</v>
      </c>
      <c r="B105" s="3480"/>
      <c r="C105" s="2832" t="s">
        <v>2704</v>
      </c>
      <c r="D105" s="2832" t="s">
        <v>2705</v>
      </c>
      <c r="E105" s="2858">
        <v>0.1</v>
      </c>
      <c r="F105" s="2858">
        <v>15</v>
      </c>
    </row>
    <row r="106" spans="1:6" ht="24">
      <c r="A106" s="2858">
        <v>32</v>
      </c>
      <c r="B106" s="3480"/>
      <c r="C106" s="2832" t="s">
        <v>2706</v>
      </c>
      <c r="D106" s="2832" t="s">
        <v>2707</v>
      </c>
      <c r="E106" s="2858">
        <v>0.1</v>
      </c>
      <c r="F106" s="2858">
        <v>15</v>
      </c>
    </row>
    <row r="107" spans="1:6" ht="24">
      <c r="A107" s="2858">
        <v>33</v>
      </c>
      <c r="B107" s="3480"/>
      <c r="C107" s="2832" t="s">
        <v>2708</v>
      </c>
      <c r="D107" s="2832" t="s">
        <v>2709</v>
      </c>
      <c r="E107" s="2858">
        <v>0.1</v>
      </c>
      <c r="F107" s="2858">
        <v>15</v>
      </c>
    </row>
    <row r="108" spans="1:6" ht="24">
      <c r="A108" s="2858">
        <v>34</v>
      </c>
      <c r="B108" s="3479"/>
      <c r="C108" s="2832" t="s">
        <v>2710</v>
      </c>
      <c r="D108" s="2832" t="s">
        <v>2711</v>
      </c>
      <c r="E108" s="2858">
        <v>0.1</v>
      </c>
      <c r="F108" s="2858">
        <v>15</v>
      </c>
    </row>
    <row r="109" spans="1:6" ht="24">
      <c r="A109" s="2858">
        <v>35</v>
      </c>
      <c r="B109" s="3478" t="s">
        <v>2712</v>
      </c>
      <c r="C109" s="2858" t="s">
        <v>2713</v>
      </c>
      <c r="D109" s="2832" t="s">
        <v>2714</v>
      </c>
      <c r="E109" s="2858">
        <v>0.15</v>
      </c>
      <c r="F109" s="2858">
        <v>20</v>
      </c>
    </row>
    <row r="110" spans="1:6" ht="13.5">
      <c r="A110" s="2858">
        <v>36</v>
      </c>
      <c r="B110" s="3480"/>
      <c r="C110" s="2858" t="s">
        <v>2715</v>
      </c>
      <c r="D110" s="2832" t="s">
        <v>2716</v>
      </c>
      <c r="E110" s="2858">
        <v>0.15</v>
      </c>
      <c r="F110" s="2858">
        <v>20</v>
      </c>
    </row>
    <row r="111" spans="1:6" ht="13.5">
      <c r="A111" s="2858">
        <v>37</v>
      </c>
      <c r="B111" s="3480"/>
      <c r="C111" s="2858" t="s">
        <v>2717</v>
      </c>
      <c r="D111" s="2832" t="s">
        <v>2718</v>
      </c>
      <c r="E111" s="2858">
        <v>0.15</v>
      </c>
      <c r="F111" s="2858">
        <v>20</v>
      </c>
    </row>
    <row r="112" spans="1:6" ht="13.5">
      <c r="A112" s="2858">
        <v>38</v>
      </c>
      <c r="B112" s="3480"/>
      <c r="C112" s="2858" t="s">
        <v>2719</v>
      </c>
      <c r="D112" s="2832" t="s">
        <v>2720</v>
      </c>
      <c r="E112" s="2858">
        <v>0.1</v>
      </c>
      <c r="F112" s="2858">
        <v>15</v>
      </c>
    </row>
    <row r="113" spans="1:6" ht="24">
      <c r="A113" s="2858">
        <v>39</v>
      </c>
      <c r="B113" s="3480"/>
      <c r="C113" s="2858" t="s">
        <v>2721</v>
      </c>
      <c r="D113" s="2832" t="s">
        <v>2722</v>
      </c>
      <c r="E113" s="2858">
        <v>0.1</v>
      </c>
      <c r="F113" s="2858">
        <v>15</v>
      </c>
    </row>
    <row r="114" spans="1:6" ht="24">
      <c r="A114" s="2858">
        <v>40</v>
      </c>
      <c r="B114" s="3479"/>
      <c r="C114" s="2858" t="s">
        <v>2723</v>
      </c>
      <c r="D114" s="2832" t="s">
        <v>2724</v>
      </c>
      <c r="E114" s="2858">
        <v>0.1</v>
      </c>
      <c r="F114" s="2858">
        <v>15</v>
      </c>
    </row>
    <row r="115" spans="1:6" ht="13.5">
      <c r="A115" s="2858">
        <v>41</v>
      </c>
      <c r="B115" s="3477" t="s">
        <v>2725</v>
      </c>
      <c r="C115" s="2858" t="s">
        <v>2726</v>
      </c>
      <c r="D115" s="2832" t="s">
        <v>2727</v>
      </c>
      <c r="E115" s="2858">
        <v>0.1</v>
      </c>
      <c r="F115" s="2858">
        <v>15</v>
      </c>
    </row>
    <row r="116" spans="1:6" ht="13.5">
      <c r="A116" s="2858">
        <v>42</v>
      </c>
      <c r="B116" s="3477"/>
      <c r="C116" s="2858" t="s">
        <v>2728</v>
      </c>
      <c r="D116" s="2832" t="s">
        <v>2729</v>
      </c>
      <c r="E116" s="2858">
        <v>0.1</v>
      </c>
      <c r="F116" s="2858">
        <v>15</v>
      </c>
    </row>
    <row r="117" spans="1:6" ht="24">
      <c r="A117" s="2858">
        <v>43</v>
      </c>
      <c r="B117" s="3477"/>
      <c r="C117" s="2858" t="s">
        <v>2730</v>
      </c>
      <c r="D117" s="2832" t="s">
        <v>2731</v>
      </c>
      <c r="E117" s="2858">
        <v>0.1</v>
      </c>
      <c r="F117" s="2858">
        <v>15</v>
      </c>
    </row>
    <row r="118" spans="1:6" ht="13.5">
      <c r="A118" s="2858">
        <v>44</v>
      </c>
      <c r="B118" s="3478" t="s">
        <v>2732</v>
      </c>
      <c r="C118" s="2858" t="s">
        <v>2733</v>
      </c>
      <c r="D118" s="2832" t="s">
        <v>2734</v>
      </c>
      <c r="E118" s="2858">
        <v>0.1</v>
      </c>
      <c r="F118" s="2858">
        <v>15</v>
      </c>
    </row>
    <row r="119" spans="1:6" ht="24">
      <c r="A119" s="2858">
        <v>45</v>
      </c>
      <c r="B119" s="3479"/>
      <c r="C119" s="2832" t="s">
        <v>2735</v>
      </c>
      <c r="D119" s="2832" t="s">
        <v>2736</v>
      </c>
      <c r="E119" s="2858">
        <v>0.1</v>
      </c>
      <c r="F119" s="2858">
        <v>15</v>
      </c>
    </row>
    <row r="120" spans="1:6" ht="24">
      <c r="A120" s="2858">
        <v>46</v>
      </c>
      <c r="B120" s="3478" t="s">
        <v>2737</v>
      </c>
      <c r="C120" s="2858" t="s">
        <v>2738</v>
      </c>
      <c r="D120" s="2832" t="s">
        <v>2739</v>
      </c>
      <c r="E120" s="2858">
        <v>0.1</v>
      </c>
      <c r="F120" s="2858">
        <v>15</v>
      </c>
    </row>
    <row r="121" spans="1:6" ht="24">
      <c r="A121" s="2858">
        <v>47</v>
      </c>
      <c r="B121" s="3479"/>
      <c r="C121" s="2858" t="s">
        <v>2740</v>
      </c>
      <c r="D121" s="2832" t="s">
        <v>2741</v>
      </c>
      <c r="E121" s="2858">
        <v>0.1</v>
      </c>
      <c r="F121" s="2858">
        <v>15</v>
      </c>
    </row>
    <row r="122" spans="1:6" ht="13.5">
      <c r="A122" s="2858">
        <v>48</v>
      </c>
      <c r="B122" s="3478" t="s">
        <v>2742</v>
      </c>
      <c r="C122" s="2858" t="s">
        <v>2743</v>
      </c>
      <c r="D122" s="2832" t="s">
        <v>2744</v>
      </c>
      <c r="E122" s="2858">
        <v>0.1</v>
      </c>
      <c r="F122" s="2858">
        <v>15</v>
      </c>
    </row>
    <row r="123" spans="1:6" ht="13.5">
      <c r="A123" s="2858">
        <v>49</v>
      </c>
      <c r="B123" s="3479"/>
      <c r="C123" s="2858" t="s">
        <v>2745</v>
      </c>
      <c r="D123" s="2832" t="s">
        <v>2746</v>
      </c>
      <c r="E123" s="2858">
        <v>0.1</v>
      </c>
      <c r="F123" s="2858">
        <v>15</v>
      </c>
    </row>
    <row r="124" spans="1:6" ht="24">
      <c r="A124" s="2858">
        <v>50</v>
      </c>
      <c r="B124" s="3477" t="s">
        <v>2747</v>
      </c>
      <c r="C124" s="2858" t="s">
        <v>2748</v>
      </c>
      <c r="D124" s="2832" t="s">
        <v>2749</v>
      </c>
      <c r="E124" s="2858">
        <v>0.1</v>
      </c>
      <c r="F124" s="2858">
        <v>15</v>
      </c>
    </row>
    <row r="125" spans="1:6" ht="24">
      <c r="A125" s="2858">
        <v>51</v>
      </c>
      <c r="B125" s="3477"/>
      <c r="C125" s="2858" t="s">
        <v>2750</v>
      </c>
      <c r="D125" s="2832" t="s">
        <v>2751</v>
      </c>
      <c r="E125" s="2858">
        <v>0.1</v>
      </c>
      <c r="F125" s="2858">
        <v>15</v>
      </c>
    </row>
    <row r="126" spans="1:6" ht="24">
      <c r="A126" s="2858">
        <v>52</v>
      </c>
      <c r="B126" s="3477" t="s">
        <v>2752</v>
      </c>
      <c r="C126" s="2858" t="s">
        <v>2753</v>
      </c>
      <c r="D126" s="2832" t="s">
        <v>2754</v>
      </c>
      <c r="E126" s="2858">
        <v>0.1</v>
      </c>
      <c r="F126" s="2858">
        <v>15</v>
      </c>
    </row>
    <row r="127" spans="1:6" ht="24">
      <c r="A127" s="2858">
        <v>53</v>
      </c>
      <c r="B127" s="3477"/>
      <c r="C127" s="2858" t="s">
        <v>2755</v>
      </c>
      <c r="D127" s="2832" t="s">
        <v>2756</v>
      </c>
      <c r="E127" s="2858">
        <v>0.1</v>
      </c>
      <c r="F127" s="2858">
        <v>15</v>
      </c>
    </row>
    <row r="128" spans="1:6" ht="13.5">
      <c r="A128" s="2858">
        <v>54</v>
      </c>
      <c r="B128" s="2858" t="s">
        <v>2757</v>
      </c>
      <c r="C128" s="2858" t="s">
        <v>2758</v>
      </c>
      <c r="D128" s="2832" t="s">
        <v>2759</v>
      </c>
      <c r="E128" s="2858">
        <v>0.1</v>
      </c>
      <c r="F128" s="2858">
        <v>15</v>
      </c>
    </row>
    <row r="129" spans="1:6" ht="13.5">
      <c r="A129" s="2858">
        <v>55</v>
      </c>
      <c r="B129" s="3477" t="s">
        <v>2760</v>
      </c>
      <c r="C129" s="2858" t="s">
        <v>2761</v>
      </c>
      <c r="D129" s="2832" t="s">
        <v>2762</v>
      </c>
      <c r="E129" s="2858">
        <v>0.1</v>
      </c>
      <c r="F129" s="2858">
        <v>15</v>
      </c>
    </row>
    <row r="130" spans="1:6" ht="13.5">
      <c r="A130" s="2858">
        <v>56</v>
      </c>
      <c r="B130" s="3477"/>
      <c r="C130" s="2858" t="s">
        <v>2763</v>
      </c>
      <c r="D130" s="2832" t="s">
        <v>2764</v>
      </c>
      <c r="E130" s="2858">
        <v>0.1</v>
      </c>
      <c r="F130" s="2858">
        <v>15</v>
      </c>
    </row>
    <row r="131" spans="1:6" ht="24">
      <c r="A131" s="2858">
        <v>57</v>
      </c>
      <c r="B131" s="3477"/>
      <c r="C131" s="2858" t="s">
        <v>2765</v>
      </c>
      <c r="D131" s="2832" t="s">
        <v>2766</v>
      </c>
      <c r="E131" s="2858">
        <v>0.1</v>
      </c>
      <c r="F131" s="2858">
        <v>15</v>
      </c>
    </row>
    <row r="132" spans="1:6" ht="24">
      <c r="A132" s="2858">
        <v>58</v>
      </c>
      <c r="B132" s="3477" t="s">
        <v>2767</v>
      </c>
      <c r="C132" s="2858" t="s">
        <v>2768</v>
      </c>
      <c r="D132" s="2832" t="s">
        <v>2769</v>
      </c>
      <c r="E132" s="2858">
        <v>0.1</v>
      </c>
      <c r="F132" s="2858">
        <v>15</v>
      </c>
    </row>
    <row r="133" spans="1:6" ht="13.5">
      <c r="A133" s="2858">
        <v>59</v>
      </c>
      <c r="B133" s="3477"/>
      <c r="C133" s="2858" t="s">
        <v>2770</v>
      </c>
      <c r="D133" s="2832" t="s">
        <v>2771</v>
      </c>
      <c r="E133" s="2858">
        <v>0.1</v>
      </c>
      <c r="F133" s="2858">
        <v>15</v>
      </c>
    </row>
    <row r="134" spans="1:6" ht="13.5">
      <c r="A134" s="2858">
        <v>60</v>
      </c>
      <c r="B134" s="3478" t="s">
        <v>2772</v>
      </c>
      <c r="C134" s="2858" t="s">
        <v>2773</v>
      </c>
      <c r="D134" s="2832" t="s">
        <v>2774</v>
      </c>
      <c r="E134" s="2858">
        <v>0.1</v>
      </c>
      <c r="F134" s="2858">
        <v>15</v>
      </c>
    </row>
    <row r="135" spans="1:6" ht="13.5">
      <c r="A135" s="2858">
        <v>61</v>
      </c>
      <c r="B135" s="3479"/>
      <c r="C135" s="2858" t="s">
        <v>2775</v>
      </c>
      <c r="D135" s="2832" t="s">
        <v>2776</v>
      </c>
      <c r="E135" s="2858">
        <v>0.1</v>
      </c>
      <c r="F135" s="2858">
        <v>15</v>
      </c>
    </row>
    <row r="136" spans="1:6" ht="24">
      <c r="A136" s="2858">
        <v>62</v>
      </c>
      <c r="B136" s="2858" t="s">
        <v>2777</v>
      </c>
      <c r="C136" s="2858" t="s">
        <v>2778</v>
      </c>
      <c r="D136" s="2832" t="s">
        <v>2779</v>
      </c>
      <c r="E136" s="2858">
        <v>0.1</v>
      </c>
      <c r="F136" s="2858">
        <v>15</v>
      </c>
    </row>
    <row r="137" spans="1:6" ht="13.5">
      <c r="A137" s="2858">
        <v>63</v>
      </c>
      <c r="B137" s="3477" t="s">
        <v>2780</v>
      </c>
      <c r="C137" s="2858" t="s">
        <v>2781</v>
      </c>
      <c r="D137" s="2832" t="s">
        <v>2782</v>
      </c>
      <c r="E137" s="2858">
        <v>0.1</v>
      </c>
      <c r="F137" s="2858">
        <v>15</v>
      </c>
    </row>
    <row r="138" spans="1:6" ht="13.5">
      <c r="A138" s="2858">
        <v>64</v>
      </c>
      <c r="B138" s="3477"/>
      <c r="C138" s="2858" t="s">
        <v>2783</v>
      </c>
      <c r="D138" s="2832" t="s">
        <v>2784</v>
      </c>
      <c r="E138" s="2858">
        <v>0.1</v>
      </c>
      <c r="F138" s="2858">
        <v>15</v>
      </c>
    </row>
    <row r="139" spans="1:6" ht="13.5">
      <c r="A139" s="2858">
        <v>65</v>
      </c>
      <c r="B139" s="2858" t="s">
        <v>2785</v>
      </c>
      <c r="C139" s="2858" t="s">
        <v>2786</v>
      </c>
      <c r="D139" s="2832" t="s">
        <v>2787</v>
      </c>
      <c r="E139" s="2858">
        <v>0.1</v>
      </c>
      <c r="F139" s="2858">
        <v>15</v>
      </c>
    </row>
    <row r="140" spans="1:6" ht="13.5">
      <c r="A140" s="2858"/>
      <c r="B140" s="2858"/>
      <c r="C140" s="2858"/>
      <c r="D140" s="2858"/>
      <c r="E140" s="2858" t="s">
        <v>2788</v>
      </c>
      <c r="F140" s="2858" t="s">
        <v>2788</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1.2158</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1.1565000000000001</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7"/>
      <c r="C2" s="3177"/>
      <c r="D2" s="3177"/>
      <c r="E2" s="3177"/>
    </row>
    <row r="3" spans="1:5" ht="18">
      <c r="A3" s="3178" t="str">
        <f>IF(项目基本情况!B9="房地产市场价值","估价结果一览表（市场价值不需“结果表-1”）","估价结果一览表")</f>
        <v>估价结果一览表</v>
      </c>
      <c r="B3" s="3178"/>
      <c r="C3" s="3178"/>
      <c r="D3" s="3178"/>
      <c r="E3" s="3178"/>
    </row>
    <row r="4" spans="1:5" ht="19.5" thickBot="1">
      <c r="A4" s="1391"/>
      <c r="B4" s="3176" t="s">
        <v>917</v>
      </c>
      <c r="C4" s="3176"/>
      <c r="D4" s="3176"/>
      <c r="E4" s="1391"/>
    </row>
    <row r="5" spans="1:5" ht="16.5" thickTop="1">
      <c r="B5" s="3174" t="s">
        <v>909</v>
      </c>
      <c r="C5" s="1392" t="s">
        <v>910</v>
      </c>
      <c r="D5" s="797">
        <f ca="1">结果表!H101</f>
        <v>8650</v>
      </c>
    </row>
    <row r="6" spans="1:5" ht="15.75">
      <c r="B6" s="3174"/>
      <c r="C6" s="1392" t="s">
        <v>911</v>
      </c>
      <c r="D6" s="797" t="str">
        <f ca="1">NUMBERSTRING(INT(D5*10000),2)&amp;"元整"</f>
        <v>捌仟陆佰伍拾万元整</v>
      </c>
    </row>
    <row r="7" spans="1:5" ht="15.75">
      <c r="B7" s="3179"/>
      <c r="C7" s="1393" t="s">
        <v>912</v>
      </c>
      <c r="D7" s="798">
        <f ca="1">结果表!H102</f>
        <v>5629</v>
      </c>
    </row>
    <row r="8" spans="1:5" ht="15.75">
      <c r="B8" s="3180" t="str">
        <f>结果表!E103</f>
        <v>2.估价师知悉的法定优先受偿款</v>
      </c>
      <c r="C8" s="1394" t="s">
        <v>913</v>
      </c>
      <c r="D8" s="798">
        <f>结果表!H103</f>
        <v>0</v>
      </c>
    </row>
    <row r="9" spans="1:5" ht="15.75">
      <c r="B9" s="318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3" t="str">
        <f>结果表!E107</f>
        <v>3.房地产抵押价值</v>
      </c>
      <c r="C13" s="1397" t="s">
        <v>910</v>
      </c>
      <c r="D13" s="800">
        <f ca="1">结果表!H107</f>
        <v>8650</v>
      </c>
    </row>
    <row r="14" spans="1:5" ht="15.75">
      <c r="B14" s="3174"/>
      <c r="C14" s="1392" t="s">
        <v>911</v>
      </c>
      <c r="D14" s="797" t="str">
        <f ca="1">NUMBERSTRING(INT(D13*10000),2)&amp;"元整"</f>
        <v>捌仟陆佰伍拾万元整</v>
      </c>
    </row>
    <row r="15" spans="1:5" ht="15">
      <c r="B15" s="3179"/>
      <c r="C15" s="1393" t="s">
        <v>921</v>
      </c>
      <c r="D15" s="806">
        <f ca="1">结果表!H108</f>
        <v>5629</v>
      </c>
    </row>
    <row r="16" spans="1:5" ht="15">
      <c r="B16" s="3180" t="str">
        <f>结果表!E109</f>
        <v>——</v>
      </c>
      <c r="C16" s="1397" t="s">
        <v>922</v>
      </c>
      <c r="D16" s="1398" t="str">
        <f>结果表!H109</f>
        <v>——</v>
      </c>
    </row>
    <row r="17" spans="1:5" ht="15.75">
      <c r="B17" s="3181"/>
      <c r="C17" s="1392" t="s">
        <v>923</v>
      </c>
      <c r="D17" s="797" t="e">
        <f>NUMBERSTRING(INT(D16*10000),2)&amp;"元整"</f>
        <v>#VALUE!</v>
      </c>
    </row>
    <row r="18" spans="1:5" ht="15">
      <c r="B18" s="3182"/>
      <c r="C18" s="1393" t="s">
        <v>912</v>
      </c>
      <c r="D18" s="806" t="str">
        <f>结果表!H110</f>
        <v>——</v>
      </c>
    </row>
    <row r="19" spans="1:5" ht="15.75">
      <c r="B19" s="3173" t="str">
        <f>结果表!E111</f>
        <v>——</v>
      </c>
      <c r="C19" s="1397" t="s">
        <v>910</v>
      </c>
      <c r="D19" s="798" t="str">
        <f>结果表!H111</f>
        <v>——</v>
      </c>
    </row>
    <row r="20" spans="1:5" ht="15.75">
      <c r="B20" s="3174"/>
      <c r="C20" s="1392" t="s">
        <v>923</v>
      </c>
      <c r="D20" s="797" t="e">
        <f>NUMBERSTRING(INT(D19*10000),2)&amp;"元整"</f>
        <v>#VALUE!</v>
      </c>
    </row>
    <row r="21" spans="1:5" ht="15.75" thickBot="1">
      <c r="B21" s="317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31230</v>
      </c>
      <c r="C2" s="2" t="s">
        <v>106</v>
      </c>
      <c r="D2" s="191"/>
      <c r="E2" s="191"/>
      <c r="F2" s="191"/>
      <c r="G2" s="191"/>
    </row>
    <row r="3" spans="1:7" s="192" customFormat="1" ht="18" customHeight="1" thickBot="1">
      <c r="A3" s="195" t="s">
        <v>58</v>
      </c>
      <c r="B3" s="196">
        <f ca="1">ROUND(B2*10000/'数据-汇总表'!E3,0)</f>
        <v>20322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307</v>
      </c>
      <c r="D10" s="795">
        <f>'数据-汇总表'!E6</f>
        <v>15367.93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307</v>
      </c>
      <c r="D19" s="204">
        <f>'数据-汇总表'!E3</f>
        <v>15367.93</v>
      </c>
      <c r="E19" s="203">
        <f>'数据-取费表'!B31</f>
        <v>200</v>
      </c>
      <c r="F19" s="223"/>
      <c r="G19" s="1" t="s">
        <v>436</v>
      </c>
    </row>
    <row r="20" spans="1:7" s="206" customFormat="1" ht="13.5" customHeight="1">
      <c r="A20" s="731" t="s">
        <v>419</v>
      </c>
      <c r="B20" s="202" t="s">
        <v>77</v>
      </c>
      <c r="C20" s="224">
        <f>ROUND((C5+C19)*F20,0)</f>
        <v>418</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957</v>
      </c>
      <c r="D22" s="227">
        <f ca="1">C26</f>
        <v>4.0000000000000002E-4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934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14</v>
      </c>
      <c r="D24" s="230"/>
      <c r="E24" s="230"/>
      <c r="F24" s="231"/>
      <c r="G24" s="232" t="s">
        <v>82</v>
      </c>
    </row>
    <row r="25" spans="1:7" s="206" customFormat="1" ht="24">
      <c r="A25" s="734" t="s">
        <v>348</v>
      </c>
      <c r="B25" s="207" t="s">
        <v>420</v>
      </c>
      <c r="C25" s="1042">
        <f ca="1">ROUND(IF('数据-取费表'!B22&lt;=1,C20*F22*'数据-取费表'!B23/2,C20*(POWER((1+F22),'数据-取费表'!B23/2)-1)),0)</f>
        <v>9</v>
      </c>
      <c r="D25" s="230"/>
      <c r="E25" s="233"/>
      <c r="F25" s="231"/>
      <c r="G25" s="234" t="s">
        <v>83</v>
      </c>
    </row>
    <row r="26" spans="1:7" s="206" customFormat="1">
      <c r="A26" s="734" t="s">
        <v>350</v>
      </c>
      <c r="B26" s="207" t="s">
        <v>422</v>
      </c>
      <c r="C26" s="230">
        <f ca="1">ROUND(IF('数据-取费表'!B22&lt;=1,F21*F22*'数据-取费表'!B23/2,F21*(POWER((1+F22),'数据-取费表'!B23/2)-1)),4)</f>
        <v>4.0000000000000002E-4</v>
      </c>
      <c r="D26" s="230"/>
      <c r="E26" s="233"/>
      <c r="F26" s="231"/>
      <c r="G26" s="235"/>
    </row>
    <row r="27" spans="1:7" s="206" customFormat="1" ht="24.75">
      <c r="A27" s="731" t="s">
        <v>342</v>
      </c>
      <c r="B27" s="236" t="s">
        <v>85</v>
      </c>
      <c r="C27" s="237">
        <f>C28</f>
        <v>2134</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2134</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26427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5240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4610</v>
      </c>
      <c r="D34" s="209"/>
      <c r="E34" s="212"/>
      <c r="F34" s="249">
        <f>IF('数据-取费表'!B24=0,1,'数据-取费表'!N16)</f>
        <v>1</v>
      </c>
      <c r="G34" s="211" t="s">
        <v>89</v>
      </c>
    </row>
    <row r="35" spans="1:7" ht="13.5" customHeight="1">
      <c r="A35" s="734" t="s">
        <v>351</v>
      </c>
      <c r="B35" s="207" t="s">
        <v>33</v>
      </c>
      <c r="C35" s="212">
        <f>ROUND(C34*F35,0)</f>
        <v>231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307</v>
      </c>
      <c r="D37" s="209">
        <f>'数据-汇总表'!E3</f>
        <v>15367.93</v>
      </c>
      <c r="E37" s="241">
        <f>'数据-取费表'!B35</f>
        <v>200</v>
      </c>
      <c r="F37" s="251"/>
      <c r="G37" s="253" t="s">
        <v>92</v>
      </c>
    </row>
    <row r="38" spans="1:7" ht="13.5" customHeight="1">
      <c r="A38" s="734" t="s">
        <v>354</v>
      </c>
      <c r="B38" s="207" t="s">
        <v>36</v>
      </c>
      <c r="C38" s="212">
        <f>ROUND(C34*F38,0)</f>
        <v>92</v>
      </c>
      <c r="D38" s="212"/>
      <c r="E38" s="212"/>
      <c r="F38" s="251">
        <f>'数据-取费表'!B36</f>
        <v>0.02</v>
      </c>
      <c r="G38" s="211" t="s">
        <v>90</v>
      </c>
    </row>
    <row r="39" spans="1:7" s="206" customFormat="1" ht="13.5" customHeight="1">
      <c r="A39" s="731" t="s">
        <v>338</v>
      </c>
      <c r="B39" s="202" t="s">
        <v>77</v>
      </c>
      <c r="C39" s="224">
        <f>ROUND(C33*F20,0)</f>
        <v>105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119</v>
      </c>
      <c r="D41" s="227">
        <f ca="1">C44</f>
        <v>4.0000000000000002E-4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117</v>
      </c>
      <c r="D42" s="230"/>
      <c r="E42" s="230"/>
      <c r="F42" s="231"/>
      <c r="G42" s="3354" t="s">
        <v>94</v>
      </c>
    </row>
    <row r="43" spans="1:7" ht="13.5" customHeight="1">
      <c r="A43" s="734" t="s">
        <v>347</v>
      </c>
      <c r="B43" s="207" t="s">
        <v>426</v>
      </c>
      <c r="C43" s="230">
        <f ca="1">ROUND(IF('数据-取费表'!B22&lt;=1,C39*F22*'数据-取费表'!B21/2,C39*(POWER((1+F22),'数据-取费表'!B21/2)-1)),0)</f>
        <v>2</v>
      </c>
      <c r="D43" s="230"/>
      <c r="E43" s="230"/>
      <c r="F43" s="231"/>
      <c r="G43" s="3355"/>
    </row>
    <row r="44" spans="1:7" ht="13.5" customHeight="1">
      <c r="A44" s="734" t="s">
        <v>348</v>
      </c>
      <c r="B44" s="207" t="s">
        <v>428</v>
      </c>
      <c r="C44" s="230">
        <f ca="1">ROUND(IF('数据-取费表'!B22&lt;=1,C40*F22*'数据-取费表'!B21/2,C40*(POWER((1+F22),'数据-取费表'!B21/2)-1)),4)</f>
        <v>4.0000000000000002E-4</v>
      </c>
      <c r="D44" s="230"/>
      <c r="E44" s="230"/>
      <c r="F44" s="231"/>
      <c r="G44" s="3356"/>
    </row>
    <row r="45" spans="1:7" s="206" customFormat="1" ht="13.5" customHeight="1">
      <c r="A45" s="731" t="s">
        <v>341</v>
      </c>
      <c r="B45" s="236" t="s">
        <v>85</v>
      </c>
      <c r="C45" s="237">
        <f>C46</f>
        <v>535</v>
      </c>
      <c r="D45" s="227">
        <f>C47</f>
        <v>2E-3</v>
      </c>
      <c r="E45" s="228" t="s">
        <v>102</v>
      </c>
      <c r="F45" s="238"/>
      <c r="G45" s="239" t="s">
        <v>434</v>
      </c>
    </row>
    <row r="46" spans="1:7" s="206" customFormat="1" ht="13.5" customHeight="1">
      <c r="A46" s="734" t="s">
        <v>349</v>
      </c>
      <c r="B46" s="240" t="s">
        <v>427</v>
      </c>
      <c r="C46" s="241">
        <f>ROUND((C33+C39)*F27,0)</f>
        <v>535</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6491</v>
      </c>
      <c r="D49" s="224"/>
      <c r="E49" s="224"/>
      <c r="F49" s="256"/>
      <c r="G49" s="226" t="s">
        <v>435</v>
      </c>
    </row>
    <row r="50" spans="1:7" s="250" customFormat="1" ht="24">
      <c r="A50" s="731" t="s">
        <v>344</v>
      </c>
      <c r="B50" s="202" t="s">
        <v>97</v>
      </c>
      <c r="C50" s="224"/>
      <c r="D50" s="224"/>
      <c r="E50" s="224"/>
      <c r="F50" s="256">
        <f>IF('数据-取费表'!B24=0,'数据-取费表'!N16,1)</f>
        <v>0.74</v>
      </c>
      <c r="G50" s="239" t="s">
        <v>98</v>
      </c>
    </row>
    <row r="51" spans="1:7" ht="16.5" customHeight="1">
      <c r="A51" s="731" t="s">
        <v>345</v>
      </c>
      <c r="B51" s="202" t="s">
        <v>105</v>
      </c>
      <c r="C51" s="224">
        <f ca="1">ROUND(C49*F50,0)</f>
        <v>4803</v>
      </c>
      <c r="D51" s="224"/>
      <c r="E51" s="224"/>
      <c r="F51" s="256"/>
      <c r="G51" s="226" t="s">
        <v>37</v>
      </c>
    </row>
    <row r="52" spans="1:7" s="200" customFormat="1" ht="16.5" thickBot="1">
      <c r="A52" s="257" t="s">
        <v>38</v>
      </c>
      <c r="B52" s="258"/>
      <c r="C52" s="259">
        <f ca="1">C31+C51</f>
        <v>31230</v>
      </c>
      <c r="D52" s="258"/>
      <c r="E52" s="258"/>
      <c r="F52" s="258"/>
      <c r="G52" s="260"/>
    </row>
    <row r="55" spans="1:7" ht="15">
      <c r="B55" s="262" t="s">
        <v>39</v>
      </c>
      <c r="C55" s="263"/>
    </row>
    <row r="56" spans="1:7">
      <c r="B56" s="265" t="s">
        <v>40</v>
      </c>
      <c r="C56" s="266">
        <f ca="1">ROUND(C51/C52,3)</f>
        <v>0.154</v>
      </c>
    </row>
    <row r="57" spans="1:7">
      <c r="B57" s="265" t="s">
        <v>41</v>
      </c>
      <c r="C57" s="267">
        <f ca="1">1-C56</f>
        <v>0.84599999999999997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91" t="s">
        <v>3172</v>
      </c>
      <c r="B1" s="3491"/>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c r="A1" s="3492" t="s">
        <v>3223</v>
      </c>
      <c r="B1" s="3492"/>
      <c r="C1" s="3492"/>
      <c r="D1" s="3492"/>
      <c r="E1" s="3492"/>
      <c r="F1" s="3493"/>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8">
        <f>基准地价修正!G23</f>
        <v>45845</v>
      </c>
      <c r="B1" s="2930" t="s">
        <v>3369</v>
      </c>
      <c r="C1" s="2931"/>
      <c r="D1" s="2931"/>
      <c r="E1" s="2931"/>
      <c r="F1" s="2931"/>
      <c r="G1" s="2931"/>
      <c r="H1" s="2931"/>
      <c r="I1" s="2931"/>
      <c r="J1" s="2897"/>
      <c r="K1" s="2931" t="s">
        <v>454</v>
      </c>
      <c r="L1" s="2931"/>
      <c r="M1" s="2931"/>
      <c r="N1" s="2931"/>
      <c r="O1" s="2931"/>
      <c r="P1" s="2931"/>
      <c r="Q1" s="2897"/>
      <c r="R1" s="3494" t="s">
        <v>456</v>
      </c>
      <c r="S1" s="3495"/>
      <c r="T1" s="3495"/>
      <c r="U1" s="3495"/>
      <c r="V1" s="3495"/>
      <c r="W1" s="3495"/>
      <c r="X1" s="2897"/>
      <c r="Y1" s="3494" t="s">
        <v>457</v>
      </c>
      <c r="Z1" s="3495"/>
      <c r="AA1" s="3495"/>
      <c r="AB1" s="3495"/>
      <c r="AC1" s="3495"/>
      <c r="AD1" s="3495"/>
    </row>
    <row r="2" spans="1:44"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c r="AF2" t="s">
        <v>3396</v>
      </c>
      <c r="AG2" t="s">
        <v>673</v>
      </c>
      <c r="AH2" t="s">
        <v>21</v>
      </c>
      <c r="AI2" t="s">
        <v>3397</v>
      </c>
      <c r="AJ2" t="s">
        <v>3</v>
      </c>
      <c r="AK2" t="s">
        <v>3398</v>
      </c>
      <c r="AM2" t="s">
        <v>3396</v>
      </c>
      <c r="AN2" t="s">
        <v>673</v>
      </c>
      <c r="AO2" t="s">
        <v>21</v>
      </c>
      <c r="AP2" t="s">
        <v>3397</v>
      </c>
      <c r="AQ2" t="s">
        <v>3</v>
      </c>
      <c r="AR2" t="s">
        <v>3398</v>
      </c>
    </row>
    <row r="3" spans="1:44" s="2887" customFormat="1" ht="12.75">
      <c r="A3" s="2885" t="s">
        <v>2810</v>
      </c>
      <c r="B3" s="2886"/>
      <c r="D3" s="2887">
        <f>ROUND(AVERAGEIF(D4:D24,"&lt;&gt;0"),2)</f>
        <v>0.37</v>
      </c>
      <c r="E3" s="2887">
        <f t="shared" ref="E3:H3" si="0">ROUND(AVERAGEIF(E4:E24,"&lt;&gt;0"),2)</f>
        <v>0.16</v>
      </c>
      <c r="F3" s="2887">
        <f t="shared" si="0"/>
        <v>-0.12</v>
      </c>
      <c r="G3" s="2887">
        <f t="shared" si="0"/>
        <v>0.44</v>
      </c>
      <c r="H3" s="2887">
        <f t="shared" si="0"/>
        <v>0.5</v>
      </c>
      <c r="I3" s="2887">
        <f>F3</f>
        <v>-0.12</v>
      </c>
      <c r="J3" s="2888"/>
      <c r="K3" s="2889">
        <f>ROUND(AVERAGEIF(K4:K24,"&lt;&gt;0"),4)</f>
        <v>3.7000000000000002E-3</v>
      </c>
      <c r="L3" s="2890">
        <f t="shared" ref="L3:O3" si="1">ROUND(AVERAGEIF(L4:L24,"&lt;&gt;0"),4)</f>
        <v>1.6000000000000001E-3</v>
      </c>
      <c r="M3" s="2890">
        <f t="shared" si="1"/>
        <v>-1.1999999999999999E-3</v>
      </c>
      <c r="N3" s="2890">
        <f t="shared" si="1"/>
        <v>4.4000000000000003E-3</v>
      </c>
      <c r="O3" s="2890">
        <f t="shared" si="1"/>
        <v>5.0000000000000001E-3</v>
      </c>
      <c r="P3" s="2890">
        <f>M3</f>
        <v>-1.1999999999999999E-3</v>
      </c>
      <c r="Q3" s="2888"/>
      <c r="R3" s="2891">
        <f>ROUND(SUMPRODUCT(PRODUCT(1+K4:K24)),4)</f>
        <v>1.0680000000000001</v>
      </c>
      <c r="S3" s="2892">
        <f t="shared" ref="S3:V3" si="2">ROUND(SUMPRODUCT(PRODUCT(1+L4:L24)),4)</f>
        <v>1.0290999999999999</v>
      </c>
      <c r="T3" s="2892">
        <f t="shared" si="2"/>
        <v>0.97850000000000004</v>
      </c>
      <c r="U3" s="2892">
        <f t="shared" si="2"/>
        <v>1.0807</v>
      </c>
      <c r="V3" s="2892">
        <f t="shared" si="2"/>
        <v>1.093</v>
      </c>
      <c r="W3" s="2891">
        <f>T3</f>
        <v>0.97850000000000004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3395</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105.77000000000001</v>
      </c>
      <c r="AG5" s="3154">
        <f t="shared" ref="AG5:AK5" si="18">$AF$24*S5</f>
        <v>102.75000000000001</v>
      </c>
      <c r="AH5" s="3154">
        <f t="shared" si="18"/>
        <v>98.09</v>
      </c>
      <c r="AI5" s="3154">
        <f t="shared" si="18"/>
        <v>106.89</v>
      </c>
      <c r="AJ5" s="3154">
        <f t="shared" si="18"/>
        <v>108.91</v>
      </c>
      <c r="AK5" s="3154">
        <f t="shared" si="18"/>
        <v>98.09</v>
      </c>
      <c r="AM5" s="3160">
        <v>100</v>
      </c>
      <c r="AN5" s="3160">
        <v>100</v>
      </c>
      <c r="AO5" s="3160">
        <v>100</v>
      </c>
      <c r="AP5" s="3160">
        <v>100</v>
      </c>
      <c r="AQ5" s="3160">
        <v>100</v>
      </c>
      <c r="AR5" s="3160">
        <v>100</v>
      </c>
    </row>
    <row r="6" spans="1:44" s="2045" customFormat="1" ht="12.75">
      <c r="A6" s="2040" t="s">
        <v>3394</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105.77000000000001</v>
      </c>
      <c r="AG6" s="3154">
        <f t="shared" ref="AG6:AG23" si="31">$AF$24*S6</f>
        <v>102.75000000000001</v>
      </c>
      <c r="AH6" s="3154">
        <f t="shared" ref="AH6:AH23" si="32">$AF$24*T6</f>
        <v>98.09</v>
      </c>
      <c r="AI6" s="3154">
        <f t="shared" ref="AI6:AI23" si="33">$AF$24*U6</f>
        <v>106.89</v>
      </c>
      <c r="AJ6" s="3154">
        <f t="shared" ref="AJ6:AJ23" si="34">$AF$24*V6</f>
        <v>108.91</v>
      </c>
      <c r="AK6" s="3154">
        <f t="shared" ref="AK6:AK23" si="35">$AF$24*W6</f>
        <v>98.09</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3393</v>
      </c>
      <c r="B7" s="2909">
        <v>2025</v>
      </c>
      <c r="C7" s="2910">
        <v>2</v>
      </c>
      <c r="D7" s="2911">
        <v>0.05</v>
      </c>
      <c r="E7" s="2911">
        <v>-0.62</v>
      </c>
      <c r="F7" s="2911">
        <v>-1.05</v>
      </c>
      <c r="G7" s="2911">
        <v>0.09</v>
      </c>
      <c r="H7" s="2912">
        <v>0.17</v>
      </c>
      <c r="I7" s="2913">
        <f t="shared" ref="I7" si="37">F7</f>
        <v>-1.05</v>
      </c>
      <c r="J7" s="2914"/>
      <c r="K7" s="2915">
        <f t="shared" ref="K7" si="38">D7/100</f>
        <v>5.0000000000000001E-4</v>
      </c>
      <c r="L7" s="2916">
        <f t="shared" ref="L7" si="39">E7/100</f>
        <v>-6.1999999999999998E-3</v>
      </c>
      <c r="M7" s="2916">
        <f t="shared" ref="M7" si="40">F7/100</f>
        <v>-1.0500000000000001E-2</v>
      </c>
      <c r="N7" s="2916">
        <f t="shared" ref="N7" si="41">G7/100</f>
        <v>8.9999999999999998E-4</v>
      </c>
      <c r="O7" s="2916">
        <f t="shared" ref="O7" si="42">H7/100</f>
        <v>1.7000000000000001E-3</v>
      </c>
      <c r="P7" s="2916">
        <f t="shared" si="10"/>
        <v>-1.0500000000000001E-2</v>
      </c>
      <c r="Q7" s="2914"/>
      <c r="R7" s="2914">
        <f>ROUND(IF(项目基本情况!$B$8="出让",SUMPRODUCT(PRODUCT(1+K7:$K$24)),SUMPRODUCT(PRODUCT(1+K7:$K$23))),4)</f>
        <v>1.0577000000000001</v>
      </c>
      <c r="S7" s="2914">
        <f>ROUND(IF(项目基本情况!$B$8="出让",SUMPRODUCT(PRODUCT(1+L7:$L$24)),SUMPRODUCT(PRODUCT(1+L7:$L$23))),4)</f>
        <v>1.0275000000000001</v>
      </c>
      <c r="T7" s="2914">
        <f>ROUND(IF(项目基本情况!$B$8="出让",SUMPRODUCT(PRODUCT(1+M7:$M$24)),SUMPRODUCT(PRODUCT(1+M7:$M$23))),4)</f>
        <v>0.98089999999999999</v>
      </c>
      <c r="U7" s="2914">
        <f>ROUND(IF(项目基本情况!$B$8="出让",SUMPRODUCT(PRODUCT(1+N7:$N$24)),SUMPRODUCT(PRODUCT(1+N7:$N$23))),4)</f>
        <v>1.0689</v>
      </c>
      <c r="V7" s="2914">
        <f>ROUND(IF(项目基本情况!$B$8="出让",SUMPRODUCT(PRODUCT(1+O7:$O$24)),SUMPRODUCT(PRODUCT(1+O7:$O$23))),4)</f>
        <v>1.0891</v>
      </c>
      <c r="W7" s="2914">
        <f t="shared" si="11"/>
        <v>0.98089999999999999</v>
      </c>
      <c r="X7" s="2914"/>
      <c r="Y7" s="2916">
        <f t="shared" si="12"/>
        <v>2.3E-3</v>
      </c>
      <c r="Z7" s="2916">
        <f t="shared" ref="Z7" si="43">IF(E7=0,0,ROUND(AVERAGE(E7:E20)/100,4))</f>
        <v>1E-3</v>
      </c>
      <c r="AA7" s="2916">
        <f t="shared" ref="AA7" si="44">IF(F7=0,0,ROUND(AVERAGE(F7:F20)/100,4))</f>
        <v>-1.9E-3</v>
      </c>
      <c r="AB7" s="2916">
        <f t="shared" ref="AB7" si="45">IF(G7=0,0,ROUND(AVERAGE(G7:G20)/100,4))</f>
        <v>2.8999999999999998E-3</v>
      </c>
      <c r="AC7" s="2916">
        <f t="shared" ref="AC7" si="46">IF(H7=0,0,ROUND(AVERAGE(H7:H20)/100,4))</f>
        <v>4.7000000000000002E-3</v>
      </c>
      <c r="AD7" s="2916">
        <f t="shared" ref="AD7" si="47">AA7</f>
        <v>-1.9E-3</v>
      </c>
      <c r="AF7" s="3155">
        <f t="shared" si="30"/>
        <v>105.77000000000001</v>
      </c>
      <c r="AG7" s="3155">
        <f t="shared" si="31"/>
        <v>102.75000000000001</v>
      </c>
      <c r="AH7" s="3155">
        <f t="shared" si="32"/>
        <v>98.09</v>
      </c>
      <c r="AI7" s="3155">
        <f t="shared" si="33"/>
        <v>106.89</v>
      </c>
      <c r="AJ7" s="3155">
        <f t="shared" si="34"/>
        <v>108.91</v>
      </c>
      <c r="AK7" s="3155">
        <f t="shared" si="35"/>
        <v>98.09</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3401</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99.950024987506254</v>
      </c>
      <c r="AN8" s="3154">
        <f t="shared" si="49"/>
        <v>100.6238679814852</v>
      </c>
      <c r="AO8" s="3154">
        <f t="shared" si="50"/>
        <v>101.06114199090449</v>
      </c>
      <c r="AP8" s="3154">
        <f t="shared" si="51"/>
        <v>99.910080927165566</v>
      </c>
      <c r="AQ8" s="3154">
        <f t="shared" si="52"/>
        <v>99.830288509533787</v>
      </c>
      <c r="AR8" s="3154">
        <f t="shared" si="53"/>
        <v>101.06114199090449</v>
      </c>
    </row>
    <row r="9" spans="1:44" s="2045" customFormat="1" ht="12.75">
      <c r="A9" s="2040" t="s">
        <v>3400</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99.383538816253605</v>
      </c>
      <c r="AN9" s="3154">
        <f t="shared" si="49"/>
        <v>101.20071204011386</v>
      </c>
      <c r="AO9" s="3154">
        <f t="shared" si="50"/>
        <v>101.97895256398031</v>
      </c>
      <c r="AP9" s="3154">
        <f t="shared" si="51"/>
        <v>98.80348192955455</v>
      </c>
      <c r="AQ9" s="3154">
        <f t="shared" si="52"/>
        <v>99.412754938790869</v>
      </c>
      <c r="AR9" s="3154">
        <f t="shared" si="53"/>
        <v>101.97895256398031</v>
      </c>
    </row>
    <row r="10" spans="1:44" s="2045" customFormat="1" ht="12.75">
      <c r="A10" s="2040" t="s">
        <v>3373</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100.40769732900949</v>
      </c>
      <c r="AN10" s="3154">
        <f t="shared" si="49"/>
        <v>101.68881836828162</v>
      </c>
      <c r="AO10" s="3154">
        <f t="shared" si="50"/>
        <v>102.74957437176857</v>
      </c>
      <c r="AP10" s="3154">
        <f t="shared" si="51"/>
        <v>99.851927164784783</v>
      </c>
      <c r="AQ10" s="3154">
        <f t="shared" si="52"/>
        <v>99.333288308144361</v>
      </c>
      <c r="AR10" s="3154">
        <f t="shared" si="53"/>
        <v>102.74957437176857</v>
      </c>
    </row>
    <row r="11" spans="1:44" s="2045" customFormat="1" ht="12.75">
      <c r="A11" s="2906" t="s">
        <v>3367</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101.61693890194262</v>
      </c>
      <c r="AN11" s="3154">
        <f t="shared" si="49"/>
        <v>102.16901272810371</v>
      </c>
      <c r="AO11" s="3154">
        <f t="shared" si="50"/>
        <v>103.04841477461495</v>
      </c>
      <c r="AP11" s="3154">
        <f t="shared" si="51"/>
        <v>100.59634008138704</v>
      </c>
      <c r="AQ11" s="3154">
        <f t="shared" si="52"/>
        <v>99.542327195254401</v>
      </c>
      <c r="AR11" s="3154">
        <f t="shared" si="53"/>
        <v>103.04841477461495</v>
      </c>
    </row>
    <row r="12" spans="1:44" s="2045" customFormat="1" ht="12.75">
      <c r="A12" s="2906" t="s">
        <v>3366</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102.22003712095626</v>
      </c>
      <c r="AN12" s="3154">
        <f t="shared" si="49"/>
        <v>102.38401916835726</v>
      </c>
      <c r="AO12" s="3154">
        <f t="shared" si="50"/>
        <v>104.49038204686165</v>
      </c>
      <c r="AP12" s="3154">
        <f t="shared" si="51"/>
        <v>101.85939659921733</v>
      </c>
      <c r="AQ12" s="3154">
        <f t="shared" si="52"/>
        <v>99.205030092938401</v>
      </c>
      <c r="AR12" s="3154">
        <f t="shared" si="53"/>
        <v>104.49038204686165</v>
      </c>
    </row>
    <row r="13" spans="1:44" s="2045" customFormat="1" ht="12.75">
      <c r="A13" s="2906" t="s">
        <v>3362</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102.13832645978844</v>
      </c>
      <c r="AN13" s="3154">
        <f t="shared" si="49"/>
        <v>101.91520920600962</v>
      </c>
      <c r="AO13" s="3154">
        <f t="shared" si="50"/>
        <v>104.65783458219317</v>
      </c>
      <c r="AP13" s="3154">
        <f t="shared" si="51"/>
        <v>101.5952489519423</v>
      </c>
      <c r="AQ13" s="3154">
        <f t="shared" si="52"/>
        <v>98.623153487362956</v>
      </c>
      <c r="AR13" s="3154">
        <f t="shared" si="53"/>
        <v>104.65783458219317</v>
      </c>
    </row>
    <row r="14" spans="1:44" s="2045" customFormat="1" ht="12.75">
      <c r="A14" s="2906" t="s">
        <v>3361</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101.94463165963514</v>
      </c>
      <c r="AN14" s="3154">
        <f t="shared" si="49"/>
        <v>101.67119833001759</v>
      </c>
      <c r="AO14" s="3154">
        <f t="shared" si="50"/>
        <v>104.8255554709467</v>
      </c>
      <c r="AP14" s="3154">
        <f t="shared" si="51"/>
        <v>101.4228301407031</v>
      </c>
      <c r="AQ14" s="3154">
        <f t="shared" si="52"/>
        <v>98.025199768773433</v>
      </c>
      <c r="AR14" s="3154">
        <f t="shared" si="53"/>
        <v>104.8255554709467</v>
      </c>
    </row>
    <row r="15" spans="1:44" s="2045" customFormat="1" ht="12.75">
      <c r="A15" s="2906" t="s">
        <v>3359</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101.69040564552134</v>
      </c>
      <c r="AN15" s="3154">
        <f t="shared" si="49"/>
        <v>101.16537147265433</v>
      </c>
      <c r="AO15" s="3154">
        <f t="shared" si="50"/>
        <v>104.50160050936765</v>
      </c>
      <c r="AP15" s="3154">
        <f t="shared" si="51"/>
        <v>101.21028853478006</v>
      </c>
      <c r="AQ15" s="3154">
        <f t="shared" si="52"/>
        <v>97.605496135391249</v>
      </c>
      <c r="AR15" s="3154">
        <f t="shared" si="53"/>
        <v>104.50160050936765</v>
      </c>
    </row>
    <row r="16" spans="1:44" s="2045" customFormat="1" ht="12.75">
      <c r="A16" s="2906" t="s">
        <v>3358</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100.77336799675089</v>
      </c>
      <c r="AN16" s="3154">
        <f t="shared" si="49"/>
        <v>100.50205789057652</v>
      </c>
      <c r="AO16" s="3154">
        <f t="shared" si="50"/>
        <v>104.01274062841411</v>
      </c>
      <c r="AP16" s="3154">
        <f t="shared" si="51"/>
        <v>100.24790861210386</v>
      </c>
      <c r="AQ16" s="3154">
        <f t="shared" si="52"/>
        <v>96.917382718092782</v>
      </c>
      <c r="AR16" s="3154">
        <f t="shared" si="53"/>
        <v>104.01274062841411</v>
      </c>
    </row>
    <row r="17" spans="1:44" s="2045" customFormat="1" ht="12.75">
      <c r="A17" s="2906" t="s">
        <v>3357</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99.884396864655471</v>
      </c>
      <c r="AN17" s="3154">
        <f t="shared" si="49"/>
        <v>99.763805728187918</v>
      </c>
      <c r="AO17" s="3154">
        <f t="shared" si="50"/>
        <v>103.42322822751726</v>
      </c>
      <c r="AP17" s="3154">
        <f t="shared" si="51"/>
        <v>99.334035485635994</v>
      </c>
      <c r="AQ17" s="3154">
        <f t="shared" si="52"/>
        <v>96.435206684669438</v>
      </c>
      <c r="AR17" s="3154">
        <f t="shared" si="53"/>
        <v>103.42322822751726</v>
      </c>
    </row>
    <row r="18" spans="1:44" s="2045" customFormat="1" ht="12.75">
      <c r="A18" s="2906" t="s">
        <v>3355</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99.268929501744651</v>
      </c>
      <c r="AN18" s="3154">
        <f t="shared" si="49"/>
        <v>99.564676375437045</v>
      </c>
      <c r="AO18" s="3154">
        <f t="shared" si="50"/>
        <v>103.30958768106807</v>
      </c>
      <c r="AP18" s="3154">
        <f t="shared" si="51"/>
        <v>98.653327525708619</v>
      </c>
      <c r="AQ18" s="3154">
        <f t="shared" si="52"/>
        <v>95.926794672903043</v>
      </c>
      <c r="AR18" s="3154">
        <f t="shared" si="53"/>
        <v>103.30958768106807</v>
      </c>
    </row>
    <row r="19" spans="1:44" s="2045" customFormat="1" ht="12.75">
      <c r="A19" s="2906" t="s">
        <v>3346</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98.618050369307227</v>
      </c>
      <c r="AN19" s="3154">
        <f t="shared" si="49"/>
        <v>99.247085701193214</v>
      </c>
      <c r="AO19" s="3154">
        <f t="shared" si="50"/>
        <v>103.07252088303709</v>
      </c>
      <c r="AP19" s="3154">
        <f t="shared" si="51"/>
        <v>97.948101197089571</v>
      </c>
      <c r="AQ19" s="3154">
        <f t="shared" si="52"/>
        <v>95.326239364904154</v>
      </c>
      <c r="AR19" s="3154">
        <f t="shared" si="53"/>
        <v>103.07252088303709</v>
      </c>
    </row>
    <row r="20" spans="1:44" s="2045" customFormat="1" ht="12.75">
      <c r="A20" s="2906" t="s">
        <v>2811</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97.709353382846743</v>
      </c>
      <c r="AN20" s="3154">
        <f t="shared" si="49"/>
        <v>99.098438044127022</v>
      </c>
      <c r="AO20" s="3154">
        <f t="shared" si="50"/>
        <v>103.06221466157093</v>
      </c>
      <c r="AP20" s="3154">
        <f t="shared" si="51"/>
        <v>96.930332703700714</v>
      </c>
      <c r="AQ20" s="3154">
        <f t="shared" si="52"/>
        <v>94.307716031761146</v>
      </c>
      <c r="AR20" s="3154">
        <f t="shared" si="53"/>
        <v>103.06221466157093</v>
      </c>
    </row>
    <row r="21" spans="1:44" s="2045" customFormat="1" ht="12.75">
      <c r="A21" s="2906" t="s">
        <v>2812</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96.847411421198089</v>
      </c>
      <c r="AN21" s="3154">
        <f t="shared" si="49"/>
        <v>98.664315057872386</v>
      </c>
      <c r="AO21" s="3154">
        <f t="shared" si="50"/>
        <v>102.68229018787579</v>
      </c>
      <c r="AP21" s="3154">
        <f t="shared" si="51"/>
        <v>96.008649666898478</v>
      </c>
      <c r="AQ21" s="3154">
        <f t="shared" si="52"/>
        <v>93.70798492822054</v>
      </c>
      <c r="AR21" s="3154">
        <f t="shared" si="53"/>
        <v>102.68229018787579</v>
      </c>
    </row>
    <row r="22" spans="1:44" s="2045" customFormat="1" ht="12.75">
      <c r="A22" s="2906" t="s">
        <v>2813</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95.860052876569426</v>
      </c>
      <c r="AN22" s="3154">
        <f t="shared" si="49"/>
        <v>98.428087647518353</v>
      </c>
      <c r="AO22" s="3154">
        <f t="shared" si="50"/>
        <v>102.61046286387109</v>
      </c>
      <c r="AP22" s="3154">
        <f t="shared" si="51"/>
        <v>94.898339099435077</v>
      </c>
      <c r="AQ22" s="3154">
        <f t="shared" si="52"/>
        <v>93.195410172273029</v>
      </c>
      <c r="AR22" s="3154">
        <f t="shared" si="53"/>
        <v>102.61046286387109</v>
      </c>
    </row>
    <row r="23" spans="1:44" s="2045" customFormat="1" ht="12.75">
      <c r="A23" s="2906" t="s">
        <v>2814</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95.411618270697161</v>
      </c>
      <c r="AN23" s="3154">
        <f t="shared" si="49"/>
        <v>98.02618030825451</v>
      </c>
      <c r="AO23" s="3154">
        <f t="shared" si="50"/>
        <v>102.36478737417308</v>
      </c>
      <c r="AP23" s="3154">
        <f t="shared" si="51"/>
        <v>94.445003084628866</v>
      </c>
      <c r="AQ23" s="3154">
        <f t="shared" si="52"/>
        <v>92.750209168265357</v>
      </c>
      <c r="AR23" s="3154">
        <f t="shared" si="53"/>
        <v>102.36478737417308</v>
      </c>
    </row>
    <row r="24" spans="1:44" s="2929" customFormat="1" ht="14.25" thickBot="1">
      <c r="A24" s="2919" t="s">
        <v>2815</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94.541833403386008</v>
      </c>
      <c r="AN24" s="3161">
        <f t="shared" si="49"/>
        <v>97.325437160697476</v>
      </c>
      <c r="AO24" s="3161">
        <f t="shared" si="50"/>
        <v>101.94680547173894</v>
      </c>
      <c r="AP24" s="3161">
        <f t="shared" si="51"/>
        <v>93.556219004090011</v>
      </c>
      <c r="AQ24" s="3161">
        <f t="shared" si="52"/>
        <v>91.82279889938161</v>
      </c>
      <c r="AR24" s="3161">
        <f t="shared" si="53"/>
        <v>101.94680547173894</v>
      </c>
    </row>
    <row r="25" spans="1:44" ht="14.25" thickTop="1"/>
    <row r="26" spans="1:44">
      <c r="A26" s="3144" t="s">
        <v>3372</v>
      </c>
    </row>
    <row r="27" spans="1:44">
      <c r="I27" s="1405" t="s">
        <v>2816</v>
      </c>
    </row>
    <row r="29" spans="1:44" s="2009" customFormat="1" ht="12.75">
      <c r="B29" s="2930" t="s">
        <v>3370</v>
      </c>
      <c r="C29" s="2931"/>
      <c r="D29" s="2931"/>
      <c r="E29" s="2931"/>
      <c r="F29" s="2931"/>
      <c r="G29" s="2931"/>
      <c r="H29" s="2931"/>
      <c r="I29" s="2931"/>
      <c r="J29" s="2897"/>
      <c r="K29" s="2931" t="s">
        <v>2817</v>
      </c>
      <c r="L29" s="2931"/>
      <c r="M29" s="2931"/>
      <c r="N29" s="2931"/>
      <c r="O29" s="2931"/>
      <c r="P29" s="2931"/>
      <c r="Q29" s="2897"/>
      <c r="R29" s="3494" t="s">
        <v>2818</v>
      </c>
      <c r="S29" s="3495"/>
      <c r="T29" s="3495"/>
      <c r="U29" s="3495"/>
      <c r="V29" s="3495"/>
      <c r="W29" s="3495"/>
      <c r="X29" s="2897"/>
      <c r="Y29" s="3494" t="s">
        <v>2819</v>
      </c>
      <c r="Z29" s="3495"/>
      <c r="AA29" s="3495"/>
      <c r="AB29" s="3495"/>
      <c r="AC29" s="3495"/>
      <c r="AD29" s="3495"/>
    </row>
    <row r="30" spans="1:44" s="2010" customFormat="1" ht="14.25" thickBot="1">
      <c r="B30" s="2882"/>
      <c r="C30" s="2883"/>
      <c r="D30" s="2011" t="s">
        <v>2820</v>
      </c>
      <c r="E30" s="2012" t="s">
        <v>2821</v>
      </c>
      <c r="F30" s="2012" t="s">
        <v>2822</v>
      </c>
      <c r="G30" s="2012" t="s">
        <v>2823</v>
      </c>
      <c r="H30" s="2012"/>
      <c r="I30" s="2012" t="s">
        <v>2824</v>
      </c>
      <c r="J30" s="2884"/>
      <c r="K30" s="2011" t="s">
        <v>2820</v>
      </c>
      <c r="L30" s="2012" t="s">
        <v>2821</v>
      </c>
      <c r="M30" s="2012" t="s">
        <v>2822</v>
      </c>
      <c r="N30" s="2012" t="s">
        <v>2823</v>
      </c>
      <c r="O30" s="2012"/>
      <c r="P30" s="2012" t="s">
        <v>2824</v>
      </c>
      <c r="Q30" s="2884"/>
      <c r="R30" s="2011" t="s">
        <v>2820</v>
      </c>
      <c r="S30" s="2012" t="s">
        <v>2821</v>
      </c>
      <c r="T30" s="2012" t="s">
        <v>2822</v>
      </c>
      <c r="U30" s="2012" t="s">
        <v>2823</v>
      </c>
      <c r="V30" s="2012"/>
      <c r="W30" s="2012" t="s">
        <v>2824</v>
      </c>
      <c r="X30" s="2884"/>
      <c r="Y30" s="2011" t="s">
        <v>2820</v>
      </c>
      <c r="Z30" s="2012" t="s">
        <v>2821</v>
      </c>
      <c r="AA30" s="2012" t="s">
        <v>2822</v>
      </c>
      <c r="AB30" s="2012" t="s">
        <v>2823</v>
      </c>
      <c r="AC30" s="2012"/>
      <c r="AD30" s="2012" t="s">
        <v>2824</v>
      </c>
      <c r="AG30" t="s">
        <v>673</v>
      </c>
      <c r="AH30" t="s">
        <v>21</v>
      </c>
      <c r="AI30" t="s">
        <v>3397</v>
      </c>
      <c r="AJ30"/>
      <c r="AK30" t="s">
        <v>3398</v>
      </c>
      <c r="AN30" t="s">
        <v>673</v>
      </c>
      <c r="AO30" t="s">
        <v>21</v>
      </c>
      <c r="AP30" t="s">
        <v>3397</v>
      </c>
      <c r="AQ30"/>
      <c r="AR30" t="s">
        <v>3398</v>
      </c>
    </row>
    <row r="31" spans="1:44" s="2887" customFormat="1" ht="12.75">
      <c r="A31" s="2885" t="s">
        <v>2825</v>
      </c>
      <c r="B31" s="2886"/>
      <c r="E31" s="2887">
        <f t="shared" ref="E31:G31" si="115">ROUND(AVERAGEIF(E32:E52,"&lt;&gt;0"),2)</f>
        <v>0.09</v>
      </c>
      <c r="F31" s="2887">
        <f t="shared" si="115"/>
        <v>0.01</v>
      </c>
      <c r="G31" s="2887">
        <f t="shared" si="115"/>
        <v>0.24</v>
      </c>
      <c r="I31" s="2887">
        <f>F31</f>
        <v>0.01</v>
      </c>
      <c r="J31" s="2888"/>
      <c r="K31" s="2889"/>
      <c r="L31" s="2890">
        <f t="shared" ref="L31:N31" si="116">ROUND(AVERAGEIF(L32:L52,"&lt;&gt;0"),4)</f>
        <v>8.9999999999999998E-4</v>
      </c>
      <c r="M31" s="2890">
        <f t="shared" si="116"/>
        <v>1E-4</v>
      </c>
      <c r="N31" s="2890">
        <f t="shared" si="116"/>
        <v>2.3999999999999998E-3</v>
      </c>
      <c r="O31" s="2890"/>
      <c r="P31" s="2890">
        <f>M31</f>
        <v>1E-4</v>
      </c>
      <c r="Q31" s="2888"/>
      <c r="R31" s="2891"/>
      <c r="S31" s="2892">
        <f>ROUND(SUMPRODUCT(PRODUCT(1+L32:L52)),4)</f>
        <v>1.0153000000000001</v>
      </c>
      <c r="T31" s="2892">
        <f t="shared" ref="T31:U31" si="117">ROUND(SUMPRODUCT(PRODUCT(1+M32:M52)),4)</f>
        <v>1.0016</v>
      </c>
      <c r="U31" s="2892">
        <f t="shared" si="117"/>
        <v>1.044</v>
      </c>
      <c r="V31" s="2892"/>
      <c r="W31" s="2891">
        <f>T31</f>
        <v>1.0016</v>
      </c>
      <c r="X31" s="2888"/>
      <c r="Y31" s="2893"/>
      <c r="Z31" s="2894">
        <f t="shared" ref="Z31:AB31" si="118">ROUND(AVERAGEIF(Z32:Z52,"&lt;&gt;0"),4)</f>
        <v>3.3E-3</v>
      </c>
      <c r="AA31" s="2895">
        <f t="shared" si="118"/>
        <v>2.7000000000000001E-3</v>
      </c>
      <c r="AB31" s="2893">
        <f t="shared" si="118"/>
        <v>6.4999999999999997E-3</v>
      </c>
      <c r="AC31" s="2896"/>
      <c r="AD31" s="2893">
        <f>AA31</f>
        <v>2.7000000000000001E-3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3395</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101.18</v>
      </c>
      <c r="AH33" s="3154">
        <f t="shared" ref="AH33:AH50" si="130">$AG$52*T33</f>
        <v>99.68</v>
      </c>
      <c r="AI33" s="3154">
        <f t="shared" ref="AI33:AI50" si="131">$AG$52*U33</f>
        <v>103.38000000000001</v>
      </c>
      <c r="AJ33" s="3156"/>
      <c r="AK33" s="3154">
        <f t="shared" ref="AK33:AK50" si="132">$AG$52*W33</f>
        <v>99.68</v>
      </c>
      <c r="AN33" s="3159">
        <v>100</v>
      </c>
      <c r="AO33" s="3159">
        <v>100</v>
      </c>
      <c r="AP33" s="3159">
        <v>100</v>
      </c>
      <c r="AQ33" s="3159"/>
      <c r="AR33" s="3159">
        <v>100</v>
      </c>
    </row>
    <row r="34" spans="1:44" s="2045" customFormat="1" ht="12.75">
      <c r="A34" s="2040" t="s">
        <v>3394</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101.18</v>
      </c>
      <c r="AH34" s="3154">
        <f t="shared" si="130"/>
        <v>99.68</v>
      </c>
      <c r="AI34" s="3154">
        <f t="shared" si="131"/>
        <v>103.38000000000001</v>
      </c>
      <c r="AJ34" s="3156"/>
      <c r="AK34" s="3154">
        <f t="shared" si="132"/>
        <v>99.68</v>
      </c>
      <c r="AN34" s="3154">
        <f>AN33/(1+E33/100)</f>
        <v>100</v>
      </c>
      <c r="AO34" s="3154">
        <f t="shared" ref="AO34:AR34" si="140">AO33/(1+F33/100)</f>
        <v>100</v>
      </c>
      <c r="AP34" s="3154">
        <f t="shared" si="140"/>
        <v>100</v>
      </c>
      <c r="AQ34" s="3154"/>
      <c r="AR34" s="3154">
        <f t="shared" si="140"/>
        <v>100</v>
      </c>
    </row>
    <row r="35" spans="1:44" s="2917" customFormat="1" ht="12.75">
      <c r="A35" s="2908" t="s">
        <v>3402</v>
      </c>
      <c r="B35" s="2909">
        <v>2025</v>
      </c>
      <c r="C35" s="2910">
        <v>2</v>
      </c>
      <c r="D35" s="2911"/>
      <c r="E35" s="2911">
        <v>-0.31</v>
      </c>
      <c r="F35" s="2911">
        <v>-1.03</v>
      </c>
      <c r="G35" s="2911">
        <v>0.03</v>
      </c>
      <c r="H35" s="2912"/>
      <c r="I35" s="2913">
        <f t="shared" ref="I35" si="141">F35</f>
        <v>-1.03</v>
      </c>
      <c r="J35" s="2914"/>
      <c r="K35" s="2915"/>
      <c r="L35" s="2916">
        <f t="shared" ref="L35" si="142">E35/100</f>
        <v>-3.0999999999999999E-3</v>
      </c>
      <c r="M35" s="2916">
        <f t="shared" ref="M35" si="143">F35/100</f>
        <v>-1.03E-2</v>
      </c>
      <c r="N35" s="2916">
        <f t="shared" ref="N35" si="144">G35/100</f>
        <v>2.9999999999999997E-4</v>
      </c>
      <c r="O35" s="2916"/>
      <c r="P35" s="2916">
        <f t="shared" si="123"/>
        <v>-1.03E-2</v>
      </c>
      <c r="Q35" s="2914"/>
      <c r="R35" s="2914"/>
      <c r="S35" s="2914">
        <f>ROUND(IF(项目基本情况!$B$8="出让",SUMPRODUCT(PRODUCT(1+L35:L$52)),SUMPRODUCT(PRODUCT(1+L35:L$51))),4)</f>
        <v>1.0118</v>
      </c>
      <c r="T35" s="2914">
        <f>ROUND(IF(项目基本情况!$B$8="出让",SUMPRODUCT(PRODUCT(1+M35:M$52)),SUMPRODUCT(PRODUCT(1+M35:M$51))),4)</f>
        <v>0.99680000000000002</v>
      </c>
      <c r="U35" s="2914">
        <f>ROUND(IF(项目基本情况!$B$8="出让",SUMPRODUCT(PRODUCT(1+N35:N$52)),SUMPRODUCT(PRODUCT(1+N35:N$51))),4)</f>
        <v>1.0338000000000001</v>
      </c>
      <c r="V35" s="2914"/>
      <c r="W35" s="2914">
        <f t="shared" si="124"/>
        <v>0.99680000000000002</v>
      </c>
      <c r="X35" s="2914"/>
      <c r="Y35" s="2916"/>
      <c r="Z35" s="2932">
        <f t="shared" ref="Z35" si="145">IF(E35=0,0,ROUND(AVERAGE(E35:E48)/100,4))</f>
        <v>-2.9999999999999997E-4</v>
      </c>
      <c r="AA35" s="2933">
        <f t="shared" ref="AA35" si="146">IF(F35=0,0,ROUND(AVERAGE(F35:F48)/100,4))</f>
        <v>-8.0000000000000004E-4</v>
      </c>
      <c r="AB35" s="2916">
        <f t="shared" ref="AB35" si="147">IF(G35=0,0,ROUND(AVERAGE(G35:G48)/100,4))</f>
        <v>5.0000000000000001E-4</v>
      </c>
      <c r="AC35" s="2934"/>
      <c r="AD35" s="2916">
        <f t="shared" si="128"/>
        <v>-8.0000000000000004E-4</v>
      </c>
      <c r="AG35" s="3155">
        <f t="shared" si="129"/>
        <v>101.18</v>
      </c>
      <c r="AH35" s="3155">
        <f t="shared" si="130"/>
        <v>99.68</v>
      </c>
      <c r="AI35" s="3155">
        <f t="shared" si="131"/>
        <v>103.38000000000001</v>
      </c>
      <c r="AJ35" s="3157"/>
      <c r="AK35" s="3155">
        <f t="shared" si="132"/>
        <v>99.68</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3399</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100.31096398836392</v>
      </c>
      <c r="AO36" s="3154">
        <f t="shared" ref="AO36:AO52" si="159">AO35/(1+F35/100)</f>
        <v>101.04071940992219</v>
      </c>
      <c r="AP36" s="3154">
        <f t="shared" ref="AP36:AP52" si="160">AP35/(1+G35/100)</f>
        <v>99.970008997300809</v>
      </c>
      <c r="AQ36" s="3154"/>
      <c r="AR36" s="3154">
        <f t="shared" ref="AR36:AR52" si="161">AR35/(1+I35/100)</f>
        <v>101.04071940992219</v>
      </c>
    </row>
    <row r="37" spans="1:44" s="2045" customFormat="1" ht="12.75">
      <c r="A37" s="2040" t="s">
        <v>3400</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101.80753474917682</v>
      </c>
      <c r="AO37" s="3154">
        <f t="shared" si="159"/>
        <v>102.04071845073943</v>
      </c>
      <c r="AP37" s="3154">
        <f t="shared" si="160"/>
        <v>100.48246959222114</v>
      </c>
      <c r="AQ37" s="3154"/>
      <c r="AR37" s="3154">
        <f t="shared" si="161"/>
        <v>102.04071845073943</v>
      </c>
    </row>
    <row r="38" spans="1:44" s="2045" customFormat="1" ht="12.75">
      <c r="A38" s="2040" t="s">
        <v>3364</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102.4323722197171</v>
      </c>
      <c r="AO38" s="3154">
        <f t="shared" si="159"/>
        <v>102.7703882070092</v>
      </c>
      <c r="AP38" s="3154">
        <f t="shared" si="160"/>
        <v>101.37456577100599</v>
      </c>
      <c r="AQ38" s="3154"/>
      <c r="AR38" s="3154">
        <f t="shared" si="161"/>
        <v>102.7703882070092</v>
      </c>
    </row>
    <row r="39" spans="1:44" s="2045" customFormat="1" ht="12.75">
      <c r="A39" s="2906" t="s">
        <v>3368</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103.11291747505244</v>
      </c>
      <c r="AO39" s="3154">
        <f t="shared" si="159"/>
        <v>103.30758766285605</v>
      </c>
      <c r="AP39" s="3154">
        <f t="shared" si="160"/>
        <v>104.36998432101923</v>
      </c>
      <c r="AQ39" s="3154"/>
      <c r="AR39" s="3154">
        <f t="shared" si="161"/>
        <v>103.30758766285605</v>
      </c>
    </row>
    <row r="40" spans="1:44" s="2045" customFormat="1" ht="12.75">
      <c r="A40" s="2906" t="s">
        <v>3365</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103.43356151575126</v>
      </c>
      <c r="AO40" s="3154">
        <f t="shared" si="159"/>
        <v>103.7120647152455</v>
      </c>
      <c r="AP40" s="3154">
        <f t="shared" si="160"/>
        <v>103.10183179000221</v>
      </c>
      <c r="AQ40" s="3154"/>
      <c r="AR40" s="3154">
        <f t="shared" si="161"/>
        <v>103.7120647152455</v>
      </c>
    </row>
    <row r="41" spans="1:44" s="2045" customFormat="1" ht="12.75">
      <c r="A41" s="2906" t="s">
        <v>3363</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103.17562245960227</v>
      </c>
      <c r="AO41" s="3154">
        <f t="shared" si="159"/>
        <v>103.29886923829234</v>
      </c>
      <c r="AP41" s="3154">
        <f t="shared" si="160"/>
        <v>103.75549138573231</v>
      </c>
      <c r="AQ41" s="3154"/>
      <c r="AR41" s="3154">
        <f t="shared" si="161"/>
        <v>103.29886923829234</v>
      </c>
    </row>
    <row r="42" spans="1:44" s="2045" customFormat="1" ht="12.75">
      <c r="A42" s="2906" t="s">
        <v>3361</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103.10345004457108</v>
      </c>
      <c r="AO42" s="3154">
        <f t="shared" si="159"/>
        <v>103.20598385282482</v>
      </c>
      <c r="AP42" s="3154">
        <f t="shared" si="160"/>
        <v>103.72437407351026</v>
      </c>
      <c r="AQ42" s="3154"/>
      <c r="AR42" s="3154">
        <f t="shared" si="161"/>
        <v>103.20598385282482</v>
      </c>
    </row>
    <row r="43" spans="1:44" s="2045" customFormat="1" ht="12.75">
      <c r="A43" s="2906" t="s">
        <v>3360</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102.74384658153569</v>
      </c>
      <c r="AO43" s="3154">
        <f t="shared" si="159"/>
        <v>103.03083143937786</v>
      </c>
      <c r="AP43" s="3154">
        <f t="shared" si="160"/>
        <v>103.18779752637312</v>
      </c>
      <c r="AQ43" s="3154"/>
      <c r="AR43" s="3154">
        <f t="shared" si="161"/>
        <v>103.03083143937786</v>
      </c>
    </row>
    <row r="44" spans="1:44" s="2045" customFormat="1" ht="12.75">
      <c r="A44" s="2906" t="s">
        <v>3358</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102.23268316570717</v>
      </c>
      <c r="AO44" s="3154">
        <f t="shared" si="159"/>
        <v>102.56926972561261</v>
      </c>
      <c r="AP44" s="3154">
        <f t="shared" si="160"/>
        <v>102.27752753134416</v>
      </c>
      <c r="AQ44" s="3154"/>
      <c r="AR44" s="3154">
        <f t="shared" si="161"/>
        <v>102.56926972561261</v>
      </c>
    </row>
    <row r="45" spans="1:44" s="2045" customFormat="1" ht="12.75">
      <c r="A45" s="2906" t="s">
        <v>3357</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101.67347903103646</v>
      </c>
      <c r="AO45" s="3154">
        <f t="shared" si="159"/>
        <v>101.96766052849449</v>
      </c>
      <c r="AP45" s="3154">
        <f t="shared" si="160"/>
        <v>101.62711400173308</v>
      </c>
      <c r="AQ45" s="3154"/>
      <c r="AR45" s="3154">
        <f t="shared" si="161"/>
        <v>101.96766052849449</v>
      </c>
    </row>
    <row r="46" spans="1:44" s="2045" customFormat="1" ht="12.75">
      <c r="A46" s="2906" t="s">
        <v>3356</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101.21799803985711</v>
      </c>
      <c r="AO46" s="3154">
        <f t="shared" si="159"/>
        <v>101.76413226396656</v>
      </c>
      <c r="AP46" s="3154">
        <f t="shared" si="160"/>
        <v>101.24239290868009</v>
      </c>
      <c r="AQ46" s="3154"/>
      <c r="AR46" s="3154">
        <f t="shared" si="161"/>
        <v>101.76413226396656</v>
      </c>
    </row>
    <row r="47" spans="1:44" s="2045" customFormat="1" ht="12.75">
      <c r="A47" s="2906" t="s">
        <v>3346</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100.9152522830081</v>
      </c>
      <c r="AO47" s="3154">
        <f t="shared" si="159"/>
        <v>101.46986964200475</v>
      </c>
      <c r="AP47" s="3154">
        <f t="shared" si="160"/>
        <v>100.40899822342566</v>
      </c>
      <c r="AQ47" s="3154"/>
      <c r="AR47" s="3154">
        <f t="shared" si="161"/>
        <v>101.46986964200475</v>
      </c>
    </row>
    <row r="48" spans="1:44" s="2045" customFormat="1" ht="12.75">
      <c r="A48" s="2906" t="s">
        <v>2826</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101.02638130244078</v>
      </c>
      <c r="AO48" s="3154">
        <f t="shared" si="159"/>
        <v>101.60195217983853</v>
      </c>
      <c r="AP48" s="3154">
        <f t="shared" si="160"/>
        <v>99.879636151820989</v>
      </c>
      <c r="AQ48" s="3154"/>
      <c r="AR48" s="3154">
        <f t="shared" si="161"/>
        <v>101.60195217983853</v>
      </c>
    </row>
    <row r="49" spans="1:44" s="2045" customFormat="1" ht="12.75">
      <c r="A49" s="2906" t="s">
        <v>2827</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100.42383827280396</v>
      </c>
      <c r="AO49" s="3154">
        <f t="shared" si="159"/>
        <v>101.14679161755951</v>
      </c>
      <c r="AP49" s="3154">
        <f t="shared" si="160"/>
        <v>99.353064907809596</v>
      </c>
      <c r="AQ49" s="3154"/>
      <c r="AR49" s="3154">
        <f t="shared" si="161"/>
        <v>101.14679161755951</v>
      </c>
    </row>
    <row r="50" spans="1:44" s="2045" customFormat="1" ht="12.75">
      <c r="A50" s="2906" t="s">
        <v>2828</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99.844738787834515</v>
      </c>
      <c r="AO50" s="3154">
        <f t="shared" si="159"/>
        <v>101.06593886646635</v>
      </c>
      <c r="AP50" s="3154">
        <f t="shared" si="160"/>
        <v>98.682027123370688</v>
      </c>
      <c r="AQ50" s="3154"/>
      <c r="AR50" s="3154">
        <f t="shared" si="161"/>
        <v>101.06593886646635</v>
      </c>
    </row>
    <row r="51" spans="1:44" s="2045" customFormat="1" ht="12.75">
      <c r="A51" s="2906" t="s">
        <v>2829</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99.377663768124336</v>
      </c>
      <c r="AO51" s="3154">
        <f t="shared" si="159"/>
        <v>100.78374438219622</v>
      </c>
      <c r="AP51" s="3154">
        <f t="shared" si="160"/>
        <v>97.7921188419093</v>
      </c>
      <c r="AQ51" s="3154"/>
      <c r="AR51" s="3154">
        <f t="shared" si="161"/>
        <v>100.78374438219622</v>
      </c>
    </row>
    <row r="52" spans="1:44" s="2929" customFormat="1" ht="14.25" thickBot="1">
      <c r="A52" s="2919" t="s">
        <v>2815</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98.83407634820918</v>
      </c>
      <c r="AO52" s="3161">
        <f t="shared" si="159"/>
        <v>100.32226197710156</v>
      </c>
      <c r="AP52" s="3161">
        <f t="shared" si="160"/>
        <v>96.728109635914251</v>
      </c>
      <c r="AQ52" s="3161"/>
      <c r="AR52" s="3161">
        <f t="shared" si="161"/>
        <v>100.32226197710156</v>
      </c>
    </row>
    <row r="53" spans="1:44" ht="14.25" thickTop="1"/>
    <row r="54" spans="1:44">
      <c r="A54" s="3144" t="s">
        <v>3371</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G36" sqref="G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9" t="s">
        <v>452</v>
      </c>
      <c r="C1" s="3499"/>
      <c r="D1" s="3499"/>
      <c r="E1" s="3499"/>
      <c r="F1" s="3499"/>
      <c r="G1" s="3495" t="s">
        <v>453</v>
      </c>
      <c r="H1" s="3495"/>
      <c r="I1" s="3495"/>
      <c r="J1" s="3495"/>
      <c r="K1" s="3495"/>
      <c r="L1" s="3495"/>
      <c r="N1" s="3495" t="s">
        <v>454</v>
      </c>
      <c r="O1" s="3495"/>
      <c r="P1" s="3495"/>
      <c r="Q1" s="3495"/>
      <c r="S1" s="3495" t="s">
        <v>455</v>
      </c>
      <c r="T1" s="3495"/>
      <c r="U1" s="3495"/>
      <c r="V1" s="3495"/>
      <c r="X1" s="3494" t="s">
        <v>456</v>
      </c>
      <c r="Y1" s="3495"/>
      <c r="Z1" s="3495"/>
      <c r="AA1" s="3495"/>
      <c r="AB1" s="3495"/>
      <c r="AD1" s="3494" t="s">
        <v>457</v>
      </c>
      <c r="AE1" s="3495"/>
      <c r="AF1" s="3495"/>
      <c r="AG1" s="3495"/>
      <c r="AH1" s="3495"/>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7">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8">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7">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8">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G36" sqref="G36"/>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07" t="s">
        <v>2830</v>
      </c>
      <c r="B1" s="3507"/>
      <c r="C1" s="3507"/>
      <c r="D1" s="3507"/>
      <c r="E1" s="3507"/>
      <c r="F1" s="3507"/>
      <c r="G1" s="3508"/>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505"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506"/>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36" sqref="G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45845</v>
      </c>
      <c r="D1" s="1217" t="s">
        <v>603</v>
      </c>
      <c r="E1" s="1212">
        <f>'数据-取费表'!B22</f>
        <v>1.5</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2300</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0" t="str">
        <f>IF(项目基本情况!B9="房地产市场价值","估价结果一览表","结果表-2")</f>
        <v>结果表-2</v>
      </c>
      <c r="B1" s="3190"/>
      <c r="C1" s="3190"/>
      <c r="D1" s="3190"/>
      <c r="E1" s="3190"/>
      <c r="F1" s="3190"/>
      <c r="G1" s="3190"/>
      <c r="H1" s="3190"/>
      <c r="I1" s="3190"/>
    </row>
    <row r="2" spans="1:9" ht="30" customHeight="1" thickTop="1">
      <c r="A2" s="3191" t="s">
        <v>928</v>
      </c>
      <c r="B2" s="3191" t="s">
        <v>929</v>
      </c>
      <c r="C2" s="3191" t="s">
        <v>930</v>
      </c>
      <c r="D2" s="3191" t="str">
        <f>结果表!D116</f>
        <v>出让国有建设用地使用权价值</v>
      </c>
      <c r="E2" s="3191"/>
      <c r="F2" s="3191" t="str">
        <f>结果表!F116</f>
        <v>在建建筑物价值</v>
      </c>
      <c r="G2" s="3191"/>
      <c r="H2" s="3191" t="str">
        <f>IF(项目基本情况!B9="房地产市场价值","房地产市场价值","房地产价值")</f>
        <v>房地产价值</v>
      </c>
      <c r="I2" s="3191"/>
    </row>
    <row r="3" spans="1:9" ht="15">
      <c r="A3" s="3186"/>
      <c r="B3" s="3186"/>
      <c r="C3" s="3186"/>
      <c r="D3" s="801" t="s">
        <v>925</v>
      </c>
      <c r="E3" s="801" t="s">
        <v>931</v>
      </c>
      <c r="F3" s="801" t="s">
        <v>925</v>
      </c>
      <c r="G3" s="801" t="s">
        <v>926</v>
      </c>
      <c r="H3" s="801" t="s">
        <v>925</v>
      </c>
      <c r="I3" s="801" t="s">
        <v>926</v>
      </c>
    </row>
    <row r="4" spans="1:9" ht="15">
      <c r="A4" s="1403" t="str">
        <f>项目基本情况!S2</f>
        <v>北京市房地产</v>
      </c>
      <c r="B4" s="801">
        <f>项目基本情况!C17</f>
        <v>15367.93</v>
      </c>
      <c r="C4" s="801">
        <f>项目基本情况!C18</f>
        <v>15133.56</v>
      </c>
      <c r="D4" s="801">
        <f ca="1">结果表!D118</f>
        <v>3979</v>
      </c>
      <c r="E4" s="801">
        <f ca="1">结果表!E118</f>
        <v>2590</v>
      </c>
      <c r="F4" s="801">
        <f ca="1">结果表!F118</f>
        <v>4671</v>
      </c>
      <c r="G4" s="801">
        <f ca="1">结果表!G118</f>
        <v>3039</v>
      </c>
      <c r="H4" s="801">
        <f ca="1">结果表!H118</f>
        <v>8650</v>
      </c>
      <c r="I4" s="801">
        <f ca="1">结果表!I118</f>
        <v>5629</v>
      </c>
    </row>
    <row r="5" spans="1:9" ht="30" customHeight="1">
      <c r="A5" s="3186" t="s">
        <v>927</v>
      </c>
      <c r="B5" s="3186"/>
      <c r="C5" s="3186"/>
      <c r="D5" s="3186" t="str">
        <f ca="1">结果表!D119</f>
        <v>叁仟玖佰柒拾玖万元整</v>
      </c>
      <c r="E5" s="3186"/>
      <c r="F5" s="3186" t="str">
        <f ca="1">结果表!F119</f>
        <v>肆仟陆佰柒拾壹万元整</v>
      </c>
      <c r="G5" s="3186"/>
      <c r="H5" s="3186" t="str">
        <f ca="1">结果表!H119</f>
        <v>捌仟陆佰伍拾万元整</v>
      </c>
      <c r="I5" s="3186"/>
    </row>
    <row r="6" spans="1:9" ht="15.75">
      <c r="A6" s="3185" t="str">
        <f>结果表!A120</f>
        <v>估价师知悉的法定优先受偿款</v>
      </c>
      <c r="B6" s="3185"/>
      <c r="C6" s="3185"/>
      <c r="D6" s="3185">
        <f>结果表!D120</f>
        <v>0</v>
      </c>
      <c r="E6" s="3185"/>
      <c r="F6" s="3185"/>
      <c r="G6" s="3185"/>
      <c r="H6" s="3185"/>
      <c r="I6" s="3185"/>
    </row>
    <row r="7" spans="1:9" ht="15">
      <c r="A7" s="3186" t="s">
        <v>927</v>
      </c>
      <c r="B7" s="3186"/>
      <c r="C7" s="3186"/>
      <c r="D7" s="3187" t="str">
        <f>结果表!D121</f>
        <v>零元整</v>
      </c>
      <c r="E7" s="3188"/>
      <c r="F7" s="3188"/>
      <c r="G7" s="3188"/>
      <c r="H7" s="3188"/>
      <c r="I7" s="3189"/>
    </row>
    <row r="8" spans="1:9" ht="15.75">
      <c r="A8" s="3185" t="str">
        <f>结果表!A122</f>
        <v>房地产抵押价值</v>
      </c>
      <c r="B8" s="3185"/>
      <c r="C8" s="3185"/>
      <c r="D8" s="3185">
        <f ca="1">结果表!D122</f>
        <v>8650</v>
      </c>
      <c r="E8" s="3185"/>
      <c r="F8" s="3185"/>
      <c r="G8" s="3185"/>
      <c r="H8" s="3185"/>
      <c r="I8" s="3185"/>
    </row>
    <row r="9" spans="1:9" ht="15">
      <c r="A9" s="3186" t="s">
        <v>927</v>
      </c>
      <c r="B9" s="3186"/>
      <c r="C9" s="3186"/>
      <c r="D9" s="3186" t="str">
        <f ca="1">结果表!D123</f>
        <v>捌仟陆佰伍拾万元整</v>
      </c>
      <c r="E9" s="3186"/>
      <c r="F9" s="3186"/>
      <c r="G9" s="3186"/>
      <c r="H9" s="3186"/>
      <c r="I9" s="3186"/>
    </row>
    <row r="10" spans="1:9" ht="15.75">
      <c r="A10" s="3185" t="str">
        <f>结果表!A124</f>
        <v/>
      </c>
      <c r="B10" s="3185"/>
      <c r="C10" s="3185"/>
      <c r="D10" s="3185" t="str">
        <f>结果表!D124</f>
        <v>——</v>
      </c>
      <c r="E10" s="3185"/>
      <c r="F10" s="3185"/>
      <c r="G10" s="3185"/>
      <c r="H10" s="3185"/>
      <c r="I10" s="3185"/>
    </row>
    <row r="11" spans="1:9" ht="15">
      <c r="A11" s="3186" t="s">
        <v>927</v>
      </c>
      <c r="B11" s="3186"/>
      <c r="C11" s="3186"/>
      <c r="D11" s="3186" t="e">
        <f>结果表!D125</f>
        <v>#VALUE!</v>
      </c>
      <c r="E11" s="3186"/>
      <c r="F11" s="3186"/>
      <c r="G11" s="3186"/>
      <c r="H11" s="3186"/>
      <c r="I11" s="3186"/>
    </row>
    <row r="12" spans="1:9" ht="15.75">
      <c r="A12" s="3185" t="str">
        <f>结果表!A126</f>
        <v/>
      </c>
      <c r="B12" s="3185"/>
      <c r="C12" s="3185"/>
      <c r="D12" s="3185" t="str">
        <f>结果表!D126</f>
        <v>——</v>
      </c>
      <c r="E12" s="3185"/>
      <c r="F12" s="3185"/>
      <c r="G12" s="3185"/>
      <c r="H12" s="3185"/>
      <c r="I12" s="3185"/>
    </row>
    <row r="13" spans="1:9" ht="15.75" thickBot="1">
      <c r="A13" s="3183" t="s">
        <v>927</v>
      </c>
      <c r="B13" s="3183"/>
      <c r="C13" s="3183"/>
      <c r="D13" s="3183" t="e">
        <f>结果表!D127</f>
        <v>#VALUE!</v>
      </c>
      <c r="E13" s="3183"/>
      <c r="F13" s="3183"/>
      <c r="G13" s="3183"/>
      <c r="H13" s="3183"/>
      <c r="I13" s="3183"/>
    </row>
    <row r="14" spans="1:9" ht="15" thickTop="1">
      <c r="A14" s="3184" t="s">
        <v>932</v>
      </c>
      <c r="B14" s="3184"/>
      <c r="C14" s="3184"/>
      <c r="D14" s="3184"/>
      <c r="E14" s="3184"/>
      <c r="F14" s="3184"/>
      <c r="G14" s="3184"/>
      <c r="H14" s="3184"/>
      <c r="I14" s="318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8" t="s">
        <v>949</v>
      </c>
      <c r="B1" s="3198"/>
      <c r="C1" s="3198"/>
      <c r="D1" s="3198"/>
    </row>
    <row r="2" spans="1:4" ht="18">
      <c r="A2" s="3199" t="s">
        <v>933</v>
      </c>
      <c r="B2" s="3199"/>
      <c r="C2" s="3199"/>
      <c r="D2" s="3199"/>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9" t="s">
        <v>939</v>
      </c>
      <c r="B6" s="3199"/>
      <c r="C6" s="3199"/>
      <c r="D6" s="319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0" t="s">
        <v>942</v>
      </c>
      <c r="B11" s="3192"/>
      <c r="C11" s="3192"/>
      <c r="D11" s="3192"/>
    </row>
    <row r="12" spans="1:4" ht="15.75">
      <c r="A12" s="3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2" t="str">
        <f>IF(项目基本情况!B8="抵押","4.本次评估估价师所知悉的法定优先受偿款情况说明如下：","——")</f>
        <v>4.本次评估估价师所知悉的法定优先受偿款情况说明如下：</v>
      </c>
      <c r="B14" s="3197"/>
      <c r="C14" s="3197"/>
      <c r="D14" s="3197"/>
    </row>
    <row r="15" spans="1:4" ht="42" customHeight="1">
      <c r="A15" s="31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2"/>
      <c r="C15" s="3192"/>
      <c r="D15" s="3192"/>
    </row>
    <row r="16" spans="1:4" ht="30" customHeight="1">
      <c r="A16" s="3194" t="s">
        <v>943</v>
      </c>
      <c r="B16" s="3194"/>
      <c r="C16" s="3194"/>
      <c r="D16" s="3194"/>
    </row>
    <row r="17" spans="1:4" ht="144" customHeight="1">
      <c r="A17" s="3194" t="s">
        <v>944</v>
      </c>
      <c r="B17" s="3194"/>
      <c r="C17" s="3194"/>
      <c r="D17" s="3194"/>
    </row>
    <row r="18" spans="1:4" ht="15.75" customHeight="1">
      <c r="A18" s="3192" t="str">
        <f>IF(项目基本情况!B8="抵押",结果表!K120,"——")</f>
        <v>故，本次评估不存在估价师知悉的法定优先受偿款</v>
      </c>
      <c r="B18" s="3192"/>
      <c r="C18" s="3192"/>
      <c r="D18" s="3192"/>
    </row>
    <row r="19" spans="1:4" ht="46.5" customHeight="1">
      <c r="A19" s="3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2"/>
      <c r="C19" s="3192"/>
      <c r="D19" s="3192"/>
    </row>
    <row r="20" spans="1:4" ht="57.75" customHeight="1">
      <c r="A20" s="31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2"/>
      <c r="C20" s="3192"/>
      <c r="D20" s="3192"/>
    </row>
    <row r="21" spans="1:4" ht="57.75" customHeight="1">
      <c r="A21" s="31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5"/>
      <c r="C21" s="3195"/>
      <c r="D21" s="3195"/>
    </row>
    <row r="22" spans="1:4" ht="18.75" customHeight="1">
      <c r="A22" s="3196" t="s">
        <v>945</v>
      </c>
      <c r="B22" s="3196"/>
      <c r="C22" s="3196"/>
      <c r="D22" s="319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3">
        <v>42551</v>
      </c>
      <c r="D31" s="31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6" t="s">
        <v>956</v>
      </c>
      <c r="B15" s="3201" t="s">
        <v>109</v>
      </c>
      <c r="C15" s="3202"/>
    </row>
    <row r="16" spans="1:7" ht="13.5">
      <c r="A16" s="3207"/>
      <c r="B16" s="3201" t="s">
        <v>42</v>
      </c>
      <c r="C16" s="3202"/>
    </row>
    <row r="17" spans="1:3" ht="13.5">
      <c r="A17" s="3207"/>
      <c r="B17" s="3204" t="s">
        <v>957</v>
      </c>
      <c r="C17" s="1429" t="s">
        <v>956</v>
      </c>
    </row>
    <row r="18" spans="1:3" ht="13.5">
      <c r="A18" s="3207"/>
      <c r="B18" s="3204"/>
      <c r="C18" s="1429" t="s">
        <v>958</v>
      </c>
    </row>
    <row r="19" spans="1:3" ht="13.5">
      <c r="A19" s="3207"/>
      <c r="B19" s="3204"/>
      <c r="C19" s="1429" t="s">
        <v>959</v>
      </c>
    </row>
    <row r="20" spans="1:3" ht="13.5">
      <c r="A20" s="3208"/>
      <c r="B20" s="3203" t="s">
        <v>960</v>
      </c>
      <c r="C20" s="3202"/>
    </row>
    <row r="21" spans="1:3" ht="13.5">
      <c r="A21" s="1430" t="s">
        <v>961</v>
      </c>
      <c r="B21" s="1431"/>
      <c r="C21" s="1432"/>
    </row>
    <row r="22" spans="1:3" ht="13.5">
      <c r="A22" s="3205" t="s">
        <v>962</v>
      </c>
      <c r="B22" s="3203" t="s">
        <v>963</v>
      </c>
      <c r="C22" s="3202"/>
    </row>
    <row r="23" spans="1:3" ht="13.5">
      <c r="A23" s="3205"/>
      <c r="B23" s="3203" t="s">
        <v>964</v>
      </c>
      <c r="C23" s="3202"/>
    </row>
    <row r="24" spans="1:3" ht="13.5">
      <c r="A24" s="3205"/>
      <c r="B24" s="3203" t="s">
        <v>965</v>
      </c>
      <c r="C24" s="3202"/>
    </row>
    <row r="25" spans="1:3" ht="13.5">
      <c r="A25" s="3205"/>
      <c r="B25" s="3204" t="s">
        <v>966</v>
      </c>
      <c r="C25" s="1429" t="s">
        <v>967</v>
      </c>
    </row>
    <row r="26" spans="1:3" ht="13.5">
      <c r="A26" s="3205"/>
      <c r="B26" s="3204"/>
      <c r="C26" s="1429" t="s">
        <v>968</v>
      </c>
    </row>
    <row r="27" spans="1:3" ht="13.5">
      <c r="A27" s="3205"/>
      <c r="B27" s="3204"/>
      <c r="C27" s="1429" t="s">
        <v>969</v>
      </c>
    </row>
    <row r="28" spans="1:3" ht="13.5">
      <c r="A28" s="3205"/>
      <c r="B28" s="3204"/>
      <c r="C28" s="1429" t="s">
        <v>970</v>
      </c>
    </row>
    <row r="29" spans="1:3" ht="13.5">
      <c r="A29" s="3205"/>
      <c r="B29" s="3204"/>
      <c r="C29" s="1429" t="s">
        <v>971</v>
      </c>
    </row>
    <row r="30" spans="1:3" ht="13.5">
      <c r="A30" s="3205"/>
      <c r="B30" s="3204"/>
      <c r="C30" s="1429" t="s">
        <v>972</v>
      </c>
    </row>
    <row r="31" spans="1:3" ht="13.5">
      <c r="A31" s="3205"/>
      <c r="B31" s="3204"/>
      <c r="C31" s="1429" t="s">
        <v>973</v>
      </c>
    </row>
    <row r="32" spans="1:3" ht="13.5">
      <c r="A32" s="3205"/>
      <c r="B32" s="3204"/>
      <c r="C32" s="1429" t="s">
        <v>974</v>
      </c>
    </row>
    <row r="33" spans="1:3" ht="13.5">
      <c r="A33" s="3205"/>
      <c r="B33" s="320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45848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9" t="s">
        <v>2160</v>
      </c>
      <c r="B17" s="3209"/>
      <c r="C17" s="3209"/>
      <c r="D17" s="3209"/>
      <c r="E17" s="3209"/>
      <c r="F17" s="3209"/>
      <c r="G17" s="3209"/>
      <c r="H17" s="3209"/>
    </row>
    <row r="18" spans="1:8" ht="24" customHeight="1">
      <c r="A18" s="3210" t="s">
        <v>2161</v>
      </c>
      <c r="B18" s="3210"/>
      <c r="C18" s="3210"/>
      <c r="D18" s="2160"/>
      <c r="E18" s="3211" t="s">
        <v>2162</v>
      </c>
      <c r="F18" s="3210"/>
      <c r="G18" s="321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2025-07-10T01:27:47Z</dcterms:modified>
</cp:coreProperties>
</file>