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9" i="1"/>
  <c r="I20"/>
  <c r="I28"/>
  <c r="I27"/>
  <c r="E22"/>
  <c r="G11"/>
  <c r="E26"/>
  <c r="E18"/>
  <c r="E17" s="1"/>
  <c r="E23" s="1"/>
  <c r="E16"/>
  <c r="C8"/>
  <c r="C10"/>
  <c r="J10"/>
  <c r="E28" l="1"/>
  <c r="E21"/>
  <c r="E20"/>
  <c r="E19"/>
  <c r="C12" l="1"/>
  <c r="C6"/>
  <c r="C11"/>
  <c r="C7"/>
  <c r="E14"/>
  <c r="C13"/>
  <c r="C4"/>
  <c r="E24" l="1"/>
  <c r="E13"/>
  <c r="D24" l="1"/>
  <c r="E25"/>
  <c r="E12"/>
  <c r="E15" s="1"/>
  <c r="D28" l="1"/>
  <c r="E31"/>
  <c r="D31" s="1"/>
  <c r="E27"/>
  <c r="E34"/>
  <c r="E32"/>
  <c r="D32" s="1"/>
  <c r="E30"/>
  <c r="E29" l="1"/>
  <c r="D26"/>
  <c r="D29" s="1"/>
  <c r="E33"/>
  <c r="D30"/>
  <c r="D33" s="1"/>
  <c r="D23"/>
  <c r="D25" l="1"/>
  <c r="E35"/>
  <c r="D35" s="1"/>
</calcChain>
</file>

<file path=xl/sharedStrings.xml><?xml version="1.0" encoding="utf-8"?>
<sst xmlns="http://schemas.openxmlformats.org/spreadsheetml/2006/main" count="67" uniqueCount="64">
  <si>
    <t>面积
（平方米）</t>
    <phoneticPr fontId="1" type="noConversion"/>
  </si>
  <si>
    <t>单价（元）</t>
    <phoneticPr fontId="6" type="noConversion"/>
  </si>
  <si>
    <t>销售收入
（元）</t>
    <phoneticPr fontId="1" type="noConversion"/>
  </si>
  <si>
    <t>备注说明</t>
  </si>
  <si>
    <t>（计算依据）</t>
  </si>
  <si>
    <t>商业
（可售）</t>
    <phoneticPr fontId="1" type="noConversion"/>
  </si>
  <si>
    <t>配套公建
（不可售）</t>
    <phoneticPr fontId="1" type="noConversion"/>
  </si>
  <si>
    <t>按建筑面积11%计算</t>
    <phoneticPr fontId="1" type="noConversion"/>
  </si>
  <si>
    <t>住宅
（可售）</t>
    <phoneticPr fontId="1" type="noConversion"/>
  </si>
  <si>
    <t>地下</t>
    <phoneticPr fontId="1" type="noConversion"/>
  </si>
  <si>
    <t>设备物业用房
（公摊）</t>
    <phoneticPr fontId="1" type="noConversion"/>
  </si>
  <si>
    <t>车位
（可售）</t>
    <phoneticPr fontId="1" type="noConversion"/>
  </si>
  <si>
    <t>人防车位
（不可售）</t>
    <phoneticPr fontId="1" type="noConversion"/>
  </si>
  <si>
    <t>公摊以地下设备物业用房按住宅与地上建筑面积比例提取</t>
    <phoneticPr fontId="1" type="noConversion"/>
  </si>
  <si>
    <t>公摊以地下设备物业用房按商业与地上建筑面积比例提取</t>
    <phoneticPr fontId="1" type="noConversion"/>
  </si>
  <si>
    <t>人防车位租金暂不计</t>
    <phoneticPr fontId="1" type="noConversion"/>
  </si>
  <si>
    <t>建安成本</t>
    <phoneticPr fontId="6" type="noConversion"/>
  </si>
  <si>
    <r>
      <t>1.</t>
    </r>
    <r>
      <rPr>
        <sz val="11"/>
        <color rgb="FF000000"/>
        <rFont val="宋体"/>
        <family val="3"/>
        <charset val="134"/>
      </rPr>
      <t>前期工程费</t>
    </r>
    <phoneticPr fontId="6" type="noConversion"/>
  </si>
  <si>
    <t>按北辰要求242元/平米暂估</t>
    <phoneticPr fontId="1" type="noConversion"/>
  </si>
  <si>
    <t>2.建安工程费</t>
  </si>
  <si>
    <t>按北辰要求</t>
    <phoneticPr fontId="1" type="noConversion"/>
  </si>
  <si>
    <t>住宅及配套公建</t>
    <phoneticPr fontId="1" type="noConversion"/>
  </si>
  <si>
    <t>商业</t>
    <phoneticPr fontId="1" type="noConversion"/>
  </si>
  <si>
    <t>地下车库</t>
    <phoneticPr fontId="1" type="noConversion"/>
  </si>
  <si>
    <r>
      <t>3.</t>
    </r>
    <r>
      <rPr>
        <sz val="11"/>
        <color rgb="FF000000"/>
        <rFont val="宋体"/>
        <family val="3"/>
        <charset val="134"/>
      </rPr>
      <t>市政</t>
    </r>
    <phoneticPr fontId="1" type="noConversion"/>
  </si>
  <si>
    <t>工程直接成本合计</t>
  </si>
  <si>
    <t>不可预见费</t>
    <phoneticPr fontId="1" type="noConversion"/>
  </si>
  <si>
    <r>
      <rPr>
        <b/>
        <sz val="11"/>
        <color rgb="FF000000"/>
        <rFont val="宋体"/>
        <family val="3"/>
        <charset val="134"/>
      </rPr>
      <t>按工程费的</t>
    </r>
    <r>
      <rPr>
        <b/>
        <sz val="11"/>
        <color rgb="FF000000"/>
        <rFont val="Times New Roman"/>
        <family val="1"/>
      </rPr>
      <t>3%</t>
    </r>
    <r>
      <rPr>
        <b/>
        <sz val="11"/>
        <color rgb="FF000000"/>
        <rFont val="宋体"/>
        <family val="3"/>
        <charset val="134"/>
      </rPr>
      <t>计取</t>
    </r>
    <phoneticPr fontId="1" type="noConversion"/>
  </si>
  <si>
    <t>建安成本合计</t>
  </si>
  <si>
    <t>期间损益</t>
  </si>
  <si>
    <t>管理费用</t>
  </si>
  <si>
    <t>按销售收入2.5%暂估</t>
    <phoneticPr fontId="1" type="noConversion"/>
  </si>
  <si>
    <t>销售费用</t>
  </si>
  <si>
    <t>按销售收入2.5%暂估</t>
    <phoneticPr fontId="6" type="noConversion"/>
  </si>
  <si>
    <t>财务成本</t>
    <phoneticPr fontId="1" type="noConversion"/>
  </si>
  <si>
    <t>按（建安费+市政费用-注册资本2亿）*5%暂估</t>
    <phoneticPr fontId="1" type="noConversion"/>
  </si>
  <si>
    <t>期间损益合计</t>
  </si>
  <si>
    <t>税金</t>
  </si>
  <si>
    <t>销售税费</t>
    <phoneticPr fontId="1" type="noConversion"/>
  </si>
  <si>
    <r>
      <rPr>
        <b/>
        <sz val="11"/>
        <color rgb="FF000000"/>
        <rFont val="宋体"/>
        <family val="3"/>
        <charset val="134"/>
      </rPr>
      <t>按销售收入的</t>
    </r>
    <r>
      <rPr>
        <b/>
        <sz val="11"/>
        <color rgb="FF000000"/>
        <rFont val="Times New Roman"/>
        <family val="1"/>
      </rPr>
      <t>2%</t>
    </r>
    <r>
      <rPr>
        <b/>
        <sz val="11"/>
        <color rgb="FF000000"/>
        <rFont val="宋体"/>
        <family val="3"/>
        <charset val="134"/>
      </rPr>
      <t>预缴</t>
    </r>
    <phoneticPr fontId="1" type="noConversion"/>
  </si>
  <si>
    <t>土地增值税预缴</t>
    <phoneticPr fontId="1" type="noConversion"/>
  </si>
  <si>
    <t>企业所得税预缴</t>
    <phoneticPr fontId="1" type="noConversion"/>
  </si>
  <si>
    <r>
      <rPr>
        <b/>
        <sz val="11"/>
        <color rgb="FF000000"/>
        <rFont val="宋体"/>
        <family val="3"/>
        <charset val="134"/>
      </rPr>
      <t>按销售收入的2</t>
    </r>
    <r>
      <rPr>
        <b/>
        <sz val="11"/>
        <color rgb="FF000000"/>
        <rFont val="Times New Roman"/>
        <family val="1"/>
      </rPr>
      <t>%</t>
    </r>
    <r>
      <rPr>
        <b/>
        <sz val="11"/>
        <color rgb="FF000000"/>
        <rFont val="宋体"/>
        <family val="3"/>
        <charset val="134"/>
      </rPr>
      <t>预缴</t>
    </r>
    <phoneticPr fontId="1" type="noConversion"/>
  </si>
  <si>
    <t>税金合计</t>
  </si>
  <si>
    <t>利润总计</t>
    <phoneticPr fontId="6" type="noConversion"/>
  </si>
  <si>
    <t>按销售收入的8%暂估</t>
    <phoneticPr fontId="1" type="noConversion"/>
  </si>
  <si>
    <t>土地成本</t>
  </si>
  <si>
    <t>通州项目（2.5容积率）</t>
    <phoneticPr fontId="1" type="noConversion"/>
  </si>
  <si>
    <t>地上</t>
    <phoneticPr fontId="1" type="noConversion"/>
  </si>
  <si>
    <t>2285户，1辆/户，35米/辆</t>
    <phoneticPr fontId="1" type="noConversion"/>
  </si>
  <si>
    <t>按比例摊到住宅、商业和公建中</t>
    <phoneticPr fontId="1" type="noConversion"/>
  </si>
  <si>
    <t>地下总建筑面积</t>
    <phoneticPr fontId="1" type="noConversion"/>
  </si>
  <si>
    <t>地上总建筑面积</t>
    <phoneticPr fontId="1" type="noConversion"/>
  </si>
  <si>
    <t>销售收入</t>
    <phoneticPr fontId="1" type="noConversion"/>
  </si>
  <si>
    <t>住宅及公摊</t>
    <phoneticPr fontId="1" type="noConversion"/>
  </si>
  <si>
    <t>商业及公摊</t>
    <phoneticPr fontId="1" type="noConversion"/>
  </si>
  <si>
    <t>可售车位</t>
    <phoneticPr fontId="1" type="noConversion"/>
  </si>
  <si>
    <t>总销售收入</t>
    <phoneticPr fontId="1" type="noConversion"/>
  </si>
  <si>
    <t>含精装修</t>
    <phoneticPr fontId="1" type="noConversion"/>
  </si>
  <si>
    <t>北辰标准1000元/米（按建面）</t>
    <phoneticPr fontId="1" type="noConversion"/>
  </si>
  <si>
    <t>地下车库</t>
    <phoneticPr fontId="1" type="noConversion"/>
  </si>
  <si>
    <t>除地下车库外的其他地下面积</t>
    <phoneticPr fontId="1" type="noConversion"/>
  </si>
  <si>
    <t>国标为建筑面积的11%，若车位35米/辆，可建682个人防车位用于出租</t>
    <phoneticPr fontId="1" type="noConversion"/>
  </si>
  <si>
    <t>设计院预估约2285户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</si>
</sst>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#,##0_);[Red]\(#,##0\)"/>
    <numFmt numFmtId="178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178" fontId="0" fillId="0" borderId="3" xfId="0" applyNumberFormat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Fill="1" applyBorder="1" applyAlignment="1">
      <alignment horizontal="left" vertical="center" wrapText="1" readingOrder="1"/>
    </xf>
    <xf numFmtId="177" fontId="7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readingOrder="1"/>
    </xf>
    <xf numFmtId="177" fontId="7" fillId="0" borderId="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readingOrder="1"/>
    </xf>
    <xf numFmtId="178" fontId="0" fillId="0" borderId="3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 readingOrder="1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vertical="center" wrapText="1" readingOrder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  <xf numFmtId="176" fontId="5" fillId="0" borderId="3" xfId="0" applyNumberFormat="1" applyFont="1" applyFill="1" applyBorder="1">
      <alignment vertical="center"/>
    </xf>
    <xf numFmtId="177" fontId="5" fillId="0" borderId="3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177" fontId="0" fillId="0" borderId="0" xfId="0" applyNumberFormat="1">
      <alignment vertical="center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left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  <xf numFmtId="0" fontId="9" fillId="0" borderId="6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3" workbookViewId="0">
      <selection activeCell="O16" sqref="O16"/>
    </sheetView>
  </sheetViews>
  <sheetFormatPr defaultRowHeight="13.5"/>
  <cols>
    <col min="2" max="2" width="13.125" customWidth="1"/>
    <col min="3" max="3" width="15.125" customWidth="1"/>
    <col min="5" max="5" width="18.375" customWidth="1"/>
    <col min="6" max="6" width="27" customWidth="1"/>
    <col min="7" max="8" width="9" hidden="1" customWidth="1"/>
    <col min="9" max="9" width="16.125" hidden="1" customWidth="1"/>
    <col min="10" max="10" width="9" hidden="1" customWidth="1"/>
  </cols>
  <sheetData>
    <row r="1" spans="1:10" ht="27">
      <c r="A1" s="49" t="s">
        <v>47</v>
      </c>
      <c r="B1" s="50"/>
      <c r="C1" s="50"/>
      <c r="D1" s="50"/>
      <c r="E1" s="50"/>
      <c r="F1" s="50"/>
    </row>
    <row r="2" spans="1:10" ht="14.25">
      <c r="A2" s="1"/>
      <c r="B2" s="41"/>
      <c r="C2" s="41" t="s">
        <v>0</v>
      </c>
      <c r="D2" s="51" t="s">
        <v>1</v>
      </c>
      <c r="E2" s="53" t="s">
        <v>2</v>
      </c>
      <c r="F2" s="2" t="s">
        <v>3</v>
      </c>
    </row>
    <row r="3" spans="1:10" ht="14.25">
      <c r="A3" s="3"/>
      <c r="B3" s="36"/>
      <c r="C3" s="36"/>
      <c r="D3" s="52"/>
      <c r="E3" s="54"/>
      <c r="F3" s="2" t="s">
        <v>4</v>
      </c>
    </row>
    <row r="4" spans="1:10" ht="27">
      <c r="A4" s="31" t="s">
        <v>52</v>
      </c>
      <c r="B4" s="4"/>
      <c r="C4" s="5">
        <f>86802.494*2.5</f>
        <v>217006.23500000002</v>
      </c>
      <c r="D4" s="6"/>
      <c r="E4" s="7"/>
      <c r="F4" s="2"/>
    </row>
    <row r="5" spans="1:10" ht="27.75" customHeight="1">
      <c r="A5" s="41" t="s">
        <v>48</v>
      </c>
      <c r="B5" s="4" t="s">
        <v>5</v>
      </c>
      <c r="C5" s="5">
        <v>20670.689999999999</v>
      </c>
      <c r="D5" s="6"/>
      <c r="E5" s="7"/>
      <c r="F5" s="8"/>
    </row>
    <row r="6" spans="1:10" ht="27.75" customHeight="1">
      <c r="A6" s="42"/>
      <c r="B6" s="4" t="s">
        <v>6</v>
      </c>
      <c r="C6" s="5">
        <f>C4*11%</f>
        <v>23870.685850000002</v>
      </c>
      <c r="D6" s="6"/>
      <c r="E6" s="9"/>
      <c r="F6" s="10" t="s">
        <v>7</v>
      </c>
    </row>
    <row r="7" spans="1:10" ht="27.75" customHeight="1">
      <c r="A7" s="43"/>
      <c r="B7" s="4" t="s">
        <v>8</v>
      </c>
      <c r="C7" s="5">
        <f>C4-C5-C6</f>
        <v>172464.85915</v>
      </c>
      <c r="D7" s="6"/>
      <c r="E7" s="11"/>
      <c r="F7" s="10" t="s">
        <v>63</v>
      </c>
    </row>
    <row r="8" spans="1:10" ht="27.75" customHeight="1">
      <c r="A8" s="30" t="s">
        <v>51</v>
      </c>
      <c r="B8" s="18"/>
      <c r="C8" s="5">
        <f>C9+C10+C11</f>
        <v>107845.68585000001</v>
      </c>
      <c r="D8" s="6"/>
      <c r="E8" s="11"/>
      <c r="F8" s="10"/>
    </row>
    <row r="9" spans="1:10" ht="29.25" customHeight="1">
      <c r="A9" s="41" t="s">
        <v>9</v>
      </c>
      <c r="B9" s="4" t="s">
        <v>10</v>
      </c>
      <c r="C9" s="5">
        <v>4000</v>
      </c>
      <c r="D9" s="6"/>
      <c r="E9" s="11"/>
      <c r="F9" s="12" t="s">
        <v>50</v>
      </c>
    </row>
    <row r="10" spans="1:10" ht="27">
      <c r="A10" s="42"/>
      <c r="B10" s="4" t="s">
        <v>11</v>
      </c>
      <c r="C10" s="5">
        <f>2285*35</f>
        <v>79975</v>
      </c>
      <c r="D10" s="6"/>
      <c r="E10" s="11"/>
      <c r="F10" s="26" t="s">
        <v>49</v>
      </c>
      <c r="J10">
        <f>C10/35</f>
        <v>2285</v>
      </c>
    </row>
    <row r="11" spans="1:10" ht="41.25" customHeight="1">
      <c r="A11" s="43"/>
      <c r="B11" s="4" t="s">
        <v>12</v>
      </c>
      <c r="C11" s="5">
        <f>C4*11%</f>
        <v>23870.685850000002</v>
      </c>
      <c r="D11" s="6"/>
      <c r="E11" s="11"/>
      <c r="F11" s="12" t="s">
        <v>62</v>
      </c>
      <c r="G11">
        <f>C11/35</f>
        <v>682.01959571428574</v>
      </c>
    </row>
    <row r="12" spans="1:10" ht="30" customHeight="1">
      <c r="A12" s="41" t="s">
        <v>53</v>
      </c>
      <c r="B12" s="32" t="s">
        <v>54</v>
      </c>
      <c r="C12" s="5">
        <f>C7+C9*C7/C4</f>
        <v>175643.84355383524</v>
      </c>
      <c r="D12" s="6">
        <v>20000</v>
      </c>
      <c r="E12" s="11">
        <f>D12*C12</f>
        <v>3512876871.0767045</v>
      </c>
      <c r="F12" s="13" t="s">
        <v>13</v>
      </c>
    </row>
    <row r="13" spans="1:10" ht="27.75" customHeight="1">
      <c r="A13" s="42"/>
      <c r="B13" s="32" t="s">
        <v>55</v>
      </c>
      <c r="C13" s="5">
        <f>C5+C9*C5/C4</f>
        <v>21051.705596164782</v>
      </c>
      <c r="D13" s="6">
        <v>30000</v>
      </c>
      <c r="E13" s="11">
        <f>D13*C13</f>
        <v>631551167.88494349</v>
      </c>
      <c r="F13" s="13" t="s">
        <v>14</v>
      </c>
    </row>
    <row r="14" spans="1:10" ht="19.5" customHeight="1">
      <c r="A14" s="42"/>
      <c r="B14" s="32" t="s">
        <v>56</v>
      </c>
      <c r="C14" s="14">
        <v>2285</v>
      </c>
      <c r="D14" s="6">
        <v>300000</v>
      </c>
      <c r="E14" s="11">
        <f>C14*D14</f>
        <v>685500000</v>
      </c>
      <c r="F14" s="13"/>
    </row>
    <row r="15" spans="1:10" ht="27" customHeight="1">
      <c r="A15" s="43"/>
      <c r="B15" s="31" t="s">
        <v>57</v>
      </c>
      <c r="C15" s="15"/>
      <c r="D15" s="16"/>
      <c r="E15" s="17">
        <f>E12+E13+E14</f>
        <v>4829928038.961648</v>
      </c>
      <c r="F15" s="13" t="s">
        <v>15</v>
      </c>
    </row>
    <row r="16" spans="1:10" ht="18" customHeight="1">
      <c r="A16" s="44" t="s">
        <v>16</v>
      </c>
      <c r="B16" s="19">
        <v>2.0099999999999998</v>
      </c>
      <c r="C16" s="20" t="s">
        <v>17</v>
      </c>
      <c r="D16" s="21">
        <v>242</v>
      </c>
      <c r="E16" s="22">
        <f>D16*(C4+C8)</f>
        <v>78614164.845699996</v>
      </c>
      <c r="F16" s="23" t="s">
        <v>18</v>
      </c>
    </row>
    <row r="17" spans="1:9" ht="18" customHeight="1">
      <c r="A17" s="45"/>
      <c r="B17" s="19">
        <v>2.02</v>
      </c>
      <c r="C17" s="20" t="s">
        <v>19</v>
      </c>
      <c r="E17" s="22">
        <f>E18+E19+E20+E21</f>
        <v>1219807402.4650002</v>
      </c>
      <c r="F17" s="24" t="s">
        <v>20</v>
      </c>
    </row>
    <row r="18" spans="1:9" ht="18" customHeight="1">
      <c r="A18" s="45"/>
      <c r="B18" s="19"/>
      <c r="C18" s="25" t="s">
        <v>21</v>
      </c>
      <c r="D18" s="21">
        <v>4300</v>
      </c>
      <c r="E18" s="22">
        <f>D18*(C7+C6)</f>
        <v>844242843.5</v>
      </c>
      <c r="F18" s="24" t="s">
        <v>58</v>
      </c>
    </row>
    <row r="19" spans="1:9" ht="18" customHeight="1">
      <c r="A19" s="45"/>
      <c r="B19" s="19"/>
      <c r="C19" s="25" t="s">
        <v>22</v>
      </c>
      <c r="D19" s="21">
        <v>3000</v>
      </c>
      <c r="E19" s="22">
        <f>D19*C5</f>
        <v>62012069.999999993</v>
      </c>
      <c r="F19" s="24"/>
      <c r="I19">
        <f>5*15%*2</f>
        <v>1.5</v>
      </c>
    </row>
    <row r="20" spans="1:9" ht="18" customHeight="1">
      <c r="A20" s="45"/>
      <c r="B20" s="19"/>
      <c r="C20" s="25" t="s">
        <v>9</v>
      </c>
      <c r="D20" s="21">
        <v>3100</v>
      </c>
      <c r="E20" s="22">
        <f>D20*C9</f>
        <v>12400000</v>
      </c>
      <c r="F20" s="24" t="s">
        <v>61</v>
      </c>
      <c r="I20">
        <f>5*4.75%*2</f>
        <v>0.47499999999999998</v>
      </c>
    </row>
    <row r="21" spans="1:9" ht="18" customHeight="1">
      <c r="A21" s="45"/>
      <c r="B21" s="19"/>
      <c r="C21" s="25" t="s">
        <v>23</v>
      </c>
      <c r="D21" s="21">
        <v>2900</v>
      </c>
      <c r="E21" s="22">
        <f>D21*(C10+C11)</f>
        <v>301152488.96500003</v>
      </c>
      <c r="F21" s="24" t="s">
        <v>60</v>
      </c>
    </row>
    <row r="22" spans="1:9" ht="18" customHeight="1">
      <c r="A22" s="45"/>
      <c r="B22" s="19">
        <v>2.0299999999999998</v>
      </c>
      <c r="C22" s="20" t="s">
        <v>24</v>
      </c>
      <c r="D22" s="21">
        <v>1000</v>
      </c>
      <c r="E22" s="22">
        <f>D22*(C4+C8)</f>
        <v>324851920.85000002</v>
      </c>
      <c r="F22" s="23" t="s">
        <v>59</v>
      </c>
    </row>
    <row r="23" spans="1:9" ht="18" customHeight="1">
      <c r="A23" s="45"/>
      <c r="B23" s="46" t="s">
        <v>25</v>
      </c>
      <c r="C23" s="37"/>
      <c r="D23" s="27">
        <f>E23/275000</f>
        <v>5902.8126842207284</v>
      </c>
      <c r="E23" s="28">
        <f>E16+E17+E22</f>
        <v>1623273488.1607003</v>
      </c>
      <c r="F23" s="23"/>
    </row>
    <row r="24" spans="1:9" ht="18" customHeight="1">
      <c r="A24" s="45"/>
      <c r="B24" s="47" t="s">
        <v>26</v>
      </c>
      <c r="C24" s="48"/>
      <c r="D24" s="21">
        <f>E24/(C4+C8)</f>
        <v>149.90893240648975</v>
      </c>
      <c r="E24" s="22">
        <f>E23*3%</f>
        <v>48698204.644821011</v>
      </c>
      <c r="F24" s="8" t="s">
        <v>27</v>
      </c>
    </row>
    <row r="25" spans="1:9" ht="18" customHeight="1">
      <c r="A25" s="45"/>
      <c r="B25" s="37" t="s">
        <v>28</v>
      </c>
      <c r="C25" s="37"/>
      <c r="D25" s="27">
        <f>SUM(D23:D24)</f>
        <v>6052.7216166272183</v>
      </c>
      <c r="E25" s="28">
        <f>E23+E24</f>
        <v>1671971692.8055212</v>
      </c>
      <c r="F25" s="23"/>
    </row>
    <row r="26" spans="1:9" ht="18" customHeight="1">
      <c r="A26" s="34" t="s">
        <v>29</v>
      </c>
      <c r="B26" s="19">
        <v>3.01</v>
      </c>
      <c r="C26" s="20" t="s">
        <v>30</v>
      </c>
      <c r="D26" s="21">
        <f>E26/275000</f>
        <v>439.08436717833166</v>
      </c>
      <c r="E26" s="22">
        <f>E15*2.5%</f>
        <v>120748200.97404121</v>
      </c>
      <c r="F26" s="13" t="s">
        <v>31</v>
      </c>
    </row>
    <row r="27" spans="1:9" ht="18" customHeight="1">
      <c r="A27" s="35"/>
      <c r="B27" s="19">
        <v>3.02</v>
      </c>
      <c r="C27" s="20" t="s">
        <v>32</v>
      </c>
      <c r="D27" s="21">
        <v>146</v>
      </c>
      <c r="E27" s="22">
        <f>E15*2.5%</f>
        <v>120748200.97404121</v>
      </c>
      <c r="F27" s="13" t="s">
        <v>33</v>
      </c>
      <c r="I27" s="33">
        <f>(E35+E25)*10%</f>
        <v>384500874.5393185</v>
      </c>
    </row>
    <row r="28" spans="1:9" ht="27">
      <c r="A28" s="35"/>
      <c r="B28" s="19">
        <v>3.03</v>
      </c>
      <c r="C28" s="25" t="s">
        <v>34</v>
      </c>
      <c r="D28" s="21">
        <f>E28/275000</f>
        <v>244.48351333000005</v>
      </c>
      <c r="E28" s="22">
        <f>(E17+E22-200000000)*5%</f>
        <v>67232966.165750012</v>
      </c>
      <c r="F28" s="13" t="s">
        <v>35</v>
      </c>
      <c r="I28">
        <f>E28+(E35+E25)*5%</f>
        <v>259483403.43540925</v>
      </c>
    </row>
    <row r="29" spans="1:9" ht="14.25">
      <c r="A29" s="36"/>
      <c r="B29" s="37" t="s">
        <v>36</v>
      </c>
      <c r="C29" s="37"/>
      <c r="D29" s="27">
        <f>SUM(D26:D28)</f>
        <v>829.56788050833165</v>
      </c>
      <c r="E29" s="28">
        <f>SUM(E26:E28)</f>
        <v>308729368.11383241</v>
      </c>
      <c r="F29" s="23"/>
    </row>
    <row r="30" spans="1:9" ht="18" customHeight="1">
      <c r="A30" s="34" t="s">
        <v>37</v>
      </c>
      <c r="B30" s="19">
        <v>4.01</v>
      </c>
      <c r="C30" s="29" t="s">
        <v>38</v>
      </c>
      <c r="D30" s="21">
        <f>E30/275000</f>
        <v>351.26749374266535</v>
      </c>
      <c r="E30" s="22">
        <f>E15*2%</f>
        <v>96598560.779232964</v>
      </c>
      <c r="F30" s="8" t="s">
        <v>39</v>
      </c>
    </row>
    <row r="31" spans="1:9" ht="18" customHeight="1">
      <c r="A31" s="35"/>
      <c r="B31" s="19">
        <v>4.0199999999999996</v>
      </c>
      <c r="C31" s="29" t="s">
        <v>40</v>
      </c>
      <c r="D31" s="21">
        <f>E31/275000</f>
        <v>351.26749374266535</v>
      </c>
      <c r="E31" s="22">
        <f>E15*2%</f>
        <v>96598560.779232964</v>
      </c>
      <c r="F31" s="8" t="s">
        <v>39</v>
      </c>
    </row>
    <row r="32" spans="1:9" ht="18" customHeight="1">
      <c r="A32" s="35"/>
      <c r="B32" s="19">
        <v>4.03</v>
      </c>
      <c r="C32" s="29" t="s">
        <v>41</v>
      </c>
      <c r="D32" s="21">
        <f>E32/275000</f>
        <v>351.26749374266535</v>
      </c>
      <c r="E32" s="22">
        <f>E15*2%</f>
        <v>96598560.779232964</v>
      </c>
      <c r="F32" s="8" t="s">
        <v>42</v>
      </c>
    </row>
    <row r="33" spans="1:6" ht="18" customHeight="1">
      <c r="A33" s="36"/>
      <c r="B33" s="37" t="s">
        <v>43</v>
      </c>
      <c r="C33" s="37"/>
      <c r="D33" s="27">
        <f>SUM(D30:D32)</f>
        <v>1053.8024812279959</v>
      </c>
      <c r="E33" s="28">
        <f>SUM(E30:E32)</f>
        <v>289795682.33769888</v>
      </c>
      <c r="F33" s="23"/>
    </row>
    <row r="34" spans="1:6" ht="18" customHeight="1">
      <c r="A34" s="38" t="s">
        <v>44</v>
      </c>
      <c r="B34" s="39"/>
      <c r="C34" s="40"/>
      <c r="D34" s="27"/>
      <c r="E34" s="28">
        <f>E15*8%</f>
        <v>386394243.11693186</v>
      </c>
      <c r="F34" s="23" t="s">
        <v>45</v>
      </c>
    </row>
    <row r="35" spans="1:6" ht="18" customHeight="1">
      <c r="A35" s="2" t="s">
        <v>46</v>
      </c>
      <c r="B35" s="8"/>
      <c r="C35" s="15" t="s">
        <v>46</v>
      </c>
      <c r="D35" s="27">
        <f>E35/215000/2.48</f>
        <v>4075.4633394367288</v>
      </c>
      <c r="E35" s="28">
        <f>E15-E25-E29-E33-E34</f>
        <v>2173037052.5876637</v>
      </c>
      <c r="F35" s="13"/>
    </row>
  </sheetData>
  <mergeCells count="17">
    <mergeCell ref="A5:A7"/>
    <mergeCell ref="A1:F1"/>
    <mergeCell ref="B2:B3"/>
    <mergeCell ref="C2:C3"/>
    <mergeCell ref="D2:D3"/>
    <mergeCell ref="E2:E3"/>
    <mergeCell ref="A9:A11"/>
    <mergeCell ref="A16:A25"/>
    <mergeCell ref="B23:C23"/>
    <mergeCell ref="B24:C24"/>
    <mergeCell ref="B25:C25"/>
    <mergeCell ref="A12:A15"/>
    <mergeCell ref="A26:A29"/>
    <mergeCell ref="B29:C29"/>
    <mergeCell ref="A30:A33"/>
    <mergeCell ref="B33:C33"/>
    <mergeCell ref="A34:C34"/>
  </mergeCells>
  <phoneticPr fontId="1" type="noConversion"/>
  <pageMargins left="0.51181102362204722" right="0.51181102362204722" top="0.55118110236220474" bottom="0.35433070866141736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2018-09-28T01:58:21Z</dcterms:modified>
</cp:coreProperties>
</file>