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工业" sheetId="3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9" r:id="rId45"/>
    <sheet name="案例" sheetId="77" r:id="rId46"/>
    <sheet name="租约" sheetId="78" r:id="rId47"/>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44" hidden="1">'比较法-租金'!$A$1:$L$43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44">'比较法-租金'!$B$95:$M$95</definedName>
    <definedName name="工业公共部分装修">'比较法-工业'!$B$95:$M$95</definedName>
    <definedName name="工业基础设施水平" localSheetId="44">'比较法-租金'!$B$102:$M$102</definedName>
    <definedName name="工业基础设施水平">'比较法-工业'!$B$102:$M$102</definedName>
    <definedName name="工业建筑结构" localSheetId="44">'比较法-租金'!$B$93:$M$93</definedName>
    <definedName name="工业建筑结构">'比较法-工业'!$B$93:$M$93</definedName>
    <definedName name="工业建筑类型" localSheetId="44">'比较法-租金'!$B$88:$M$88</definedName>
    <definedName name="工业建筑类型">'比较法-工业'!$B$88:$M$88</definedName>
    <definedName name="工业交易情况" localSheetId="44">'比较法-租金'!$A$55:$M$55</definedName>
    <definedName name="工业交易情况">'比较法-工业'!$A$55:$M$55</definedName>
    <definedName name="工业内部装修" localSheetId="44">'比较法-租金'!$B$104:$M$104</definedName>
    <definedName name="工业内部装修">'比较法-工业'!$B$104:$M$104</definedName>
    <definedName name="工业物业管理" localSheetId="44">'比较法-租金'!$B$100:$M$100</definedName>
    <definedName name="工业物业管理">'比较法-工业'!$B$100:$M$100</definedName>
    <definedName name="工业用途" localSheetId="44">'比较法-租金'!$B$57:$M$57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1" i="79" l="1"/>
  <c r="G41" i="79"/>
  <c r="E41" i="79"/>
  <c r="N6" i="1"/>
  <c r="G56" i="37" l="1"/>
  <c r="C92" i="37"/>
  <c r="E92" i="37"/>
  <c r="F92" i="37"/>
  <c r="G92" i="37" s="1"/>
  <c r="H92" i="37" s="1"/>
  <c r="I92" i="37" s="1"/>
  <c r="E56" i="37"/>
  <c r="B29" i="1"/>
  <c r="F60" i="79" l="1"/>
  <c r="G60" i="79" s="1"/>
  <c r="H60" i="79" s="1"/>
  <c r="I60" i="79" s="1"/>
  <c r="K37" i="79"/>
  <c r="D107" i="79" s="1"/>
  <c r="K36" i="79"/>
  <c r="D105" i="79" s="1"/>
  <c r="K35" i="79"/>
  <c r="D103" i="79" s="1"/>
  <c r="E103" i="79" s="1"/>
  <c r="K34" i="79"/>
  <c r="D101" i="79" s="1"/>
  <c r="E101" i="79" s="1"/>
  <c r="F101" i="79" s="1"/>
  <c r="G101" i="79" s="1"/>
  <c r="H101" i="79" s="1"/>
  <c r="I101" i="79" s="1"/>
  <c r="J101" i="79" s="1"/>
  <c r="K101" i="79" s="1"/>
  <c r="L101" i="79" s="1"/>
  <c r="M101" i="79" s="1"/>
  <c r="D99" i="79"/>
  <c r="E99" i="79" s="1"/>
  <c r="F99" i="79" s="1"/>
  <c r="G99" i="79" s="1"/>
  <c r="H99" i="79" s="1"/>
  <c r="I99" i="79" s="1"/>
  <c r="J99" i="79" s="1"/>
  <c r="K99" i="79" s="1"/>
  <c r="L99" i="79" s="1"/>
  <c r="M99" i="79" s="1"/>
  <c r="K32" i="79"/>
  <c r="D96" i="79" s="1"/>
  <c r="K31" i="79"/>
  <c r="K29" i="79"/>
  <c r="D89" i="79" s="1"/>
  <c r="E89" i="79" s="1"/>
  <c r="F89" i="79" s="1"/>
  <c r="G89" i="79" s="1"/>
  <c r="H89" i="79" s="1"/>
  <c r="I89" i="79" s="1"/>
  <c r="J89" i="79" s="1"/>
  <c r="K89" i="79" s="1"/>
  <c r="L89" i="79" s="1"/>
  <c r="M89" i="79" s="1"/>
  <c r="K23" i="79"/>
  <c r="D79" i="79" s="1"/>
  <c r="K21" i="79"/>
  <c r="D77" i="79" s="1"/>
  <c r="E77" i="79" s="1"/>
  <c r="F77" i="79" s="1"/>
  <c r="G77" i="79" s="1"/>
  <c r="K19" i="79"/>
  <c r="D75" i="79" s="1"/>
  <c r="K17" i="79"/>
  <c r="D73" i="79" s="1"/>
  <c r="K15" i="79"/>
  <c r="D71" i="79" s="1"/>
  <c r="I5" i="78"/>
  <c r="B112" i="79"/>
  <c r="B110" i="79"/>
  <c r="B108" i="79"/>
  <c r="G97" i="79"/>
  <c r="F97" i="79"/>
  <c r="E97" i="79"/>
  <c r="D97" i="79"/>
  <c r="C97" i="79"/>
  <c r="D94" i="79"/>
  <c r="E94" i="79" s="1"/>
  <c r="F94" i="79" s="1"/>
  <c r="G94" i="79" s="1"/>
  <c r="H94" i="79" s="1"/>
  <c r="I94" i="79" s="1"/>
  <c r="J94" i="79" s="1"/>
  <c r="K94" i="79" s="1"/>
  <c r="L94" i="79" s="1"/>
  <c r="M94" i="79" s="1"/>
  <c r="E92" i="79"/>
  <c r="F92" i="79" s="1"/>
  <c r="G92" i="79" s="1"/>
  <c r="H92" i="79" s="1"/>
  <c r="I92" i="79" s="1"/>
  <c r="C92" i="79"/>
  <c r="M90" i="79"/>
  <c r="L90" i="79"/>
  <c r="K90" i="79"/>
  <c r="J90" i="79"/>
  <c r="I90" i="79"/>
  <c r="H90" i="79"/>
  <c r="G90" i="79"/>
  <c r="F90" i="79"/>
  <c r="E90" i="79"/>
  <c r="D90" i="79"/>
  <c r="C90" i="79"/>
  <c r="B86" i="79"/>
  <c r="B84" i="79"/>
  <c r="B82" i="79"/>
  <c r="B80" i="79"/>
  <c r="B68" i="79"/>
  <c r="B66" i="79"/>
  <c r="B64" i="79"/>
  <c r="E63" i="79"/>
  <c r="F63" i="79" s="1"/>
  <c r="G63" i="79" s="1"/>
  <c r="H63" i="79" s="1"/>
  <c r="I63" i="79" s="1"/>
  <c r="J63" i="79" s="1"/>
  <c r="K63" i="79" s="1"/>
  <c r="L63" i="79" s="1"/>
  <c r="M63" i="79" s="1"/>
  <c r="D63" i="79"/>
  <c r="M61" i="79"/>
  <c r="L61" i="79"/>
  <c r="K61" i="79"/>
  <c r="J61" i="79"/>
  <c r="I61" i="79"/>
  <c r="H61" i="79"/>
  <c r="G61" i="79"/>
  <c r="F61" i="79"/>
  <c r="E61" i="79"/>
  <c r="D61" i="79"/>
  <c r="C61" i="79"/>
  <c r="C57" i="79"/>
  <c r="G56" i="79"/>
  <c r="F56" i="79"/>
  <c r="E56" i="79"/>
  <c r="P43" i="79"/>
  <c r="P42" i="79"/>
  <c r="P41" i="79"/>
  <c r="T41" i="79"/>
  <c r="Q40" i="79"/>
  <c r="Z40" i="79" s="1"/>
  <c r="J40" i="79"/>
  <c r="AC40" i="79" s="1"/>
  <c r="H40" i="79"/>
  <c r="AB40" i="79" s="1"/>
  <c r="F40" i="79"/>
  <c r="Q39" i="79"/>
  <c r="Z39" i="79" s="1"/>
  <c r="J39" i="79"/>
  <c r="AC39" i="79" s="1"/>
  <c r="H39" i="79"/>
  <c r="AB39" i="79" s="1"/>
  <c r="F39" i="79"/>
  <c r="AA39" i="79" s="1"/>
  <c r="AC38" i="79"/>
  <c r="W38" i="79"/>
  <c r="Q38" i="79"/>
  <c r="Z38" i="79" s="1"/>
  <c r="J38" i="79"/>
  <c r="H38" i="79"/>
  <c r="F38" i="79"/>
  <c r="AA38" i="79" s="1"/>
  <c r="Q37" i="79"/>
  <c r="Z37" i="79" s="1"/>
  <c r="Q36" i="79"/>
  <c r="Z36" i="79" s="1"/>
  <c r="Q35" i="79"/>
  <c r="Z35" i="79" s="1"/>
  <c r="Q34" i="79"/>
  <c r="Z34" i="79" s="1"/>
  <c r="J34" i="79"/>
  <c r="AC34" i="79" s="1"/>
  <c r="H34" i="79"/>
  <c r="AB34" i="79" s="1"/>
  <c r="F34" i="79"/>
  <c r="AA34" i="79" s="1"/>
  <c r="Q33" i="79"/>
  <c r="Z33" i="79" s="1"/>
  <c r="G33" i="79"/>
  <c r="E33" i="79"/>
  <c r="C33" i="79"/>
  <c r="Q32" i="79"/>
  <c r="Z32" i="79" s="1"/>
  <c r="Q31" i="79"/>
  <c r="Z31" i="79" s="1"/>
  <c r="J31" i="79"/>
  <c r="AC31" i="79" s="1"/>
  <c r="H31" i="79"/>
  <c r="AB31" i="79" s="1"/>
  <c r="F31" i="79"/>
  <c r="AA31" i="79" s="1"/>
  <c r="Q30" i="79"/>
  <c r="Z30" i="79" s="1"/>
  <c r="C30" i="79"/>
  <c r="H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C23" i="79"/>
  <c r="Q21" i="79"/>
  <c r="Z21" i="79" s="1"/>
  <c r="J21" i="79"/>
  <c r="AC21" i="79" s="1"/>
  <c r="H21" i="79"/>
  <c r="AB21" i="79" s="1"/>
  <c r="F21" i="79"/>
  <c r="AA21" i="79" s="1"/>
  <c r="C21" i="79"/>
  <c r="Q19" i="79"/>
  <c r="Z19" i="79" s="1"/>
  <c r="C19" i="79"/>
  <c r="Q17" i="79"/>
  <c r="Z17" i="79" s="1"/>
  <c r="C17" i="79"/>
  <c r="Q15" i="79"/>
  <c r="Z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C7" i="79"/>
  <c r="C52" i="79" s="1"/>
  <c r="D52" i="79" s="1"/>
  <c r="E52" i="79" s="1"/>
  <c r="F52" i="79" s="1"/>
  <c r="G52" i="79" s="1"/>
  <c r="H52" i="79" s="1"/>
  <c r="I52" i="79" s="1"/>
  <c r="J52" i="79" s="1"/>
  <c r="K52" i="79" s="1"/>
  <c r="L52" i="79" s="1"/>
  <c r="M52" i="79" s="1"/>
  <c r="N52" i="79" s="1"/>
  <c r="O52" i="79" s="1"/>
  <c r="D3" i="79"/>
  <c r="I41" i="37"/>
  <c r="F56" i="37"/>
  <c r="G41" i="37" s="1"/>
  <c r="E41" i="37"/>
  <c r="G33" i="37"/>
  <c r="E33" i="37"/>
  <c r="I33" i="37"/>
  <c r="C33" i="37"/>
  <c r="C30" i="37"/>
  <c r="C12" i="78"/>
  <c r="D12" i="78" s="1"/>
  <c r="B12" i="78"/>
  <c r="B10" i="78"/>
  <c r="C14" i="78"/>
  <c r="D14" i="78" s="1"/>
  <c r="C13" i="78"/>
  <c r="D13" i="78" s="1"/>
  <c r="J3" i="78"/>
  <c r="J4" i="78"/>
  <c r="J2" i="78"/>
  <c r="G6" i="78"/>
  <c r="B6" i="78"/>
  <c r="B5" i="78"/>
  <c r="G5" i="78"/>
  <c r="H4" i="78"/>
  <c r="F4" i="78"/>
  <c r="H3" i="78"/>
  <c r="F3" i="78"/>
  <c r="D2" i="79"/>
  <c r="E48" i="79" l="1"/>
  <c r="F48" i="79" s="1"/>
  <c r="U8" i="79"/>
  <c r="I48" i="79"/>
  <c r="J48" i="79" s="1"/>
  <c r="E107" i="79"/>
  <c r="F107" i="79" s="1"/>
  <c r="G107" i="79" s="1"/>
  <c r="H107" i="79" s="1"/>
  <c r="I107" i="79" s="1"/>
  <c r="J107" i="79" s="1"/>
  <c r="K107" i="79" s="1"/>
  <c r="L107" i="79" s="1"/>
  <c r="M107" i="79" s="1"/>
  <c r="J37" i="79"/>
  <c r="AC37" i="79" s="1"/>
  <c r="F37" i="79"/>
  <c r="AA37" i="79" s="1"/>
  <c r="H37" i="79"/>
  <c r="AB37" i="79" s="1"/>
  <c r="E105" i="79"/>
  <c r="J36" i="79"/>
  <c r="AC36" i="79" s="1"/>
  <c r="F103" i="79"/>
  <c r="G103" i="79" s="1"/>
  <c r="H103" i="79" s="1"/>
  <c r="I103" i="79" s="1"/>
  <c r="J103" i="79" s="1"/>
  <c r="K103" i="79" s="1"/>
  <c r="L103" i="79" s="1"/>
  <c r="M103" i="79" s="1"/>
  <c r="J35" i="79"/>
  <c r="AC35" i="79" s="1"/>
  <c r="F35" i="79"/>
  <c r="AA35" i="79" s="1"/>
  <c r="H35" i="79"/>
  <c r="AB35" i="79" s="1"/>
  <c r="H33" i="79"/>
  <c r="AB33" i="79" s="1"/>
  <c r="E96" i="79"/>
  <c r="F96" i="79" s="1"/>
  <c r="G96" i="79" s="1"/>
  <c r="H96" i="79" s="1"/>
  <c r="I96" i="79" s="1"/>
  <c r="J96" i="79" s="1"/>
  <c r="K96" i="79" s="1"/>
  <c r="L96" i="79" s="1"/>
  <c r="M96" i="79" s="1"/>
  <c r="H32" i="79"/>
  <c r="AB32" i="79" s="1"/>
  <c r="J32" i="79"/>
  <c r="AC32" i="79" s="1"/>
  <c r="F32" i="79"/>
  <c r="AA32" i="79" s="1"/>
  <c r="E79" i="79"/>
  <c r="F79" i="79" s="1"/>
  <c r="G79" i="79" s="1"/>
  <c r="H23" i="79"/>
  <c r="AB23" i="79" s="1"/>
  <c r="J23" i="79"/>
  <c r="AC23" i="79" s="1"/>
  <c r="F23" i="79"/>
  <c r="AA23" i="79" s="1"/>
  <c r="E75" i="79"/>
  <c r="F75" i="79" s="1"/>
  <c r="G75" i="79" s="1"/>
  <c r="H19" i="79"/>
  <c r="AB19" i="79" s="1"/>
  <c r="J19" i="79"/>
  <c r="AC19" i="79" s="1"/>
  <c r="F19" i="79"/>
  <c r="AA19" i="79" s="1"/>
  <c r="E73" i="79"/>
  <c r="H17" i="79" s="1"/>
  <c r="F17" i="79"/>
  <c r="AA17" i="79" s="1"/>
  <c r="E71" i="79"/>
  <c r="F71" i="79" s="1"/>
  <c r="G71" i="79" s="1"/>
  <c r="H15" i="79"/>
  <c r="AB15" i="79" s="1"/>
  <c r="J15" i="79"/>
  <c r="AC15" i="79" s="1"/>
  <c r="F15" i="79"/>
  <c r="AA15" i="79" s="1"/>
  <c r="W10" i="79"/>
  <c r="F7" i="79"/>
  <c r="J7" i="79"/>
  <c r="AC8" i="79"/>
  <c r="S10" i="79"/>
  <c r="H7" i="79"/>
  <c r="AA8" i="79"/>
  <c r="U9" i="79"/>
  <c r="AB11" i="79"/>
  <c r="U11" i="79"/>
  <c r="AB30" i="79"/>
  <c r="U30" i="79"/>
  <c r="S9" i="79"/>
  <c r="W9" i="79"/>
  <c r="U10" i="79"/>
  <c r="S11" i="79"/>
  <c r="W11" i="79"/>
  <c r="U12" i="79"/>
  <c r="S13" i="79"/>
  <c r="W13" i="79"/>
  <c r="U14" i="79"/>
  <c r="U15" i="79"/>
  <c r="U19" i="79"/>
  <c r="U21" i="79"/>
  <c r="U23" i="79"/>
  <c r="S25" i="79"/>
  <c r="W25" i="79"/>
  <c r="U26" i="79"/>
  <c r="S27" i="79"/>
  <c r="W27" i="79"/>
  <c r="U28" i="79"/>
  <c r="S29" i="79"/>
  <c r="W29" i="79"/>
  <c r="F30" i="79"/>
  <c r="J30" i="79"/>
  <c r="U31" i="79"/>
  <c r="S32" i="79"/>
  <c r="I33" i="79"/>
  <c r="J33" i="79" s="1"/>
  <c r="S34" i="79"/>
  <c r="W34" i="79"/>
  <c r="U35" i="79"/>
  <c r="U37" i="79"/>
  <c r="S38" i="79"/>
  <c r="U39" i="79"/>
  <c r="S12" i="79"/>
  <c r="W12" i="79"/>
  <c r="U13" i="79"/>
  <c r="S14" i="79"/>
  <c r="W14" i="79"/>
  <c r="S15" i="79"/>
  <c r="S19" i="79"/>
  <c r="S21" i="79"/>
  <c r="W21" i="79"/>
  <c r="S23" i="79"/>
  <c r="U25" i="79"/>
  <c r="S26" i="79"/>
  <c r="W26" i="79"/>
  <c r="U27" i="79"/>
  <c r="S28" i="79"/>
  <c r="W28" i="79"/>
  <c r="U29" i="79"/>
  <c r="S31" i="79"/>
  <c r="W31" i="79"/>
  <c r="U32" i="79"/>
  <c r="F33" i="79"/>
  <c r="U34" i="79"/>
  <c r="W35" i="79"/>
  <c r="W37" i="79"/>
  <c r="AB38" i="79"/>
  <c r="U38" i="79"/>
  <c r="AA40" i="79"/>
  <c r="S40" i="79"/>
  <c r="S39" i="79"/>
  <c r="W39" i="79"/>
  <c r="U40" i="79"/>
  <c r="R41" i="79"/>
  <c r="V41" i="79"/>
  <c r="G48" i="79"/>
  <c r="H48" i="79" s="1"/>
  <c r="W40" i="79"/>
  <c r="C6" i="68"/>
  <c r="D29" i="43"/>
  <c r="Y6" i="1"/>
  <c r="F19" i="6"/>
  <c r="U33" i="79" l="1"/>
  <c r="W36" i="79"/>
  <c r="S37" i="79"/>
  <c r="F105" i="79"/>
  <c r="G105" i="79" s="1"/>
  <c r="H36" i="79"/>
  <c r="F36" i="79"/>
  <c r="S35" i="79"/>
  <c r="W32" i="79"/>
  <c r="W23" i="79"/>
  <c r="W19" i="79"/>
  <c r="AB17" i="79"/>
  <c r="U17" i="79"/>
  <c r="S17" i="79"/>
  <c r="F73" i="79"/>
  <c r="G73" i="79" s="1"/>
  <c r="J17" i="79"/>
  <c r="W15" i="79"/>
  <c r="AB7" i="79"/>
  <c r="U7" i="79"/>
  <c r="AA33" i="79"/>
  <c r="S33" i="79"/>
  <c r="AA30" i="79"/>
  <c r="S30" i="79"/>
  <c r="W7" i="79"/>
  <c r="AC7" i="79"/>
  <c r="AC33" i="79"/>
  <c r="W33" i="79"/>
  <c r="AC30" i="79"/>
  <c r="W30" i="79"/>
  <c r="S7" i="79"/>
  <c r="AA7" i="79"/>
  <c r="C11" i="4"/>
  <c r="B7" i="4"/>
  <c r="D3" i="4"/>
  <c r="AB36" i="79" l="1"/>
  <c r="T42" i="79" s="1"/>
  <c r="G42" i="79" s="1"/>
  <c r="G46" i="79" s="1"/>
  <c r="H46" i="79" s="1"/>
  <c r="U36" i="79"/>
  <c r="AA36" i="79"/>
  <c r="R42" i="79" s="1"/>
  <c r="E42" i="79" s="1"/>
  <c r="S36" i="79"/>
  <c r="AC17" i="79"/>
  <c r="W17" i="79"/>
  <c r="V42" i="79"/>
  <c r="I42" i="79" s="1"/>
  <c r="I46" i="79" s="1"/>
  <c r="J46" i="79" s="1"/>
  <c r="L3" i="71"/>
  <c r="K3" i="71"/>
  <c r="I3" i="71"/>
  <c r="G47" i="79" l="1"/>
  <c r="H47" i="79" s="1"/>
  <c r="R43" i="79"/>
  <c r="C42" i="79" s="1"/>
  <c r="I47" i="79"/>
  <c r="J47" i="79" s="1"/>
  <c r="E47" i="79"/>
  <c r="F47" i="79" s="1"/>
  <c r="E46" i="79"/>
  <c r="F46" i="79" s="1"/>
  <c r="J3" i="71"/>
  <c r="C43" i="79" l="1"/>
  <c r="U6" i="1" s="1"/>
  <c r="B2" i="79"/>
  <c r="AD5" i="71"/>
  <c r="AG5" i="71"/>
  <c r="AH5" i="71"/>
  <c r="AE5" i="71"/>
  <c r="AF5" i="71" s="1"/>
  <c r="N5" i="71"/>
  <c r="Q5" i="71"/>
  <c r="P5" i="71"/>
  <c r="O5" i="71"/>
  <c r="B3" i="79" l="1"/>
  <c r="Q6" i="7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B11" i="76"/>
  <c r="B7" i="76"/>
  <c r="B10" i="76"/>
  <c r="E7" i="76"/>
  <c r="E13" i="76"/>
  <c r="E9" i="76"/>
  <c r="B13" i="76"/>
  <c r="E11" i="76"/>
  <c r="B8" i="76"/>
  <c r="E8" i="76"/>
  <c r="B9" i="76"/>
  <c r="E12"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3" i="73"/>
  <c r="D6" i="73"/>
  <c r="D3" i="73"/>
  <c r="D5" i="73"/>
  <c r="F6" i="73"/>
  <c r="F4"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B82" i="37"/>
  <c r="H26" i="37" s="1"/>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B30" i="21"/>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67" i="3"/>
  <c r="AZ71" i="3"/>
  <c r="AZ79" i="3"/>
  <c r="AZ83" i="3"/>
  <c r="AZ136" i="3"/>
  <c r="AZ144"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AZ380" i="3"/>
  <c r="AZ384" i="3"/>
  <c r="AZ396" i="3"/>
  <c r="AZ394" i="3"/>
  <c r="AZ509" i="3"/>
  <c r="G509" i="3"/>
  <c r="BL493" i="3"/>
  <c r="AZ493" i="3" s="1"/>
  <c r="AZ376" i="3"/>
  <c r="AZ390"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3" i="3"/>
  <c r="AZ232" i="3"/>
  <c r="AZ235" i="3"/>
  <c r="AZ248" i="3"/>
  <c r="AZ251"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AC8" i="37" l="1"/>
  <c r="J35" i="37"/>
  <c r="W35" i="37" s="1"/>
  <c r="W31" i="37"/>
  <c r="AB26" i="37"/>
  <c r="U26" i="37"/>
  <c r="W26" i="37"/>
  <c r="W25" i="37"/>
  <c r="F25" i="37"/>
  <c r="AA25" i="37" s="1"/>
  <c r="S15" i="37"/>
  <c r="AA14" i="37"/>
  <c r="J51" i="15"/>
  <c r="H83" i="43"/>
  <c r="H86" i="43"/>
  <c r="H87" i="43"/>
  <c r="H82" i="43"/>
  <c r="C15" i="39"/>
  <c r="A15" i="62"/>
  <c r="B61" i="72" s="1"/>
  <c r="AB34" i="35"/>
  <c r="U34" i="35"/>
  <c r="AC12" i="36"/>
  <c r="W12" i="36"/>
  <c r="U25" i="37"/>
  <c r="AB25" i="37"/>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AZ521" i="3"/>
  <c r="AZ581" i="3"/>
  <c r="BL586" i="3"/>
  <c r="AZ585" i="3"/>
  <c r="G574" i="3"/>
  <c r="G558" i="3"/>
  <c r="AZ402" i="3"/>
  <c r="AZ418" i="3"/>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AZ434" i="3"/>
  <c r="AZ443" i="3"/>
  <c r="AZ445" i="3"/>
  <c r="AZ446" i="3"/>
  <c r="AZ449" i="3"/>
  <c r="AZ450" i="3"/>
  <c r="AZ459" i="3"/>
  <c r="AZ461" i="3"/>
  <c r="AZ462" i="3"/>
  <c r="AZ476" i="3"/>
  <c r="AZ477" i="3"/>
  <c r="AZ480" i="3"/>
  <c r="AZ481" i="3"/>
  <c r="AZ332" i="3"/>
  <c r="AZ395" i="3"/>
  <c r="AZ208" i="3"/>
  <c r="AZ211" i="3"/>
  <c r="AZ217"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67"/>
  <c r="L47" i="15"/>
  <c r="F37" i="67"/>
  <c r="M29" i="15"/>
  <c r="F26" i="15"/>
  <c r="M8" i="67"/>
  <c r="M6" i="15"/>
  <c r="M24" i="67"/>
  <c r="M6" i="67"/>
  <c r="F42" i="15"/>
  <c r="F38" i="15"/>
  <c r="M8" i="15"/>
  <c r="M9" i="67"/>
  <c r="F40" i="67"/>
  <c r="F7" i="15"/>
  <c r="F8" i="15"/>
  <c r="F26" i="67"/>
  <c r="M26" i="67"/>
  <c r="F37" i="15"/>
  <c r="F9" i="15"/>
  <c r="M23" i="15"/>
  <c r="L47" i="67"/>
  <c r="M22" i="15"/>
  <c r="F7" i="67"/>
  <c r="M29" i="67"/>
  <c r="F16" i="67"/>
  <c r="M23" i="67"/>
  <c r="F38" i="67"/>
  <c r="F43" i="15"/>
  <c r="F8" i="67"/>
  <c r="M28" i="15"/>
  <c r="F13" i="67"/>
  <c r="M24" i="15"/>
  <c r="M9" i="15"/>
  <c r="F16" i="15"/>
  <c r="M26" i="15"/>
  <c r="F43" i="67"/>
  <c r="F13" i="15"/>
  <c r="F36" i="15"/>
  <c r="L48" i="15"/>
  <c r="L48" i="67"/>
  <c r="C76" i="15"/>
  <c r="F42" i="67"/>
  <c r="M22" i="67"/>
  <c r="F6" i="15"/>
  <c r="J15" i="15"/>
  <c r="F36" i="67"/>
  <c r="F40" i="15"/>
  <c r="F9" i="67"/>
  <c r="M28" i="67"/>
  <c r="C76" i="67"/>
  <c r="J15" i="67"/>
  <c r="G1" i="73"/>
  <c r="F70" i="15" l="1"/>
  <c r="F52" i="15"/>
  <c r="F49" i="15"/>
  <c r="AA11" i="37"/>
  <c r="D22" i="43"/>
  <c r="C4" i="4"/>
  <c r="B4" i="62" s="1"/>
  <c r="B71" i="72" s="1"/>
  <c r="E4" i="4"/>
  <c r="B5" i="62" s="1"/>
  <c r="B73"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D9" i="68"/>
  <c r="M17" i="67"/>
  <c r="M17" i="15"/>
  <c r="F31" i="15"/>
  <c r="F59" i="67"/>
  <c r="F31" i="67"/>
  <c r="F59" i="15"/>
  <c r="C17" i="15"/>
  <c r="C16" i="67"/>
  <c r="C16" i="15"/>
  <c r="K4" i="4" l="1"/>
  <c r="B46" i="48" s="1"/>
  <c r="B4" i="72" s="1"/>
  <c r="C9" i="68"/>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15"/>
  <c r="M21" i="15"/>
  <c r="F35" i="67"/>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15"/>
  <c r="M27" i="15"/>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E2" i="68"/>
  <c r="D2" i="21"/>
  <c r="D2" i="33"/>
  <c r="D2" i="37"/>
  <c r="D2" i="36"/>
  <c r="F20" i="31"/>
  <c r="D2" i="34"/>
  <c r="D2" i="35"/>
  <c r="B20" i="31" l="1"/>
  <c r="B2" i="36"/>
  <c r="B3" i="36" s="1"/>
  <c r="B2" i="35"/>
  <c r="B3" i="35" s="1"/>
  <c r="B2" i="37"/>
  <c r="B2" i="34"/>
  <c r="B3" i="34" s="1"/>
  <c r="B2" i="21"/>
  <c r="B3" i="21" s="1"/>
  <c r="B2" i="70"/>
  <c r="B3" i="70" s="1"/>
  <c r="B3" i="68"/>
  <c r="D19" i="9"/>
  <c r="D20" i="9"/>
  <c r="C19" i="9"/>
  <c r="C21" i="9" l="1"/>
  <c r="C102" i="9"/>
  <c r="B3" i="37"/>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E14" i="74"/>
  <c r="B5" i="74"/>
  <c r="F14" i="74"/>
  <c r="D13" i="53" l="1"/>
  <c r="B30" i="72" s="1"/>
  <c r="L67" i="9"/>
  <c r="M67" i="9" s="1"/>
  <c r="D122" i="9"/>
  <c r="D123" i="9" s="1"/>
  <c r="D9" i="52" s="1"/>
  <c r="L63" i="9"/>
  <c r="M63" i="9" s="1"/>
  <c r="L65" i="9"/>
  <c r="M65" i="9" s="1"/>
  <c r="H108" i="9"/>
  <c r="D15" i="53" s="1"/>
  <c r="B31" i="72" s="1"/>
  <c r="L66" i="9"/>
  <c r="M66" i="9" s="1"/>
  <c r="L64" i="9"/>
  <c r="M64" i="9" s="1"/>
  <c r="C93" i="9"/>
  <c r="C86" i="9" s="1"/>
  <c r="D52" i="9"/>
  <c r="C78" i="9"/>
  <c r="C73" i="9" s="1"/>
  <c r="C85" i="9"/>
  <c r="C72" i="9"/>
  <c r="D55" i="9"/>
  <c r="M53" i="9" s="1"/>
  <c r="C64" i="9"/>
  <c r="C63" i="9" s="1"/>
  <c r="D6" i="53"/>
  <c r="B22" i="72" s="1"/>
  <c r="D5" i="74"/>
  <c r="C5" i="74"/>
  <c r="D14" i="53"/>
  <c r="B32" i="72" s="1"/>
  <c r="M69" i="9" l="1"/>
  <c r="N69" i="9" s="1"/>
  <c r="D8" i="52"/>
  <c r="G14" i="74"/>
  <c r="B6" i="74" s="1"/>
  <c r="C6" i="74" s="1"/>
  <c r="C95" i="9"/>
  <c r="C67" i="9"/>
  <c r="C68" i="9" s="1"/>
  <c r="D54" i="9" s="1"/>
  <c r="C79" i="9"/>
  <c r="D6" i="74" l="1"/>
  <c r="C96" i="9"/>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<sst xmlns="http://schemas.openxmlformats.org/spreadsheetml/2006/main" count="7700" uniqueCount="3143">
  <si>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</si>
  <si>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</si>
  <si>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</si>
  <si>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</si>
  <si>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</si>
  <si>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</si>
  <si>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</si>
  <si>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</si>
  <si>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</si>
  <si>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</si>
  <si>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</si>
  <si>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</si>
  <si>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</si>
  <si>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</si>
  <si>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</si>
  <si>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</si>
  <si>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</si>
  <si>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</si>
  <si>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</si>
  <si>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</si>
  <si>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</si>
  <si>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</si>
  <si>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</si>
  <si>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</si>
  <si>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</si>
  <si>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</si>
  <si>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</si>
  <si>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</si>
  <si>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</si>
  <si>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</si>
  <si>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</si>
  <si>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</si>
  <si>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</si>
  <si>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</si>
  <si>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</si>
  <si>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</si>
  <si>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</si>
  <si>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</si>
  <si>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</si>
  <si>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</si>
  <si>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</si>
  <si>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</si>
  <si>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</si>
  <si>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</si>
  <si>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</si>
  <si>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</si>
  <si>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</si>
  <si>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</si>
  <si>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</si>
  <si>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</si>
  <si>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</si>
  <si>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</si>
  <si>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</si>
  <si>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</si>
  <si>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</si>
  <si>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</si>
  <si>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</si>
  <si>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</si>
  <si>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</si>
  <si>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</si>
  <si>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</si>
  <si>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</si>
  <si>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</si>
  <si>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</si>
  <si>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</si>
  <si>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</si>
  <si>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</si>
  <si>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</si>
  <si>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</si>
  <si>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</si>
  <si>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</si>
  <si>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</si>
  <si>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</si>
  <si>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</si>
  <si>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</si>
  <si>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</si>
  <si>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</si>
  <si>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</si>
  <si>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</si>
  <si>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</si>
  <si>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</si>
  <si>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</si>
  <si>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</si>
  <si>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</si>
  <si>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</si>
  <si>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</si>
  <si>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</si>
  <si>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</si>
  <si>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</si>
  <si>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</si>
  <si>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</si>
  <si>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</si>
  <si>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</si>
  <si>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</si>
  <si>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</si>
  <si>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</si>
  <si>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</si>
  <si>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</si>
  <si>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</si>
  <si>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</si>
  <si>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</si>
  <si>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</si>
  <si>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</si>
  <si>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</si>
  <si>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</si>
  <si>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</si>
  <si>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</si>
  <si>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</si>
  <si>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</si>
  <si>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</si>
  <si>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</si>
  <si>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</si>
  <si>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</si>
  <si>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</si>
  <si>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</si>
  <si>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</si>
  <si>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</si>
  <si>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</si>
  <si>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</si>
  <si>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</si>
  <si>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</si>
  <si>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</si>
  <si>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</si>
  <si>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</si>
  <si>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</si>
  <si>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</si>
  <si>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</si>
  <si>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</si>
  <si>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</si>
  <si>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</si>
  <si>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</si>
  <si>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</si>
  <si>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</si>
  <si>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</si>
  <si>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</si>
  <si>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</si>
  <si>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</si>
  <si>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</si>
  <si>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</si>
  <si>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</si>
  <si>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</si>
  <si>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</si>
  <si>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</si>
  <si>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</si>
  <si>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</si>
  <si>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</si>
  <si>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</si>
  <si>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</si>
  <si>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</si>
  <si>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</si>
  <si>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</si>
  <si>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</si>
  <si>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</si>
  <si>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</si>
  <si>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</si>
  <si>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</si>
  <si>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</si>
  <si>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</si>
  <si>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</si>
  <si>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</si>
  <si>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</si>
  <si>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</si>
  <si>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</si>
  <si>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</si>
  <si>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</si>
  <si>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</si>
  <si>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</si>
  <si>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</si>
  <si>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</si>
  <si>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</si>
  <si>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</si>
  <si>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</si>
  <si>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</si>
  <si>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</si>
  <si>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</si>
  <si>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</si>
  <si>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</si>
  <si>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</si>
  <si>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</si>
  <si>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</si>
  <si>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</si>
  <si>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</si>
  <si>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</si>
  <si>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</si>
  <si>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</si>
  <si>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</si>
  <si>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</si>
  <si>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</si>
  <si>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</si>
  <si>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</si>
  <si>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</si>
  <si>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</si>
  <si>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</si>
  <si>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</si>
  <si>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</si>
  <si>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</si>
  <si>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</si>
  <si>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</si>
  <si>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</si>
  <si>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</si>
  <si>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</si>
  <si>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</si>
  <si>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</si>
  <si>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</si>
  <si>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</si>
  <si>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</si>
  <si>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</si>
  <si>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</si>
  <si>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</si>
  <si>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</si>
  <si>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</si>
  <si>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</si>
  <si>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</si>
  <si>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</si>
  <si>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</si>
  <si>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</si>
  <si>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</si>
  <si>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</si>
  <si>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</si>
  <si>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</si>
  <si>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</si>
  <si>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</si>
  <si>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</si>
  <si>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</si>
  <si>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</si>
  <si>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</si>
  <si>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</si>
  <si>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</si>
  <si>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</si>
  <si>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</si>
  <si>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</si>
  <si>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</si>
  <si>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</si>
  <si>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</si>
  <si>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</si>
  <si>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</si>
  <si>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</si>
  <si>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</si>
  <si>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</si>
  <si>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</si>
  <si>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</si>
  <si>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</si>
  <si>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</si>
  <si>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</si>
  <si>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</si>
  <si>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</si>
  <si>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</si>
  <si>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</si>
  <si>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</si>
  <si>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</si>
  <si>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</si>
  <si>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</si>
  <si>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</si>
  <si>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</si>
  <si>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</si>
  <si>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</si>
  <si>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</si>
  <si>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</si>
  <si>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</si>
  <si>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</si>
  <si>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</si>
  <si>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</si>
  <si>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</si>
  <si>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</si>
  <si>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</si>
  <si>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</si>
  <si>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</si>
  <si>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</si>
  <si>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</si>
  <si>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</si>
  <si>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</si>
  <si>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</si>
  <si>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</si>
  <si>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</si>
  <si>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</si>
  <si>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</si>
  <si>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</si>
  <si>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</si>
  <si>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</si>
  <si>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</si>
  <si>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</si>
  <si>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</si>
  <si>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</si>
  <si>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</si>
  <si>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</si>
  <si>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</si>
  <si>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</si>
  <si>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</si>
  <si>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</si>
  <si>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</si>
  <si>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</si>
  <si>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</si>
  <si>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</si>
  <si>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</si>
  <si>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</si>
  <si>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</si>
  <si>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</si>
  <si>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</si>
  <si>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</si>
  <si>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</si>
  <si>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</si>
  <si>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</si>
  <si>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</si>
  <si>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</si>
  <si>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</si>
  <si>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</si>
  <si>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</si>
  <si>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</si>
  <si>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</si>
  <si>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</si>
  <si>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</si>
  <si>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</si>
  <si>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</si>
  <si>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</si>
  <si>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</si>
  <si>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</si>
  <si>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</si>
  <si>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</si>
  <si>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</si>
  <si>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</si>
  <si>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</si>
  <si>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</si>
  <si>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</si>
  <si>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</si>
  <si>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</si>
  <si>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</si>
  <si>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</si>
  <si>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</si>
  <si>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</si>
  <si>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</si>
  <si>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</si>
  <si>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</si>
  <si>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</si>
  <si>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</si>
  <si>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</si>
  <si>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</si>
  <si>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</si>
  <si>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</si>
  <si>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</si>
  <si>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</si>
  <si>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</si>
  <si>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</si>
  <si>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</si>
  <si>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</si>
  <si>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</si>
  <si>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</si>
  <si>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</si>
  <si>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</si>
  <si>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</si>
  <si>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</si>
  <si>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</si>
  <si>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</si>
  <si>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</si>
  <si>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</si>
  <si>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</si>
  <si>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</si>
  <si>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</si>
  <si>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</si>
  <si>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</si>
  <si>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</si>
  <si>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</si>
  <si>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</si>
  <si>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</si>
  <si>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</si>
  <si>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</si>
  <si>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</si>
  <si>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</si>
  <si>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</si>
  <si>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</si>
  <si>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</si>
  <si>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</si>
  <si>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</si>
  <si>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</si>
  <si>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</si>
  <si>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</si>
  <si>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</si>
  <si>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</si>
  <si>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</si>
  <si>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</si>
  <si>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</si>
  <si>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</si>
  <si>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</si>
  <si>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</si>
  <si>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</si>
  <si>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</si>
  <si>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</si>
  <si>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</si>
  <si>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</si>
  <si>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</si>
  <si>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</si>
  <si>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</si>
  <si>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</si>
  <si>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</si>
  <si>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</si>
  <si>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</si>
  <si>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</si>
  <si>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</si>
  <si>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</si>
  <si>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</si>
  <si>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</si>
  <si>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</si>
  <si>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</si>
  <si>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</si>
  <si>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</si>
  <si>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</si>
  <si>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</si>
  <si>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</si>
  <si>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</si>
  <si>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</si>
  <si>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</si>
  <si>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</si>
  <si>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</si>
  <si>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</si>
  <si>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</si>
  <si>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</si>
  <si>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</si>
  <si>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</si>
  <si>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</si>
  <si>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</si>
  <si>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</si>
  <si>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</si>
  <si>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</si>
  <si>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</si>
  <si>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</si>
  <si>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</si>
  <si>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</si>
  <si>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</si>
  <si>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</si>
  <si>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</si>
  <si>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</si>
  <si>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</si>
  <si>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</si>
  <si>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</si>
  <si>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</si>
  <si>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</si>
  <si>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</si>
  <si>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</si>
  <si>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</si>
  <si>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</si>
  <si>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</si>
  <si>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</si>
  <si>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</si>
  <si>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</si>
  <si>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</si>
  <si>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</si>
  <si>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</si>
  <si>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</si>
  <si>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</si>
  <si>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</si>
  <si>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</si>
  <si>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</si>
  <si>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</si>
  <si>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</si>
  <si>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</si>
  <si>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</si>
  <si>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</si>
  <si>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</si>
  <si>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</si>
  <si>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</si>
  <si>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</si>
  <si>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</si>
  <si>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</si>
  <si>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</si>
  <si>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</si>
  <si>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</si>
  <si>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</si>
  <si>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</si>
  <si>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</si>
  <si>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</si>
  <si>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</si>
  <si>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</si>
  <si>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</si>
  <si>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</si>
  <si>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</si>
  <si>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</si>
  <si>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</si>
  <si>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</si>
  <si>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</si>
  <si>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</si>
  <si>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</si>
  <si>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</si>
  <si>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</si>
  <si>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</si>
  <si>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</si>
  <si>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</si>
  <si>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</si>
  <si>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</si>
  <si>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</si>
  <si>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</si>
  <si>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</si>
  <si>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</si>
  <si>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</si>
  <si>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</si>
  <si>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</si>
  <si>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</si>
  <si>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</si>
  <si>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</si>
  <si>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</si>
  <si>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</si>
  <si>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</si>
  <si>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</si>
  <si>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</si>
  <si>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</si>
  <si>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</si>
  <si>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</si>
  <si>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</si>
  <si>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</si>
  <si>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</si>
  <si>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</si>
  <si>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</si>
  <si>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</si>
  <si>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</si>
  <si>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</si>
  <si>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</si>
  <si>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</si>
  <si>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</si>
  <si>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</si>
  <si>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</si>
  <si>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</si>
  <si>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</si>
  <si>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</si>
  <si>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</si>
  <si>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</si>
  <si>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</si>
  <si>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</si>
  <si>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</si>
  <si>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</si>
  <si>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</si>
  <si>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</si>
  <si>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</si>
  <si>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</si>
  <si>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</si>
  <si>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</si>
  <si>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</si>
  <si>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</si>
  <si>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</si>
  <si>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</si>
  <si>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</si>
  <si>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</si>
  <si>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</si>
  <si>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</si>
  <si>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</si>
  <si>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</si>
  <si>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</si>
  <si>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</si>
  <si>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</si>
  <si>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</si>
  <si>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</si>
  <si>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</si>
  <si>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</si>
  <si>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</si>
  <si>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</si>
  <si>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</si>
  <si>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</si>
  <si>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</si>
  <si>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</si>
  <si>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</si>
  <si>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</si>
  <si>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</si>
  <si>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</si>
  <si>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</si>
  <si>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</si>
  <si>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</si>
  <si>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</si>
  <si>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</si>
  <si>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</si>
  <si>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</si>
  <si>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</si>
  <si>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</si>
  <si>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</si>
  <si>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</si>
  <si>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</si>
  <si>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</si>
  <si>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</si>
  <si>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</si>
  <si>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</si>
  <si>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</si>
  <si>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</si>
  <si>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</si>
  <si>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</si>
  <si>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</si>
  <si>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</si>
  <si>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</si>
  <si>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</si>
  <si>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</si>
  <si>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</si>
  <si>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</si>
  <si>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</si>
  <si>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</si>
  <si>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</si>
  <si>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</si>
  <si>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</si>
  <si>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</si>
  <si>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</si>
  <si>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</si>
  <si>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</si>
  <si>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</si>
  <si>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</si>
  <si>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</si>
  <si>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</si>
  <si>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</si>
  <si>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</si>
  <si>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</si>
  <si>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</si>
  <si>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</si>
  <si>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</si>
  <si>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</si>
  <si>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</si>
  <si>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</si>
  <si>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</si>
  <si>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</si>
  <si>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</si>
  <si>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</si>
  <si>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</si>
  <si>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</si>
  <si>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</si>
  <si>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</si>
  <si>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</si>
  <si>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</si>
  <si>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</si>
  <si>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</si>
  <si>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</si>
  <si>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</si>
  <si>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</si>
  <si>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</si>
  <si>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</si>
  <si>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</si>
  <si>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</si>
  <si>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</si>
  <si>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</si>
  <si>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</si>
  <si>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</si>
  <si>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</si>
  <si>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</si>
  <si>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</si>
  <si>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</si>
  <si>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</si>
  <si>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</si>
  <si>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</si>
  <si>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</si>
  <si>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</si>
  <si>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</si>
  <si>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</si>
  <si>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</si>
  <si>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</si>
  <si>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</si>
  <si>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</si>
  <si>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</si>
  <si>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</si>
  <si>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</si>
  <si>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</si>
  <si>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</si>
  <si>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</si>
  <si>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</si>
  <si>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</si>
  <si>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</si>
  <si>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</si>
  <si>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</si>
  <si>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</si>
  <si>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</si>
  <si>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</si>
  <si>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</si>
  <si>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</si>
  <si>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</si>
  <si>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</si>
  <si>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</si>
  <si>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</si>
  <si>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</si>
  <si>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</si>
  <si>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</si>
  <si>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</si>
  <si>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</si>
  <si>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</si>
  <si>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</si>
  <si>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</si>
  <si>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</si>
  <si>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</si>
  <si>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</si>
  <si>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</si>
  <si>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</si>
  <si>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</si>
  <si>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</si>
  <si>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</si>
  <si>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</si>
  <si>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</si>
  <si>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</si>
  <si>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</si>
  <si>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</si>
  <si>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</si>
  <si>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</si>
  <si>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</si>
  <si>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</si>
  <si>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</si>
  <si>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</si>
  <si>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</si>
  <si>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</si>
  <si>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</si>
  <si>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</si>
  <si>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</si>
  <si>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</si>
  <si>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</si>
  <si>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</si>
  <si>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</si>
  <si>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</si>
  <si>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</si>
  <si>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</si>
  <si>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</si>
  <si>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</si>
  <si>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</si>
  <si>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</si>
  <si>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</si>
  <si>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</si>
  <si>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</si>
  <si>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</si>
  <si>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</si>
  <si>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</si>
  <si>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</si>
  <si>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</si>
  <si>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</si>
  <si>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</si>
  <si>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</si>
  <si>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</si>
  <si>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</si>
  <si>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</si>
  <si>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</si>
  <si>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</si>
  <si>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</si>
  <si>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</si>
  <si>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</si>
  <si>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</si>
  <si>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</si>
  <si>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</si>
  <si>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</si>
  <si>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</si>
  <si>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</si>
  <si>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</si>
  <si>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</si>
  <si>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</si>
  <si>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</si>
  <si>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</si>
  <si>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</si>
  <si>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</si>
  <si>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</si>
  <si>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</si>
  <si>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</si>
  <si>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</si>
  <si>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</si>
  <si>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</si>
  <si>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</si>
  <si>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</si>
  <si>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</si>
  <si>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</si>
  <si>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</si>
  <si>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</si>
  <si>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</si>
  <si>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</si>
  <si>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</si>
  <si>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</si>
  <si>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</si>
  <si>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</si>
  <si>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</si>
  <si>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</si>
  <si>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</si>
  <si>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</si>
  <si>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</si>
  <si>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</si>
  <si>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</si>
  <si>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</si>
  <si>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</si>
  <si>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</si>
  <si>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</si>
  <si>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</si>
  <si>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</si>
  <si>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</si>
  <si>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</si>
  <si>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</si>
  <si>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</si>
  <si>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</si>
  <si>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</si>
  <si>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</si>
  <si>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</si>
  <si>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</si>
  <si>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</si>
  <si>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</si>
  <si>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</si>
  <si>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</si>
  <si>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</si>
  <si>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</si>
  <si>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</si>
  <si>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</si>
  <si>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</si>
  <si>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</si>
  <si>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</si>
  <si>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</si>
  <si>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</si>
  <si>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</si>
  <si>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</si>
  <si>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</si>
  <si>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</si>
  <si>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</si>
  <si>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</si>
  <si>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</si>
  <si>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</si>
  <si>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</si>
  <si>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</si>
  <si>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</si>
  <si>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</si>
  <si>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</si>
  <si>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</si>
  <si>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</si>
  <si>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</si>
  <si>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</si>
  <si>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</si>
  <si>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</si>
  <si>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</si>
  <si>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</si>
  <si>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</si>
  <si>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</si>
  <si>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</si>
  <si>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</si>
  <si>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</si>
  <si>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</si>
  <si>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</si>
  <si>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</si>
  <si>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</si>
  <si>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</si>
  <si>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</si>
  <si>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</si>
  <si>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</si>
  <si>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</si>
  <si>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</si>
  <si>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</si>
  <si>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</si>
  <si>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</si>
  <si>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</si>
  <si>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</si>
  <si>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</si>
  <si>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</si>
  <si>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</si>
  <si>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</si>
  <si>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</si>
  <si>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</si>
  <si>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</si>
  <si>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</si>
  <si>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</si>
  <si>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</si>
  <si>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</si>
  <si>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</si>
  <si>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</si>
  <si>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</si>
  <si>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</si>
  <si>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</si>
  <si>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</si>
  <si>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</si>
  <si>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</si>
  <si>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</si>
  <si>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</si>
  <si>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</si>
  <si>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</si>
  <si>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</si>
  <si>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</si>
  <si>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</si>
  <si>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</si>
  <si>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</si>
  <si>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</si>
  <si>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</si>
  <si>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</si>
  <si>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</si>
  <si>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</si>
  <si>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</si>
  <si>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</si>
  <si>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</si>
  <si>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</si>
  <si>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</si>
  <si>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</si>
  <si>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</si>
  <si>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</si>
  <si>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</si>
  <si>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</si>
  <si>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</si>
  <si>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</si>
  <si>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</si>
  <si>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</si>
  <si>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</si>
  <si>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</si>
  <si>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</si>
  <si>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</si>
  <si>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</si>
  <si>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</si>
  <si>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</si>
  <si>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</si>
  <si>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</si>
  <si>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</si>
  <si>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</si>
  <si>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</si>
  <si>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</si>
  <si>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</si>
  <si>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</si>
  <si>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</si>
  <si>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</si>
  <si>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</si>
  <si>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</si>
  <si>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</si>
  <si>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</si>
  <si>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</si>
  <si>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</si>
  <si>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</si>
  <si>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</si>
  <si>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</si>
  <si>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</si>
  <si>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</si>
  <si>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</si>
  <si>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</si>
  <si>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</si>
  <si>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</si>
  <si>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</si>
  <si>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</si>
  <si>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</si>
  <si>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</si>
  <si>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</si>
  <si>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</si>
  <si>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</si>
  <si>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</si>
  <si>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</si>
  <si>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</si>
  <si>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</si>
  <si>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</si>
  <si>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</si>
  <si>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</si>
  <si>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</si>
  <si>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</si>
  <si>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</si>
  <si>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</si>
  <si>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</si>
  <si>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</si>
  <si>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</si>
  <si>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</si>
  <si>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</si>
  <si>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</si>
  <si>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</si>
  <si>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</si>
  <si>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</si>
  <si>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</si>
  <si>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</si>
  <si>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</si>
  <si>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</si>
  <si>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</si>
  <si>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</si>
  <si>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</si>
  <si>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</si>
  <si>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</si>
  <si>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</si>
  <si>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</si>
  <si>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</si>
  <si>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</si>
  <si>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</si>
  <si>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</si>
  <si>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</si>
  <si>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</si>
  <si>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</si>
  <si>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</si>
  <si>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</si>
  <si>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</si>
  <si>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</si>
  <si>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</si>
  <si>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</si>
  <si>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</si>
  <si>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</si>
  <si>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</si>
  <si>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</si>
  <si>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</si>
  <si>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</si>
  <si>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</si>
  <si>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</si>
  <si>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</si>
  <si>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</si>
  <si>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</si>
  <si>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</si>
  <si>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</si>
  <si>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</si>
  <si>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</si>
  <si>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</si>
  <si>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</si>
  <si>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</si>
  <si>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</si>
  <si>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</si>
  <si>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</si>
  <si>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</si>
  <si>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</si>
  <si>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</si>
  <si>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</si>
  <si>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</si>
  <si>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</si>
  <si>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</si>
  <si>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</si>
  <si>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</si>
  <si>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</si>
  <si>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</si>
  <si>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</si>
  <si>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</si>
  <si>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</si>
  <si>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</si>
  <si>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</si>
  <si>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</si>
  <si>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</si>
  <si>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</si>
  <si>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</si>
  <si>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</si>
  <si>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</si>
  <si>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</si>
  <si>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</si>
  <si>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</si>
  <si>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</si>
  <si>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</si>
  <si>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</si>
  <si>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</si>
  <si>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</si>
  <si>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</si>
  <si>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</si>
  <si>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</si>
  <si>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</si>
  <si>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</si>
  <si>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</si>
  <si>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</si>
  <si>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</si>
  <si>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</si>
  <si>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</si>
  <si>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</si>
  <si>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</si>
  <si>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</si>
  <si>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</si>
  <si>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</si>
  <si>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</si>
  <si>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</si>
  <si>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</si>
  <si>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</si>
  <si>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</si>
  <si>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</si>
  <si>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</si>
  <si>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</si>
  <si>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</si>
  <si>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</si>
  <si>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</si>
  <si>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</si>
  <si>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</si>
  <si>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</si>
  <si>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</si>
  <si>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</si>
  <si>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</si>
  <si>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</si>
  <si>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</si>
  <si>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</si>
  <si>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</si>
  <si>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</si>
  <si>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</si>
  <si>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</si>
  <si>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</si>
  <si>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</si>
  <si>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</si>
  <si>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</si>
  <si>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</si>
  <si>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</si>
  <si>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</si>
  <si>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</si>
  <si>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</si>
  <si>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</si>
  <si>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</si>
  <si>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</si>
  <si>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</si>
  <si>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</si>
  <si>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</si>
  <si>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</si>
  <si>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</si>
  <si>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</si>
  <si>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</si>
  <si>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</si>
  <si>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</si>
  <si>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</si>
  <si>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</si>
  <si>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</si>
  <si>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</si>
  <si>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</si>
  <si>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</si>
  <si>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</si>
  <si>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</si>
  <si>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</si>
  <si>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</si>
  <si>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</si>
  <si>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</si>
  <si>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</si>
  <si>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</si>
  <si>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</si>
  <si>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</si>
  <si>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</si>
  <si>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</si>
  <si>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</si>
  <si>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</si>
  <si>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</si>
  <si>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</si>
  <si>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</si>
  <si>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</si>
  <si>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</si>
  <si>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</si>
  <si>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</si>
  <si>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</si>
  <si>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</si>
  <si>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</si>
  <si>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</si>
  <si>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</si>
  <si>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</si>
  <si>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</si>
  <si>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</si>
  <si>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</si>
  <si>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</si>
  <si>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</si>
  <si>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</si>
  <si>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</si>
  <si>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</si>
  <si>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</si>
  <si>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</si>
  <si>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</si>
  <si>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</si>
  <si>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</si>
  <si>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</si>
  <si>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</si>
  <si>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</si>
  <si>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</si>
  <si>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</si>
  <si>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</si>
  <si>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</si>
  <si>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</si>
  <si>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</si>
  <si>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</si>
  <si>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</si>
  <si>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</si>
  <si>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</si>
  <si>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</si>
  <si>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</si>
  <si>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</si>
  <si>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</si>
  <si>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</si>
  <si>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</si>
  <si>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</si>
  <si>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</si>
  <si>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</si>
  <si>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</si>
  <si>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</si>
  <si>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</si>
  <si>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</si>
  <si>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</si>
  <si>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</si>
  <si>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</si>
  <si>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</si>
  <si>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</si>
  <si>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</si>
  <si>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</si>
  <si>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</si>
  <si>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</si>
  <si>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</si>
  <si>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</si>
  <si>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</si>
  <si>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</si>
  <si>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</si>
  <si>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</si>
  <si>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</si>
  <si>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</si>
  <si>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</si>
  <si>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</si>
  <si>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</si>
  <si>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</si>
  <si>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</si>
  <si>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</si>
  <si>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</si>
  <si>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</si>
  <si>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</si>
  <si>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</si>
  <si>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</si>
  <si>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</si>
  <si>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</si>
  <si>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</si>
  <si>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</si>
  <si>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</si>
  <si>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</si>
  <si>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</si>
  <si>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</si>
  <si>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</si>
  <si>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</si>
  <si>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</si>
  <si>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</si>
  <si>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</si>
  <si>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</si>
  <si>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</si>
  <si>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</si>
  <si>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</si>
  <si>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</si>
  <si>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</si>
  <si>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</si>
  <si>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</si>
  <si>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</si>
  <si>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</si>
  <si>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</si>
  <si>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</si>
  <si>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</si>
  <si>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</si>
  <si>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</si>
  <si>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</si>
  <si>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</si>
  <si>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</si>
  <si>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</si>
  <si>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</si>
  <si>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</si>
  <si>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</si>
  <si>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</si>
  <si>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</si>
  <si>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</si>
  <si>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</si>
  <si>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</si>
  <si>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</si>
  <si>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</si>
  <si>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</si>
  <si>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</si>
  <si>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</si>
  <si>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</si>
  <si>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</si>
  <si>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</si>
  <si>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</si>
  <si>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</si>
  <si>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</si>
  <si>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</si>
  <si>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</si>
  <si>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</si>
  <si>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</si>
  <si>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</si>
  <si>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</si>
  <si>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</si>
  <si>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</si>
  <si>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</si>
  <si>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</si>
  <si>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</si>
  <si>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</si>
  <si>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</si>
  <si>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</si>
  <si>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</si>
  <si>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</si>
  <si>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</si>
  <si>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</si>
  <si>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</si>
  <si>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</si>
  <si>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</si>
  <si>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</si>
  <si>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</si>
  <si>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</si>
  <si>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</si>
  <si>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</si>
  <si>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</si>
  <si>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</si>
  <si>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</si>
  <si>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</si>
  <si>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</si>
  <si>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</si>
  <si>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</si>
  <si>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</si>
  <si>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</si>
  <si>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</si>
  <si>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</si>
  <si>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</si>
  <si>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</si>
  <si>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</si>
  <si>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</si>
  <si>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</si>
  <si>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</si>
  <si>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</si>
  <si>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</si>
  <si>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</si>
  <si>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</si>
  <si>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</si>
  <si>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</si>
  <si>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</si>
  <si>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</si>
  <si>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</si>
  <si>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</si>
  <si>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</si>
  <si>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</si>
  <si>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</si>
  <si>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</si>
  <si>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</si>
  <si>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</si>
  <si>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</si>
  <si>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</si>
  <si>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</si>
  <si>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</si>
  <si>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</si>
  <si>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</si>
  <si>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</si>
  <si>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</si>
  <si>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</si>
  <si>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</si>
  <si>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</si>
  <si>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</si>
  <si>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</si>
  <si>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</si>
  <si>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</si>
  <si>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</si>
  <si>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</si>
  <si>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</si>
  <si>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</si>
  <si>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</si>
  <si>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</si>
  <si>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</si>
  <si>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</si>
  <si>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</si>
  <si>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</si>
  <si>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</si>
  <si>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</si>
  <si>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</si>
  <si>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</si>
  <si>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</si>
  <si>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</si>
  <si>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</si>
  <si>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</si>
  <si>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</si>
  <si>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</si>
  <si>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</si>
  <si>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</si>
  <si>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</si>
  <si>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</si>
  <si>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</si>
  <si>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</si>
  <si>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</si>
  <si>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</si>
  <si>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</si>
  <si>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</si>
  <si>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</si>
  <si>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</si>
  <si>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</si>
  <si>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</si>
  <si>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</si>
  <si>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</si>
  <si>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</si>
  <si>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</si>
  <si>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</si>
  <si>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</si>
  <si>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</si>
  <si>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</si>
  <si>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</si>
  <si>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</si>
  <si>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</si>
  <si>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</si>
  <si>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</si>
  <si>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</si>
  <si>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</si>
  <si>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</si>
  <si>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</si>
  <si>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</si>
  <si>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</si>
  <si>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</si>
  <si>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</si>
  <si>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</si>
  <si>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</si>
  <si>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</si>
  <si>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</si>
  <si>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</si>
  <si>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</si>
  <si>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</si>
  <si>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</si>
  <si>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</si>
  <si>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</si>
  <si>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</si>
  <si>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</si>
  <si>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</si>
  <si>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</si>
  <si>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</si>
  <si>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</si>
  <si>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</si>
  <si>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</si>
  <si>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</si>
  <si>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</si>
  <si>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</si>
  <si>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</si>
  <si>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</si>
  <si>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</si>
  <si>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</si>
  <si>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</si>
  <si>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</si>
  <si>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</si>
  <si>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</si>
  <si>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</si>
  <si>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</si>
  <si>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</si>
  <si>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</si>
  <si>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</si>
  <si>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</si>
  <si>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</si>
  <si>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</si>
  <si>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</si>
  <si>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</si>
  <si>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</si>
  <si>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</si>
  <si>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</si>
  <si>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</si>
  <si>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</si>
  <si>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</si>
  <si>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</si>
  <si>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</si>
  <si>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</si>
  <si>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</si>
  <si>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</si>
  <si>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</si>
  <si>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</si>
  <si>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</si>
  <si>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</si>
  <si>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</si>
  <si>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</si>
  <si>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</si>
  <si>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</si>
  <si>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</si>
  <si>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</si>
  <si>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</si>
  <si>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</si>
  <si>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</si>
  <si>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</si>
  <si>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</si>
  <si>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</si>
  <si>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</si>
  <si>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</si>
  <si>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</si>
  <si>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</si>
  <si>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</si>
  <si>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</si>
  <si>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</si>
  <si>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</si>
  <si>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</si>
  <si>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</si>
  <si>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</si>
  <si>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</si>
  <si>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</si>
  <si>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</si>
  <si>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</si>
  <si>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</si>
  <si>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</si>
  <si>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</si>
  <si>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</si>
  <si>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</si>
  <si>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</si>
  <si>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</si>
  <si>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</si>
  <si>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</si>
  <si>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</si>
  <si>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</si>
  <si>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</si>
  <si>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</si>
  <si>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</si>
  <si>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</si>
  <si>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</si>
  <si>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</si>
  <si>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</si>
  <si>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</si>
  <si>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</si>
  <si>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</si>
  <si>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</si>
  <si>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</si>
  <si>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</si>
  <si>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</si>
  <si>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</si>
  <si>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</si>
  <si>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</si>
  <si>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</si>
  <si>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</si>
  <si>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</si>
  <si>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</si>
  <si>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</si>
  <si>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</si>
  <si>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</si>
  <si>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</si>
  <si>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</si>
  <si>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</si>
  <si>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</si>
  <si>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</si>
  <si>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</si>
  <si>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</si>
  <si>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</si>
  <si>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</si>
  <si>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</si>
  <si>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</si>
  <si>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</si>
  <si>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</si>
  <si>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</si>
  <si>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</si>
  <si>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</si>
  <si>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</si>
  <si>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</si>
  <si>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</si>
  <si>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</si>
  <si>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</si>
  <si>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</si>
  <si>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</si>
  <si>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</si>
  <si>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</si>
  <si>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</si>
  <si>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</si>
  <si>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</si>
  <si>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</si>
  <si>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</si>
  <si>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</si>
  <si>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</si>
  <si>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</si>
  <si>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</si>
  <si>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</si>
  <si>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</si>
  <si>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</si>
  <si>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</si>
  <si>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</si>
  <si>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</si>
  <si>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</si>
  <si>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</si>
  <si>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</si>
  <si>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</si>
  <si>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</si>
  <si>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</si>
  <si>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</si>
  <si>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</si>
  <si>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</si>
  <si>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</si>
  <si>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</si>
  <si>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</si>
  <si>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</si>
  <si>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</si>
  <si>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</si>
  <si>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</si>
  <si>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</si>
  <si>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</si>
  <si>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</si>
  <si>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</si>
  <si>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</si>
  <si>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</si>
  <si>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</si>
  <si>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</si>
  <si>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</si>
  <si>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</si>
  <si>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</si>
  <si>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</si>
  <si>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</si>
  <si>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</si>
  <si>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</si>
  <si>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</si>
  <si>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</si>
  <si>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</si>
  <si>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</si>
  <si>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</si>
  <si>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</si>
  <si>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</si>
  <si>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</si>
  <si>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</si>
  <si>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</si>
  <si>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</si>
  <si>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</si>
  <si>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</si>
  <si>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</si>
  <si>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</si>
  <si>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</si>
  <si>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</si>
  <si>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</si>
  <si>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</si>
  <si>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</si>
  <si>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</si>
  <si>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</si>
  <si>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</si>
  <si>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</si>
  <si>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</si>
  <si>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</si>
  <si>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</si>
  <si>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</si>
  <si>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</si>
  <si>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</si>
  <si>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</si>
  <si>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</si>
  <si>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</si>
  <si>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</si>
  <si>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</si>
  <si>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</si>
  <si>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</si>
  <si>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</si>
  <si>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</si>
  <si>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</si>
  <si>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</si>
  <si>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</si>
  <si>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</si>
  <si>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</si>
  <si>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</si>
  <si>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</si>
  <si>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</si>
  <si>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</si>
  <si>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</si>
  <si>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</si>
  <si>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</si>
  <si>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</si>
  <si>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</si>
  <si>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</si>
  <si>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</si>
  <si>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</si>
  <si>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</si>
  <si>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</si>
  <si>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</si>
  <si>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</si>
  <si>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</si>
  <si>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</si>
  <si>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</si>
  <si>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</si>
  <si>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</si>
  <si>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</si>
  <si>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</si>
  <si>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</si>
  <si>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</si>
  <si>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</si>
  <si>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</si>
  <si>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</si>
  <si>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</si>
  <si>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</si>
  <si>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</si>
  <si>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</si>
  <si>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</si>
  <si>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</si>
  <si>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</si>
  <si>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</si>
  <si>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</si>
  <si>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</si>
  <si>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</si>
  <si>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</si>
  <si>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</si>
  <si>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</si>
  <si>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</si>
  <si>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</si>
  <si>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</si>
  <si>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</si>
  <si>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</si>
  <si>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</si>
  <si>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</si>
  <si>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</si>
  <si>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</si>
  <si>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</si>
  <si>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</si>
  <si>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</si>
  <si>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</si>
  <si>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</si>
  <si>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</si>
  <si>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</si>
  <si>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</si>
  <si>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</si>
  <si>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</si>
  <si>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</si>
  <si>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</si>
  <si>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</si>
  <si>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</si>
  <si>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</si>
  <si>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</si>
  <si>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</si>
  <si>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</si>
  <si>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</si>
  <si>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</si>
  <si>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</si>
  <si>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</si>
  <si>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</si>
  <si>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</si>
  <si>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</si>
  <si>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</si>
  <si>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</si>
  <si>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</si>
  <si>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</si>
  <si>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</si>
  <si>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</si>
  <si>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</si>
  <si>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</si>
  <si>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</si>
  <si>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</si>
  <si>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</si>
  <si>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</si>
  <si>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</si>
  <si>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</si>
  <si>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</si>
  <si>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</si>
  <si>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</si>
  <si>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</si>
  <si>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</si>
  <si>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</si>
  <si>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</si>
  <si>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</si>
  <si>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</si>
  <si>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</si>
  <si>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</si>
  <si>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</si>
  <si>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</si>
  <si>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</si>
  <si>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</si>
  <si>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</si>
  <si>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</si>
  <si>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</si>
  <si>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</si>
  <si>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</si>
  <si>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</si>
  <si>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</si>
  <si>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</si>
  <si>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</si>
  <si>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</si>
  <si>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</si>
  <si>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</si>
  <si>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</si>
  <si>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</si>
  <si>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</si>
  <si>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</si>
  <si>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</si>
  <si>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</si>
  <si>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</si>
  <si>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</si>
  <si>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</si>
  <si>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</si>
  <si>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</si>
  <si>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</si>
  <si>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</si>
  <si>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</si>
  <si>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</si>
  <si>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</si>
  <si>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</si>
  <si>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</si>
  <si>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</si>
  <si>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</si>
  <si>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</si>
  <si>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</si>
  <si>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</si>
  <si>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</si>
  <si>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</si>
  <si>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</si>
  <si>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</si>
  <si>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</si>
  <si>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</si>
  <si>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</si>
  <si>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</si>
  <si>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</si>
  <si>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</si>
  <si>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</si>
  <si>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</si>
  <si>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</si>
  <si>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</si>
  <si>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</si>
  <si>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</si>
  <si>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</si>
  <si>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</si>
  <si>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</si>
  <si>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</si>
  <si>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</si>
  <si>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</si>
  <si>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</si>
  <si>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</si>
  <si>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</si>
  <si>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</si>
  <si>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</si>
  <si>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</si>
  <si>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</si>
  <si>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</si>
  <si>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</si>
  <si>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</si>
  <si>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</si>
  <si>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</si>
  <si>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</si>
  <si>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</si>
  <si>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</si>
  <si>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</si>
  <si>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</si>
  <si>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</si>
  <si>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</si>
  <si>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</si>
  <si>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</si>
  <si>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</si>
  <si>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</si>
  <si>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</si>
  <si>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</si>
  <si>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</si>
  <si>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</si>
  <si>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</si>
  <si>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</si>
  <si>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</si>
  <si>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</si>
  <si>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</si>
  <si>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</si>
  <si>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</si>
  <si>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</si>
  <si>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</si>
  <si>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</si>
  <si>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</si>
  <si>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</si>
  <si>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</si>
  <si>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</si>
  <si>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</si>
  <si>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</si>
  <si>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</si>
  <si>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</si>
  <si>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</si>
  <si>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</si>
  <si>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</si>
  <si>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</si>
  <si>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</si>
  <si>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</si>
  <si>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</si>
  <si>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</si>
  <si>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</si>
  <si>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</si>
  <si>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</si>
  <si>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</si>
  <si>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</si>
  <si>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</si>
  <si>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</si>
  <si>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</si>
  <si>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</si>
  <si>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</si>
  <si>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</si>
  <si>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</si>
  <si>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</si>
  <si>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</si>
  <si>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</si>
  <si>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</si>
  <si>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</si>
  <si>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</si>
  <si>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</si>
  <si>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</si>
  <si>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</si>
  <si>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</si>
  <si>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</si>
  <si>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</si>
  <si>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</si>
  <si>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</si>
  <si>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</si>
  <si>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</si>
  <si>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</si>
  <si>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</si>
  <si>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</si>
  <si>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</si>
  <si>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</si>
  <si>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</si>
  <si>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</si>
  <si>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</si>
  <si>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</si>
  <si>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</si>
  <si>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</si>
  <si>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</si>
  <si>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</si>
  <si>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</si>
  <si>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</si>
  <si>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</si>
  <si>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</si>
  <si>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</si>
  <si>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</si>
  <si>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</si>
  <si>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</si>
  <si>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</si>
  <si>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</si>
  <si>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</si>
  <si>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</si>
  <si>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</si>
  <si>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</si>
  <si>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</si>
  <si>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</si>
  <si>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</si>
  <si>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</si>
  <si>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</si>
  <si>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</si>
  <si>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</si>
  <si>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</si>
  <si>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</si>
  <si>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</si>
  <si>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</si>
  <si>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</si>
  <si>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</si>
  <si>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</si>
  <si>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</si>
  <si>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</si>
  <si>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</si>
  <si>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</si>
  <si>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</si>
  <si>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</si>
  <si>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</si>
  <si>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</si>
  <si>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</si>
  <si>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</si>
  <si>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</si>
  <si>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</si>
  <si>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</si>
  <si>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</si>
  <si>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</si>
  <si>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</si>
  <si>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</si>
  <si>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</si>
  <si>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</si>
  <si>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</si>
  <si>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</si>
  <si>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</si>
  <si>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</si>
  <si>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</si>
  <si>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</si>
  <si>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</si>
  <si>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</si>
  <si>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</si>
  <si>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</si>
  <si>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</si>
  <si>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</si>
  <si>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</si>
  <si>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</si>
  <si>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</si>
  <si>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</si>
  <si>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</si>
  <si>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</si>
  <si>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</si>
  <si>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</si>
  <si>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</si>
  <si>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</si>
  <si>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</si>
  <si>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</si>
  <si>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</si>
  <si>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</si>
  <si>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</si>
  <si>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</si>
  <si>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</si>
  <si>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</si>
  <si>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</si>
  <si>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</si>
  <si>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</si>
  <si>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</si>
  <si>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</si>
  <si>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</si>
  <si>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</si>
  <si>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</si>
  <si>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</si>
  <si>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</si>
  <si>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</si>
  <si>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</si>
  <si>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</si>
  <si>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</si>
  <si>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</si>
  <si>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</si>
  <si>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</si>
  <si>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</si>
  <si>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</si>
  <si>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</si>
  <si>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</si>
  <si>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</si>
  <si>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</si>
  <si>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</si>
  <si>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</si>
  <si>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</si>
  <si>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</si>
  <si>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</si>
  <si>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</si>
  <si>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</si>
  <si>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</si>
  <si>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</si>
  <si>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</si>
  <si>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</si>
  <si>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</si>
  <si>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</si>
  <si>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</si>
  <si>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</si>
  <si>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</si>
  <si>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</si>
  <si>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</si>
  <si>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</si>
  <si>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</si>
  <si>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</si>
  <si>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</si>
  <si>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</si>
  <si>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</si>
  <si>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</si>
  <si>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</si>
  <si>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</si>
  <si>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</si>
  <si>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</si>
  <si>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</si>
  <si>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</si>
  <si>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</si>
  <si>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</si>
  <si>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</si>
  <si>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</si>
  <si>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</si>
  <si>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</si>
  <si>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</si>
  <si>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</si>
  <si>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</si>
  <si>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</si>
  <si>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</si>
  <si>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</si>
  <si>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</si>
  <si>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</si>
  <si>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</si>
  <si>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</si>
  <si>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</si>
  <si>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</si>
  <si>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</si>
  <si>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</si>
  <si>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</si>
  <si>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</si>
  <si>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</si>
  <si>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</si>
  <si>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</si>
  <si>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</si>
  <si>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</si>
  <si>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</si>
  <si>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</si>
  <si>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</si>
  <si>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</si>
  <si>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</si>
  <si>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</si>
  <si>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</si>
  <si>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</si>
  <si>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</si>
  <si>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</si>
  <si>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</si>
  <si>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</si>
  <si>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</si>
  <si>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</si>
  <si>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</si>
  <si>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</si>
  <si>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</si>
  <si>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</si>
  <si>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</si>
  <si>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</si>
  <si>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</si>
  <si>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</si>
  <si>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</si>
  <si>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</si>
  <si>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</si>
  <si>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</si>
  <si>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</si>
  <si>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</si>
  <si>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</si>
  <si>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</si>
  <si>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</si>
  <si>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</si>
  <si>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</si>
  <si>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</si>
  <si>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</si>
  <si>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</si>
  <si>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</si>
  <si>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</si>
  <si>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</si>
  <si>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</si>
  <si>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</si>
  <si>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</si>
  <si>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</si>
  <si>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</si>
  <si>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</si>
  <si>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</si>
  <si>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</si>
  <si>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</si>
  <si>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</si>
  <si>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</si>
  <si>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</si>
  <si>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</si>
  <si>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</si>
  <si>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</si>
  <si>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</si>
  <si>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</si>
  <si>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</si>
  <si>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</si>
  <si>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</si>
  <si>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</si>
  <si>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</si>
  <si>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</si>
  <si>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</si>
  <si>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</si>
  <si>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</si>
  <si>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</si>
  <si>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</si>
  <si>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</si>
  <si>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</si>
  <si>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</si>
  <si>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</si>
  <si>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</si>
  <si>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</si>
  <si>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</si>
  <si>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</si>
  <si>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</si>
  <si>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</si>
  <si>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</si>
  <si>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</si>
  <si>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</si>
  <si>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</si>
  <si>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</si>
  <si>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</si>
  <si>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</si>
  <si>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</si>
  <si>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</si>
  <si>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</si>
  <si>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</si>
  <si>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</si>
  <si>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</si>
  <si>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</si>
  <si>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</si>
  <si>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</si>
  <si>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</si>
  <si>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</si>
  <si>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</si>
  <si>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</si>
  <si>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</si>
  <si>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</si>
  <si>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</si>
  <si>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</si>
  <si>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</si>
  <si>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</si>
  <si>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</si>
  <si>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</si>
  <si>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</si>
  <si>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</si>
  <si>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</si>
  <si>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</si>
  <si>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</si>
  <si>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</si>
  <si>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</si>
  <si>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</si>
  <si>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</si>
  <si>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</si>
  <si>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</si>
  <si>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</si>
  <si>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</si>
  <si>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</si>
  <si>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</si>
  <si>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</si>
  <si>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</si>
  <si>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</si>
  <si>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</si>
  <si>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</si>
  <si>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</si>
  <si>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</si>
  <si>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</si>
  <si>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</si>
  <si>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</si>
  <si>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</si>
  <si>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</si>
  <si>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</si>
  <si>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</si>
  <si>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</si>
  <si>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</si>
  <si>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</si>
  <si>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</si>
  <si>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</si>
  <si>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</si>
  <si>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</si>
  <si>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</si>
  <si>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</si>
  <si>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</si>
  <si>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</si>
  <si>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</si>
  <si>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</si>
  <si>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</si>
  <si>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</si>
  <si>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</si>
  <si>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</si>
  <si>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</si>
  <si>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</si>
  <si>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</si>
  <si>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</si>
  <si>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</si>
  <si>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</si>
  <si>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</si>
  <si>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</si>
  <si>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</si>
  <si>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</si>
  <si>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</si>
  <si>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</si>
  <si>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</si>
  <si>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</si>
  <si>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</si>
  <si>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</si>
  <si>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</si>
  <si>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</si>
  <si>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</si>
  <si>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</si>
  <si>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</si>
  <si>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</si>
  <si>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</si>
  <si>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</si>
  <si>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</si>
  <si>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</si>
  <si>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</si>
  <si>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</si>
  <si>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</si>
  <si>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</si>
  <si>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</si>
  <si>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</si>
  <si>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</si>
  <si>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</si>
  <si>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</si>
  <si>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</si>
  <si>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</si>
  <si>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</si>
  <si>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</si>
  <si>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</si>
  <si>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</si>
  <si>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</si>
  <si>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</si>
  <si>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</si>
  <si>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</si>
  <si>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</si>
  <si>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</si>
  <si>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</si>
  <si>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</si>
  <si>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</si>
  <si>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</si>
  <si>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</si>
  <si>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</si>
  <si>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</si>
  <si>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</si>
  <si>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</si>
  <si>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</si>
  <si>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</si>
  <si>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</si>
  <si>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</si>
  <si>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</si>
  <si>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</si>
  <si>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</si>
  <si>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</si>
  <si>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</si>
  <si>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</si>
  <si>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</si>
  <si>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</si>
  <si>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</si>
  <si>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</si>
  <si>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</si>
  <si>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</si>
  <si>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</si>
  <si>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</si>
  <si>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</si>
  <si>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</si>
  <si>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</si>
  <si>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</si>
  <si>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</si>
  <si>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</si>
  <si>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</si>
  <si>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</si>
  <si>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</si>
  <si>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</si>
  <si>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</si>
  <si>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</si>
  <si>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</si>
  <si>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</si>
  <si>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</si>
  <si>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</si>
  <si>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</si>
  <si>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</si>
  <si>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</si>
  <si>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</si>
  <si>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</si>
  <si>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</si>
  <si>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</si>
  <si>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</si>
  <si>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</si>
  <si>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</si>
  <si>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</si>
  <si>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</si>
  <si>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</si>
  <si>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</si>
  <si>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</si>
  <si>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</si>
  <si>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</si>
  <si>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</si>
  <si>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</si>
  <si>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</si>
  <si>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</si>
  <si>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</si>
  <si>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</si>
  <si>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</si>
  <si>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</si>
  <si>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</si>
  <si>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</si>
  <si>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</si>
  <si>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</si>
  <si>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</si>
  <si>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</si>
  <si>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</si>
  <si>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</si>
  <si>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</si>
  <si>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</si>
  <si>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</si>
  <si>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</si>
  <si>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</si>
  <si>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</si>
  <si>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</si>
  <si>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</si>
  <si>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</si>
  <si>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</si>
  <si>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</si>
  <si>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</si>
  <si>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</si>
  <si>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</si>
  <si>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</si>
  <si>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</si>
  <si>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</si>
  <si>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</si>
  <si>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</si>
  <si>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</si>
  <si>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</si>
  <si>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</si>
  <si>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</si>
  <si>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</si>
  <si>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</si>
  <si>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</si>
  <si>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</si>
  <si>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</si>
  <si>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</si>
  <si>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</si>
  <si>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</si>
  <si>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</si>
  <si>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</si>
  <si>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</si>
  <si>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</si>
  <si>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</si>
  <si>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</si>
  <si>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</si>
  <si>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</si>
  <si>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</si>
  <si>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</si>
  <si>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</si>
  <si>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</si>
  <si>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</si>
  <si>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</si>
  <si>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</si>
  <si>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</si>
  <si>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</si>
  <si>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</si>
  <si>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</si>
  <si>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</si>
  <si>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</si>
  <si>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</si>
  <si>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</si>
  <si>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</si>
  <si>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</si>
  <si>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</si>
  <si>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</si>
  <si>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</si>
  <si>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</si>
  <si>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</si>
  <si>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</si>
  <si>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</si>
  <si>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</si>
  <si>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</si>
  <si>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</si>
  <si>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</si>
  <si>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</si>
  <si>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</si>
  <si>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</si>
  <si>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</si>
  <si>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</si>
  <si>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</si>
  <si>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</si>
  <si>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</si>
  <si>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</si>
  <si>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</si>
  <si>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</si>
  <si>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</si>
  <si>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</si>
  <si>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</si>
  <si>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</si>
  <si>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</si>
  <si>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</si>
  <si>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</si>
  <si>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</si>
  <si>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</si>
  <si>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</si>
  <si>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</si>
  <si>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</si>
  <si>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</si>
  <si>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</si>
  <si>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</si>
  <si>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</si>
  <si>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</si>
  <si>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</si>
  <si>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</si>
  <si>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</si>
  <si>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</si>
  <si>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</si>
  <si>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</si>
  <si>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</si>
  <si>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</si>
  <si>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</si>
  <si>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</si>
  <si>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</si>
  <si>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</si>
  <si>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</si>
  <si>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</si>
  <si>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</si>
  <si>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</si>
  <si>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</si>
  <si>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</si>
  <si>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</si>
  <si>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</si>
  <si>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</si>
  <si>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</si>
  <si>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</si>
  <si>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</si>
  <si>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</si>
  <si>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</si>
  <si>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</si>
  <si>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</si>
  <si>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</si>
  <si>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</si>
  <si>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</si>
  <si>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</si>
  <si>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</si>
  <si>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</si>
  <si>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</si>
  <si>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</si>
  <si>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</si>
  <si>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</si>
  <si>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</si>
  <si>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</si>
  <si>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</si>
  <si>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</si>
  <si>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</si>
  <si>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</si>
  <si>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</si>
  <si>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</si>
  <si>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</si>
  <si>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</si>
  <si>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</si>
  <si>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</si>
  <si>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</si>
  <si>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</si>
  <si>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</si>
  <si>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</si>
  <si>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</si>
  <si>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</si>
  <si>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</si>
  <si>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</si>
  <si>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</si>
  <si>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</si>
  <si>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</si>
  <si>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</si>
  <si>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</si>
  <si>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</si>
  <si>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</si>
  <si>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</si>
  <si>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</si>
  <si>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</si>
  <si>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</si>
  <si>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</si>
  <si>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</si>
  <si>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</si>
  <si>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</si>
  <si>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</si>
  <si>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</si>
  <si>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</si>
  <si>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</si>
  <si>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</si>
  <si>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</si>
  <si>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</si>
  <si>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</si>
  <si>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</si>
  <si>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</si>
  <si>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</si>
  <si>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</si>
  <si>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</si>
  <si>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</si>
  <si>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</si>
  <si>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</si>
  <si>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</si>
  <si>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</si>
  <si>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</si>
  <si>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</si>
  <si>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</si>
  <si>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</si>
  <si>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</si>
  <si>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</si>
  <si>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</si>
  <si>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</si>
  <si>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</si>
  <si>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</si>
  <si>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</si>
  <si>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</si>
  <si>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</si>
  <si>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</si>
  <si>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</si>
  <si>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</si>
  <si>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</si>
  <si>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</si>
  <si>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</si>
  <si>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</si>
  <si>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</si>
  <si>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</si>
  <si>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</si>
  <si>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</si>
  <si>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</si>
  <si>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</si>
  <si>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</si>
  <si>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</si>
  <si>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</si>
  <si>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</si>
  <si>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</si>
  <si>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</si>
  <si>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</si>
  <si>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</si>
  <si>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</si>
  <si>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</si>
  <si>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</si>
  <si>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</si>
  <si>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</si>
  <si>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</si>
  <si>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</si>
  <si>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</si>
  <si>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</si>
  <si>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</si>
  <si>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</si>
  <si>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</si>
  <si>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</si>
  <si>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</si>
  <si>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</si>
  <si>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</si>
  <si>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</si>
  <si>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</si>
  <si>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</si>
  <si>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</si>
  <si>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</si>
  <si>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</si>
  <si>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</si>
  <si>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</si>
  <si>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</si>
  <si>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</si>
  <si>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</si>
  <si>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</si>
  <si>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</si>
  <si>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</si>
  <si>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</si>
  <si>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</si>
  <si>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</si>
  <si>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</si>
  <si>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</si>
  <si>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</si>
  <si>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</si>
  <si>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</si>
  <si>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</si>
  <si>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</si>
  <si>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</si>
  <si>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</si>
  <si>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</si>
  <si>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</si>
  <si>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</si>
  <si>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</si>
  <si>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</si>
  <si>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</si>
  <si>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</si>
  <si>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</si>
  <si>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</si>
  <si>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</si>
  <si>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</si>
  <si>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</si>
  <si>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</si>
  <si>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</si>
  <si>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</si>
  <si>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</si>
  <si>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</si>
  <si>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</si>
  <si>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</si>
  <si>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</si>
  <si>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</si>
  <si>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</si>
  <si>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</si>
  <si>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</si>
  <si>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</si>
  <si>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</si>
  <si>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</si>
  <si>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</si>
  <si>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</si>
  <si>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</si>
  <si>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</si>
  <si>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</si>
  <si>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</si>
  <si>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</si>
  <si>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</si>
  <si>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</si>
  <si>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</si>
  <si>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</si>
  <si>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</si>
  <si>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</si>
  <si>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</si>
  <si>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</si>
  <si>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</si>
  <si>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</si>
  <si>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</si>
  <si>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</si>
  <si>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</si>
  <si>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</si>
  <si>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</si>
  <si>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</si>
  <si>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</si>
  <si>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</si>
  <si>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</si>
  <si>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</si>
  <si>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</si>
  <si>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</si>
  <si>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</si>
  <si>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</si>
  <si>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</si>
  <si>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</si>
  <si>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</si>
  <si>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</si>
  <si>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</si>
  <si>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</si>
  <si>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</si>
  <si>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</si>
  <si>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</si>
  <si>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</si>
  <si>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</si>
  <si>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</si>
  <si>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</si>
  <si>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</si>
  <si>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</si>
  <si>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</si>
  <si>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</si>
  <si>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</si>
  <si>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</si>
  <si>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</si>
  <si>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</si>
  <si>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</si>
  <si>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</si>
  <si>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</si>
  <si>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</si>
  <si>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</si>
  <si>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</si>
  <si>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</si>
  <si>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</si>
  <si>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</si>
  <si>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</si>
  <si>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</si>
  <si>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</si>
  <si>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</si>
  <si>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</si>
  <si>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</si>
  <si>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</si>
  <si>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</si>
  <si>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</si>
  <si>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</si>
  <si>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</si>
  <si>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</si>
  <si>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</si>
  <si>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</si>
  <si>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</si>
  <si>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</si>
  <si>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</si>
  <si>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</si>
  <si>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</si>
  <si>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</si>
  <si>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</si>
  <si>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</si>
  <si>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</si>
  <si>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</si>
  <si>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</si>
  <si>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</si>
  <si>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</si>
  <si>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</si>
  <si>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</si>
  <si>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</si>
  <si>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</si>
  <si>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</si>
  <si>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</si>
  <si>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</si>
  <si>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</si>
  <si>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</si>
  <si>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</si>
  <si>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</si>
  <si>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</si>
  <si>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</si>
  <si>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</si>
  <si>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</si>
  <si>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</si>
  <si>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</si>
  <si>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</si>
  <si>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</si>
  <si>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</si>
  <si>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</si>
  <si>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</si>
  <si>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</si>
  <si>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</si>
  <si>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</si>
  <si>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</si>
  <si>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</si>
  <si>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</si>
  <si>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</si>
  <si>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</si>
  <si>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</si>
  <si>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</si>
  <si>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</si>
  <si>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</si>
  <si>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</si>
  <si>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</si>
  <si>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</si>
  <si>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</si>
  <si>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</si>
  <si>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</si>
  <si>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</si>
  <si>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</si>
  <si>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</si>
  <si>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</si>
  <si>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</si>
  <si>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</si>
  <si>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</si>
  <si>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</si>
  <si>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</si>
  <si>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</si>
  <si>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</si>
  <si>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</si>
  <si>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</si>
  <si>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</si>
  <si>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</si>
  <si>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</si>
  <si>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</si>
  <si>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</si>
  <si>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</si>
  <si>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</si>
  <si>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</si>
  <si>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</si>
  <si>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</si>
  <si>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</si>
  <si>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</si>
  <si>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</si>
  <si>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</si>
  <si>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</si>
  <si>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</si>
  <si>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</si>
  <si>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</si>
  <si>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</si>
  <si>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</si>
  <si>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</si>
  <si>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</si>
  <si>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</si>
  <si>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</si>
  <si>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</si>
  <si>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</si>
  <si>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</si>
  <si>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</si>
  <si>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</si>
  <si>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</si>
  <si>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</si>
  <si>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</si>
  <si>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</si>
  <si>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</si>
  <si>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</si>
  <si>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</si>
  <si>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</si>
  <si>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</si>
  <si>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</si>
  <si>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</si>
  <si>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</si>
  <si>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</si>
  <si>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</si>
  <si>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</si>
  <si>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</si>
  <si>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</si>
  <si>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</si>
  <si>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</si>
  <si>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</si>
  <si>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</si>
  <si>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</si>
  <si>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</si>
  <si>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</si>
  <si>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</si>
  <si>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</si>
  <si>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</si>
  <si>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</si>
  <si>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</si>
  <si>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</si>
  <si>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</si>
  <si>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</si>
  <si>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</si>
  <si>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</si>
  <si>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</si>
  <si>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</si>
  <si>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</si>
  <si>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</si>
  <si>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</si>
  <si>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</si>
  <si>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</si>
  <si>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</si>
  <si>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</si>
  <si>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</si>
  <si>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</si>
  <si>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</si>
  <si>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</si>
  <si>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</si>
  <si>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</si>
  <si>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</si>
  <si>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</si>
  <si>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</si>
  <si>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</si>
  <si>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</si>
  <si>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</si>
  <si>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</si>
  <si>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</si>
  <si>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</si>
  <si>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</si>
  <si>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</si>
  <si>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</si>
  <si>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</si>
  <si>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</si>
  <si>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</si>
  <si>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</si>
  <si>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</si>
  <si>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</si>
  <si>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</si>
  <si>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</si>
  <si>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</si>
  <si>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</si>
  <si>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</si>
  <si>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</si>
  <si>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</si>
  <si>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</si>
  <si>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</si>
  <si>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</si>
  <si>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</si>
  <si>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</si>
  <si>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</si>
  <si>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</si>
  <si>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</si>
  <si>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</si>
  <si>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</si>
  <si>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</si>
  <si>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</si>
  <si>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</si>
  <si>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</si>
  <si>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</si>
  <si>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</si>
  <si>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</si>
  <si>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</si>
  <si>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</si>
  <si>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</si>
  <si>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</si>
  <si>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</si>
  <si>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</si>
  <si>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</si>
  <si>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</si>
  <si>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</si>
  <si>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</si>
  <si>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</si>
  <si>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</si>
  <si>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</si>
  <si>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</si>
  <si>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</si>
  <si>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</si>
  <si>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</si>
  <si>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</si>
  <si>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</si>
  <si>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</si>
  <si>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</si>
  <si>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</si>
  <si>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</si>
  <si>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</si>
  <si>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</si>
  <si>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</si>
  <si>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</si>
  <si>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</si>
  <si>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</si>
  <si>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</si>
  <si>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</si>
  <si>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</si>
  <si>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</si>
  <si>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</si>
  <si>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</si>
  <si>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</si>
  <si>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</si>
  <si>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</si>
  <si>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</si>
  <si>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</si>
  <si>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</si>
  <si>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</si>
  <si>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</si>
  <si>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</si>
  <si>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</si>
  <si>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</si>
  <si>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</si>
  <si>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</si>
  <si>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</si>
  <si>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</si>
  <si>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</si>
  <si>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</si>
  <si>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</si>
  <si>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</si>
  <si>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</si>
  <si>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</si>
  <si>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</si>
  <si>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</si>
  <si>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</si>
  <si>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</si>
  <si>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</si>
  <si>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</si>
  <si>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</si>
  <si>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</si>
  <si>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</si>
  <si>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</si>
  <si>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</si>
  <si>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</si>
  <si>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</si>
  <si>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</si>
  <si>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</si>
  <si>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</si>
  <si>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</si>
  <si>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</si>
  <si>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</si>
  <si>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</si>
  <si>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</si>
  <si>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</si>
  <si>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</si>
  <si>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</si>
  <si>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</si>
  <si>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</si>
  <si>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</si>
  <si>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</si>
  <si>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</si>
  <si>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</si>
  <si>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</si>
  <si>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</si>
  <si>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</si>
  <si>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</si>
  <si>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</si>
  <si>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</si>
  <si>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</si>
  <si>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</si>
  <si>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</si>
  <si>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</si>
  <si>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</si>
  <si>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</si>
  <si>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</si>
  <si>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</si>
  <si>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</si>
  <si>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</si>
  <si>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</si>
  <si>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</si>
  <si>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</si>
  <si>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</si>
  <si>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</si>
  <si>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</si>
  <si>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</si>
  <si>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</si>
  <si>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</si>
  <si>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</si>
  <si>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</si>
  <si>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</si>
  <si>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</si>
  <si>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</si>
  <si>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</si>
  <si>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</si>
  <si>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</si>
  <si>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</si>
  <si>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</si>
  <si>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</si>
  <si>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</si>
  <si>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</si>
  <si>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</si>
  <si>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</si>
  <si>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</si>
  <si>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</si>
  <si>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</si>
  <si>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</si>
  <si>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</si>
  <si>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</si>
  <si>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</si>
  <si>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</si>
  <si>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</si>
  <si>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</si>
  <si>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</si>
  <si>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</si>
  <si>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</si>
  <si>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</si>
  <si>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</si>
  <si>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</si>
  <si>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</si>
  <si>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</si>
  <si>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</si>
  <si>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</si>
  <si>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</si>
  <si>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</si>
  <si>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</si>
  <si>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</si>
  <si>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</si>
  <si>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</si>
  <si>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</si>
  <si>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</si>
  <si>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</si>
  <si>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</si>
  <si>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</si>
  <si>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</si>
  <si>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</si>
  <si>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</si>
  <si>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</si>
  <si>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</si>
  <si>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</si>
  <si>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</si>
  <si>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</si>
  <si>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</si>
  <si>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</si>
  <si>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</si>
  <si>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</si>
  <si>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</si>
  <si>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</si>
  <si>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</si>
  <si>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</si>
  <si>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</si>
  <si>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</si>
  <si>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</si>
  <si>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</si>
  <si>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</si>
  <si>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</si>
  <si>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</si>
  <si>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</si>
  <si>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</si>
  <si>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</si>
  <si>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</si>
  <si>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</si>
  <si>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</si>
  <si>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</si>
  <si>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</si>
  <si>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</si>
  <si>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</si>
  <si>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</si>
  <si>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</si>
  <si>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</si>
  <si>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</si>
  <si>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</si>
  <si>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</si>
  <si>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</si>
  <si>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</si>
  <si>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</si>
  <si>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</si>
  <si>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</si>
  <si>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</si>
  <si>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</si>
  <si>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</si>
  <si>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</si>
  <si>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</si>
  <si>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</si>
  <si>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</si>
  <si>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北京厦诚科技有限公司</t>
    <phoneticPr fontId="6" type="noConversion"/>
  </si>
  <si>
    <t>抵押</t>
  </si>
  <si>
    <t>房地产抵押价值</t>
  </si>
  <si>
    <t>北京市</t>
  </si>
  <si>
    <r>
      <rPr>
        <sz val="12"/>
        <color theme="9" tint="-0.249977111117893"/>
        <rFont val="宋体"/>
        <family val="3"/>
        <charset val="134"/>
      </rPr>
      <t>昌平区超前路</t>
    </r>
    <r>
      <rPr>
        <sz val="12"/>
        <color theme="9" tint="-0.249977111117893"/>
        <rFont val="Arial"/>
        <family val="2"/>
      </rPr>
      <t>37</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4</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</si>
  <si>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企业</t>
  </si>
  <si>
    <t>出让</t>
  </si>
  <si>
    <t>工业</t>
    <phoneticPr fontId="6" type="noConversion"/>
  </si>
  <si>
    <r>
      <rPr>
        <sz val="12"/>
        <color theme="9" tint="-0.249977111117893"/>
        <rFont val="宋体"/>
        <family val="3"/>
        <charset val="134"/>
      </rPr>
      <t>工业</t>
    </r>
    <r>
      <rPr>
        <sz val="12"/>
        <color theme="9" tint="-0.249977111117893"/>
        <rFont val="Arial"/>
        <family val="2"/>
      </rPr>
      <t>43.03</t>
    </r>
    <r>
      <rPr>
        <sz val="12"/>
        <color theme="9" tint="-0.249977111117893"/>
        <rFont val="宋体"/>
        <family val="3"/>
        <charset val="134"/>
      </rPr>
      <t>年</t>
    </r>
    <phoneticPr fontId="6" type="noConversion"/>
  </si>
  <si>
    <t>《不动产权证书》</t>
  </si>
  <si>
    <t>《不动产权证书》</t>
    <phoneticPr fontId="6" type="noConversion"/>
  </si>
  <si>
    <t>是</t>
  </si>
  <si>
    <t>工业项目</t>
  </si>
  <si>
    <t>无</t>
  </si>
  <si>
    <t>否</t>
  </si>
  <si>
    <t>现房</t>
  </si>
  <si>
    <t>通路</t>
  </si>
  <si>
    <t>通电</t>
  </si>
  <si>
    <t>通讯</t>
  </si>
  <si>
    <t>通上水</t>
  </si>
  <si>
    <t>通下水</t>
  </si>
  <si>
    <t>Ⅶ-昌平园北Ⅰ</t>
  </si>
  <si>
    <t>办公楼</t>
  </si>
  <si>
    <t>地上</t>
  </si>
  <si>
    <t>工业立项办公</t>
  </si>
  <si>
    <t>工业立项办公</t>
    <phoneticPr fontId="7" type="noConversion"/>
  </si>
  <si>
    <t>成新度</t>
  </si>
  <si>
    <t>收益法</t>
  </si>
  <si>
    <t>估价对象所在区域基础设施水平七通</t>
    <phoneticPr fontId="25" type="noConversion"/>
  </si>
  <si>
    <t>该园区内是否有污染型企业，绿化情况，卫生条件，整体环境状况判断，较好</t>
    <phoneticPr fontId="41" type="noConversion"/>
  </si>
  <si>
    <t>较好</t>
    <phoneticPr fontId="25" type="noConversion"/>
  </si>
  <si>
    <t>支路</t>
    <phoneticPr fontId="25" type="noConversion"/>
  </si>
  <si>
    <t>产业用地</t>
  </si>
  <si>
    <t>不临58条商业街</t>
  </si>
  <si>
    <t>五通一平</t>
  </si>
  <si>
    <t>缺少</t>
  </si>
  <si>
    <t>通热</t>
  </si>
  <si>
    <t>燃气</t>
  </si>
  <si>
    <t>按公示增长率计算</t>
  </si>
  <si>
    <t>容积率修正</t>
  </si>
  <si>
    <t>未包含在土地购买价格中</t>
  </si>
  <si>
    <t>全部缴纳</t>
  </si>
  <si>
    <t>已包含在土地取得成本中</t>
  </si>
  <si>
    <t>押一</t>
  </si>
  <si>
    <t>钢混</t>
  </si>
  <si>
    <t>非生产用房</t>
  </si>
  <si>
    <t>2018-1-0123</t>
    <phoneticPr fontId="6" type="noConversion"/>
  </si>
  <si>
    <t>工商银行总行北京分行昌平支行</t>
    <phoneticPr fontId="6" type="noConversion"/>
  </si>
  <si>
    <t>工业立项办公楼</t>
    <phoneticPr fontId="3" type="noConversion"/>
  </si>
  <si>
    <t>租户</t>
    <phoneticPr fontId="143" type="noConversion"/>
  </si>
  <si>
    <t>万德兴业科技有限公司</t>
    <phoneticPr fontId="143" type="noConversion"/>
  </si>
  <si>
    <t>建筑面积</t>
  </si>
  <si>
    <t>建筑面积</t>
    <phoneticPr fontId="143" type="noConversion"/>
  </si>
  <si>
    <t>位置</t>
    <phoneticPr fontId="143" type="noConversion"/>
  </si>
  <si>
    <t>一层</t>
    <phoneticPr fontId="143" type="noConversion"/>
  </si>
  <si>
    <t>租期起始</t>
    <phoneticPr fontId="143" type="noConversion"/>
  </si>
  <si>
    <t>终止</t>
    <phoneticPr fontId="143" type="noConversion"/>
  </si>
  <si>
    <t>增长</t>
    <phoneticPr fontId="143" type="noConversion"/>
  </si>
  <si>
    <t>0.1元</t>
    <phoneticPr fontId="143" type="noConversion"/>
  </si>
  <si>
    <t>日租金</t>
    <phoneticPr fontId="143" type="noConversion"/>
  </si>
  <si>
    <t>当前年租金</t>
    <phoneticPr fontId="143" type="noConversion"/>
  </si>
  <si>
    <t>齐力众信科技有限公司</t>
    <phoneticPr fontId="143" type="noConversion"/>
  </si>
  <si>
    <t>三层、四层</t>
    <phoneticPr fontId="143" type="noConversion"/>
  </si>
  <si>
    <t>押金</t>
    <phoneticPr fontId="143" type="noConversion"/>
  </si>
  <si>
    <t>二层</t>
    <phoneticPr fontId="143" type="noConversion"/>
  </si>
  <si>
    <t>平均日租金</t>
    <phoneticPr fontId="143" type="noConversion"/>
  </si>
  <si>
    <t>价值时点</t>
  </si>
  <si>
    <t>法定最高/出让年限</t>
  </si>
  <si>
    <t>终止日期</t>
  </si>
  <si>
    <t>剩余土地使用年限</t>
  </si>
  <si>
    <t>年期修正系数</t>
  </si>
  <si>
    <t>报酬率-土地</t>
  </si>
  <si>
    <t>估价对象位于中关村兴业创业园，园区建设成熟度较好，产业集聚程度较好</t>
    <phoneticPr fontId="41" type="noConversion"/>
  </si>
  <si>
    <t>估价对象周边道路状况较好、公共交通通达情况一般、停车便捷程度一般，综合评价交通便捷度一般</t>
    <phoneticPr fontId="41" type="noConversion"/>
  </si>
  <si>
    <t>估价对象所在区域公共配套设施有农村商业银行、上海浦东发展银行、世纪华联、容中超市、中国石油大学附属中学、昌平五中等，齐备情况较好</t>
    <phoneticPr fontId="41" type="noConversion"/>
  </si>
  <si>
    <t>多面临街</t>
  </si>
  <si>
    <t>比较法-工业</t>
  </si>
  <si>
    <t>售价</t>
  </si>
  <si>
    <t>中关村兴业创业园</t>
    <phoneticPr fontId="3" type="noConversion"/>
  </si>
  <si>
    <t>企业墅</t>
    <phoneticPr fontId="3" type="noConversion"/>
  </si>
  <si>
    <t>中关村兴业创业园</t>
    <phoneticPr fontId="3" type="noConversion"/>
  </si>
  <si>
    <t>工业</t>
    <phoneticPr fontId="32" type="noConversion"/>
  </si>
  <si>
    <t>40-50（含）</t>
  </si>
  <si>
    <t>较好</t>
  </si>
  <si>
    <t>一般</t>
  </si>
  <si>
    <t>七通</t>
  </si>
  <si>
    <t>板楼</t>
  </si>
  <si>
    <t>板楼</t>
    <phoneticPr fontId="32" type="noConversion"/>
  </si>
  <si>
    <t>钢混</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</si>
  <si>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</si>
  <si>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</si>
  <si>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</si>
  <si>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</si>
  <si>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</si>
  <si>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</si>
  <si>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</si>
  <si>
    <t>毛坯</t>
    <phoneticPr fontId="32" type="noConversion"/>
  </si>
  <si>
    <t>专业物业管理</t>
  </si>
  <si>
    <t>专业物业管理</t>
    <phoneticPr fontId="32" type="noConversion"/>
  </si>
  <si>
    <t>六通</t>
  </si>
  <si>
    <t>五通</t>
  </si>
  <si>
    <t>四通</t>
  </si>
  <si>
    <t>三通</t>
  </si>
  <si>
    <t>北控宏创大厦</t>
    <phoneticPr fontId="3" type="noConversion"/>
  </si>
  <si>
    <t>租金</t>
  </si>
  <si>
    <t>土地面积</t>
  </si>
  <si>
    <t>生命科技园</t>
    <phoneticPr fontId="3" type="noConversion"/>
  </si>
  <si>
    <t>高于市场租金未使用</t>
    <phoneticPr fontId="143" type="noConversion"/>
  </si>
  <si>
    <t>http://www.zgc-cp.gov.cn/p344.aspx</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</si>
</sst>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258" fillId="0" borderId="0" applyNumberFormat="0" applyFill="0" applyBorder="0" applyAlignment="0" applyProtection="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7" borderId="0"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0" fontId="50" fillId="17" borderId="15" xfId="0" applyFont="1" applyFill="1" applyBorder="1" applyAlignment="1" applyProtection="1">
      <alignment horizontal="center" vertical="center" wrapText="1"/>
      <protection locked="0"/>
    </xf>
    <xf numFmtId="0" fontId="50" fillId="17" borderId="74" xfId="0" applyFont="1" applyFill="1" applyBorder="1" applyAlignment="1" applyProtection="1">
      <alignment horizontal="center" vertical="center" wrapText="1"/>
      <protection locked="0"/>
    </xf>
    <xf numFmtId="0" fontId="50" fillId="17" borderId="24" xfId="0" applyFont="1" applyFill="1" applyBorder="1" applyAlignment="1" applyProtection="1">
      <alignment horizontal="center" vertical="center" wrapText="1"/>
      <protection locked="0"/>
    </xf>
    <xf numFmtId="184" fontId="180" fillId="17" borderId="24" xfId="0" applyNumberFormat="1" applyFont="1" applyFill="1" applyBorder="1" applyAlignment="1" applyProtection="1">
      <alignment horizontal="left" vertical="center" shrinkToFit="1"/>
      <protection locked="0"/>
    </xf>
    <xf numFmtId="0" fontId="180" fillId="17" borderId="24" xfId="0" applyFont="1" applyFill="1" applyBorder="1" applyAlignment="1" applyProtection="1">
      <alignment horizontal="left" vertical="center" wrapText="1"/>
      <protection locked="0"/>
    </xf>
    <xf numFmtId="0" fontId="180" fillId="17" borderId="79" xfId="0" applyFont="1" applyFill="1" applyBorder="1" applyAlignment="1" applyProtection="1">
      <alignment horizontal="left" vertical="center" wrapText="1"/>
      <protection locked="0"/>
    </xf>
    <xf numFmtId="0" fontId="64" fillId="17" borderId="7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50" fillId="17" borderId="1"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protection locked="0"/>
    </xf>
    <xf numFmtId="0" fontId="56" fillId="17" borderId="9" xfId="0" applyFont="1" applyFill="1" applyBorder="1" applyAlignment="1" applyProtection="1">
      <alignment horizontal="center" vertical="center" wrapText="1"/>
      <protection locked="0"/>
    </xf>
    <xf numFmtId="0" fontId="53" fillId="17" borderId="9" xfId="0" applyFont="1" applyFill="1" applyBorder="1" applyAlignment="1" applyProtection="1">
      <alignment horizontal="left" vertical="center" wrapText="1"/>
      <protection locked="0"/>
    </xf>
    <xf numFmtId="0" fontId="57" fillId="17" borderId="5" xfId="1" applyFont="1" applyFill="1" applyBorder="1" applyAlignment="1" applyProtection="1">
      <alignment vertical="center"/>
      <protection locked="0"/>
    </xf>
    <xf numFmtId="0" fontId="190" fillId="17" borderId="5" xfId="0" applyFont="1" applyFill="1" applyBorder="1" applyAlignment="1" applyProtection="1">
      <alignment vertical="center"/>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9" fontId="99" fillId="0" borderId="0" xfId="0" applyNumberFormat="1" applyFont="1">
      <alignment vertical="center"/>
    </xf>
    <xf numFmtId="181" fontId="55" fillId="18" borderId="61" xfId="0" applyNumberFormat="1" applyFont="1" applyFill="1" applyBorder="1" applyAlignment="1" applyProtection="1">
      <alignment horizontal="center" vertical="center"/>
      <protection locked="0"/>
    </xf>
    <xf numFmtId="0" fontId="118" fillId="6" borderId="26" xfId="0" applyFont="1" applyFill="1" applyBorder="1" applyAlignment="1"/>
    <xf numFmtId="184" fontId="254" fillId="0" borderId="67" xfId="0" applyNumberFormat="1" applyFont="1" applyFill="1" applyBorder="1" applyAlignment="1" applyProtection="1">
      <alignment horizontal="center" vertical="center"/>
      <protection locked="0"/>
    </xf>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6" fillId="6" borderId="9" xfId="0" applyFont="1" applyFill="1" applyBorder="1" applyAlignment="1" applyProtection="1">
      <alignment horizontal="center" vertical="center" wrapText="1"/>
    </xf>
    <xf numFmtId="179" fontId="256" fillId="6" borderId="9" xfId="0" applyNumberFormat="1" applyFont="1" applyFill="1" applyBorder="1" applyAlignment="1" applyProtection="1">
      <alignment horizontal="center" vertical="center" wrapText="1"/>
    </xf>
    <xf numFmtId="0" fontId="256" fillId="6" borderId="10" xfId="0"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0"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0"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55" fillId="18" borderId="1" xfId="0" applyFont="1" applyFill="1" applyBorder="1" applyAlignment="1" applyProtection="1">
      <alignment horizontal="center" vertical="center"/>
      <protection locked="0"/>
    </xf>
    <xf numFmtId="0" fontId="61" fillId="18" borderId="3" xfId="0" applyNumberFormat="1" applyFont="1" applyFill="1" applyBorder="1" applyAlignment="1" applyProtection="1">
      <alignment horizontal="center" vertical="center" wrapText="1"/>
      <protection locked="0"/>
    </xf>
    <xf numFmtId="0" fontId="99" fillId="18" borderId="0" xfId="0" applyFont="1" applyFill="1">
      <alignment vertical="center"/>
    </xf>
    <xf numFmtId="0" fontId="0" fillId="18" borderId="0" xfId="0" applyFill="1">
      <alignment vertical="center"/>
    </xf>
    <xf numFmtId="0" fontId="258" fillId="0" borderId="0" xfId="13">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49" fontId="106" fillId="2" borderId="6" xfId="0" applyNumberFormat="1" applyFont="1" applyFill="1" applyBorder="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xdr:row>
      <xdr:rowOff>85725</xdr:rowOff>
    </xdr:from>
    <xdr:to>
      <xdr:col>12</xdr:col>
      <xdr:colOff>322782</xdr:colOff>
      <xdr:row>87</xdr:row>
      <xdr:rowOff>8913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029825"/>
          <a:ext cx="8552382" cy="4895238"/>
        </a:xfrm>
        <a:prstGeom prst="rect">
          <a:avLst/>
        </a:prstGeom>
      </xdr:spPr>
    </xdr:pic>
    <xdr:clientData/>
  </xdr:twoCellAnchor>
  <xdr:twoCellAnchor editAs="oneCell">
    <xdr:from>
      <xdr:col>0</xdr:col>
      <xdr:colOff>0</xdr:colOff>
      <xdr:row>92</xdr:row>
      <xdr:rowOff>104775</xdr:rowOff>
    </xdr:from>
    <xdr:to>
      <xdr:col>13</xdr:col>
      <xdr:colOff>132220</xdr:colOff>
      <xdr:row>118</xdr:row>
      <xdr:rowOff>94694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5878175"/>
          <a:ext cx="9047620" cy="4447619"/>
        </a:xfrm>
        <a:prstGeom prst="rect">
          <a:avLst/>
        </a:prstGeom>
      </xdr:spPr>
    </xdr:pic>
    <xdr:clientData/>
  </xdr:twoCellAnchor>
  <xdr:twoCellAnchor editAs="oneCell">
    <xdr:from>
      <xdr:col>0</xdr:col>
      <xdr:colOff>0</xdr:colOff>
      <xdr:row>0</xdr:row>
      <xdr:rowOff>0</xdr:rowOff>
    </xdr:from>
    <xdr:to>
      <xdr:col>12</xdr:col>
      <xdr:colOff>170401</xdr:colOff>
      <xdr:row>30</xdr:row>
      <xdr:rowOff>161262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8400001" cy="5304762"/>
        </a:xfrm>
        <a:prstGeom prst="rect">
          <a:avLst/>
        </a:prstGeom>
      </xdr:spPr>
    </xdr:pic>
    <xdr:clientData/>
  </xdr:twoCellAnchor>
  <xdr:twoCellAnchor editAs="oneCell">
    <xdr:from>
      <xdr:col>0</xdr:col>
      <xdr:colOff>0</xdr:colOff>
      <xdr:row>30</xdr:row>
      <xdr:rowOff>57150</xdr:rowOff>
    </xdr:from>
    <xdr:to>
      <xdr:col>12</xdr:col>
      <xdr:colOff>189448</xdr:colOff>
      <xdr:row>59</xdr:row>
      <xdr:rowOff>18434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200650"/>
          <a:ext cx="8419048" cy="4933334"/>
        </a:xfrm>
        <a:prstGeom prst="rect">
          <a:avLst/>
        </a:prstGeom>
      </xdr:spPr>
    </xdr:pic>
    <xdr:clientData/>
  </xdr:twoCellAnchor>
  <xdr:twoCellAnchor editAs="oneCell">
    <xdr:from>
      <xdr:col>12</xdr:col>
      <xdr:colOff>85725</xdr:colOff>
      <xdr:row>0</xdr:row>
      <xdr:rowOff>0</xdr:rowOff>
    </xdr:from>
    <xdr:to>
      <xdr:col>25</xdr:col>
      <xdr:colOff>122707</xdr:colOff>
      <xdr:row>30</xdr:row>
      <xdr:rowOff>37453</xdr:rowOff>
    </xdr:to>
    <xdr:pic>
      <xdr:nvPicPr>
        <xdr:cNvPr id="7" name="图片 6"/>
        <xdr:cNvPicPr>
          <a:picLocks noChangeAspect="1"/>
        </xdr:cNvPicPr>
      </xdr:nvPicPr>
      <xdr:blipFill>
        <a:blip xmlns:r="http://schemas.openxmlformats.org/officeDocument/2006/relationships" r:embed="rId5"/>
        <a:stretch>
          <a:fillRect/>
        </a:stretch>
      </xdr:blipFill>
      <xdr:spPr>
        <a:xfrm>
          <a:off x="8315325" y="0"/>
          <a:ext cx="8952382" cy="5180953"/>
        </a:xfrm>
        <a:prstGeom prst="rect">
          <a:avLst/>
        </a:prstGeom>
      </xdr:spPr>
    </xdr:pic>
    <xdr:clientData/>
  </xdr:twoCellAnchor>
  <xdr:twoCellAnchor editAs="oneCell">
    <xdr:from>
      <xdr:col>0</xdr:col>
      <xdr:colOff>0</xdr:colOff>
      <xdr:row>120</xdr:row>
      <xdr:rowOff>0</xdr:rowOff>
    </xdr:from>
    <xdr:to>
      <xdr:col>13</xdr:col>
      <xdr:colOff>246505</xdr:colOff>
      <xdr:row>132</xdr:row>
      <xdr:rowOff>37838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574000"/>
          <a:ext cx="9161905" cy="2095238"/>
        </a:xfrm>
        <a:prstGeom prst="rect">
          <a:avLst/>
        </a:prstGeom>
      </xdr:spPr>
    </xdr:pic>
    <xdr:clientData/>
  </xdr:twoCellAnchor>
  <xdr:twoCellAnchor editAs="oneCell">
    <xdr:from>
      <xdr:col>0</xdr:col>
      <xdr:colOff>0</xdr:colOff>
      <xdr:row>133</xdr:row>
      <xdr:rowOff>0</xdr:rowOff>
    </xdr:from>
    <xdr:to>
      <xdr:col>13</xdr:col>
      <xdr:colOff>46505</xdr:colOff>
      <xdr:row>142</xdr:row>
      <xdr:rowOff>123617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802850"/>
          <a:ext cx="8961905" cy="1666667"/>
        </a:xfrm>
        <a:prstGeom prst="rect">
          <a:avLst/>
        </a:prstGeom>
      </xdr:spPr>
    </xdr:pic>
    <xdr:clientData/>
  </xdr:twoCellAnchor>
  <xdr:twoCellAnchor editAs="oneCell">
    <xdr:from>
      <xdr:col>0</xdr:col>
      <xdr:colOff>0</xdr:colOff>
      <xdr:row>143</xdr:row>
      <xdr:rowOff>0</xdr:rowOff>
    </xdr:from>
    <xdr:to>
      <xdr:col>13</xdr:col>
      <xdr:colOff>313172</xdr:colOff>
      <xdr:row>161</xdr:row>
      <xdr:rowOff>18662</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4517350"/>
          <a:ext cx="9228572" cy="3104762"/>
        </a:xfrm>
        <a:prstGeom prst="rect">
          <a:avLst/>
        </a:prstGeom>
      </xdr:spPr>
    </xdr:pic>
    <xdr:clientData/>
  </xdr:twoCellAnchor>
  <xdr:twoCellAnchor editAs="oneCell">
    <xdr:from>
      <xdr:col>0</xdr:col>
      <xdr:colOff>0</xdr:colOff>
      <xdr:row>162</xdr:row>
      <xdr:rowOff>0</xdr:rowOff>
    </xdr:from>
    <xdr:to>
      <xdr:col>14</xdr:col>
      <xdr:colOff>46420</xdr:colOff>
      <xdr:row>170</xdr:row>
      <xdr:rowOff>18876</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7774900"/>
          <a:ext cx="9647620" cy="1390476"/>
        </a:xfrm>
        <a:prstGeom prst="rect">
          <a:avLst/>
        </a:prstGeom>
      </xdr:spPr>
    </xdr:pic>
    <xdr:clientData/>
  </xdr:twoCellAnchor>
  <xdr:twoCellAnchor editAs="oneCell">
    <xdr:from>
      <xdr:col>0</xdr:col>
      <xdr:colOff>0</xdr:colOff>
      <xdr:row>171</xdr:row>
      <xdr:rowOff>0</xdr:rowOff>
    </xdr:from>
    <xdr:to>
      <xdr:col>13</xdr:col>
      <xdr:colOff>341743</xdr:colOff>
      <xdr:row>179</xdr:row>
      <xdr:rowOff>18876</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9317950"/>
          <a:ext cx="9257143" cy="1390476"/>
        </a:xfrm>
        <a:prstGeom prst="rect">
          <a:avLst/>
        </a:prstGeom>
      </xdr:spPr>
    </xdr:pic>
    <xdr:clientData/>
  </xdr:twoCellAnchor>
  <xdr:twoCellAnchor editAs="oneCell">
    <xdr:from>
      <xdr:col>0</xdr:col>
      <xdr:colOff>0</xdr:colOff>
      <xdr:row>180</xdr:row>
      <xdr:rowOff>0</xdr:rowOff>
    </xdr:from>
    <xdr:to>
      <xdr:col>14</xdr:col>
      <xdr:colOff>27372</xdr:colOff>
      <xdr:row>194</xdr:row>
      <xdr:rowOff>104462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30861000"/>
          <a:ext cx="9628572"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www.zgc-cp.gov.cn/p344.aspx"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北京市昌平区超前路37号院20号楼1至4层101号房地产抵押价值预评估</v>
      </c>
    </row>
    <row r="3" spans="1:2" s="1595" customFormat="1">
      <c r="A3" s="1593" t="s">
        <v>1221</v>
      </c>
      <c r="B3" s="1594" t="str">
        <f>'预评函-封皮'!B40</f>
        <v>北京厦诚科技有限公司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康正预评字2018-1-0123号</v>
      </c>
    </row>
    <row r="6" spans="1:2" s="1592" customFormat="1" ht="15" thickTop="1">
      <c r="A6" s="1590" t="s">
        <v>1224</v>
      </c>
      <c r="B6" s="1591" t="str">
        <f>'预评函-1'!A4</f>
        <v>受贵公司委托，我公司对北京市昌平区超前路37号院20号楼1至4层101号房地产抵押价值进行了预评估。</v>
      </c>
    </row>
    <row r="7" spans="1:2" s="1595" customFormat="1">
      <c r="A7" s="1593" t="s">
        <v>1264</v>
      </c>
      <c r="B7" s="1594" t="str">
        <f>'预评函-1'!A7</f>
        <v>估价对象为北京市昌平区超前路37号院20号楼1至4层101号房地产，为北京厦诚科技有限公司所有。根据《不动产权证书》，估价对象（分摊）出让国有建设用地使用权面积为0平方米，建筑面积为1246.4平方米。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昌平区超前路37号院20号楼1至4层101号房地产,属北京厦诚科技有限公司开发建设的工业项目，该项目尚在开发建设中。根据《不动产权证书》，估价对象（分摊）出让国有建设用地使用权面积为0平方米，规划建筑面积为1246.4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为估价委托人在向工商银行总行北京分行昌平支行办理贷款手续过程中，确定房地产抵押贷款额度提供参考依据而评估房地产抵押价值。</v>
      </c>
    </row>
    <row r="12" spans="1:2" s="1595" customFormat="1">
      <c r="A12" s="1593" t="s">
        <v>1226</v>
      </c>
      <c r="B12" s="1594" t="str">
        <f>'预评函-1'!A15</f>
        <v>2018年3月6日（评估专业人员实地查勘之日）</v>
      </c>
    </row>
    <row r="13" spans="1:2" s="1595" customFormat="1">
      <c r="A13" s="1593" t="s">
        <v>1227</v>
      </c>
      <c r="B13" s="1594" t="str">
        <f>'预评函-1'!A18</f>
        <v>本次估价的“房地产价值”是指在正常市场情况下，在价值时点2018年3月6日，估价对象规划用途为工业，土地取得方式为出让，出让国有建设用地使用权剩余土地使用年限为工业43.03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红线内场地平整条件下，剩余土地使用年限为工业43.03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1995</v>
      </c>
    </row>
    <row r="21" spans="1:2" s="1595" customFormat="1">
      <c r="A21" s="1593" t="s">
        <v>1235</v>
      </c>
      <c r="B21" s="1594">
        <f ca="1">'预评函-2'!D7</f>
        <v>16006</v>
      </c>
    </row>
    <row r="22" spans="1:2" s="1595" customFormat="1">
      <c r="A22" s="1593" t="s">
        <v>1236</v>
      </c>
      <c r="B22" s="1594" t="str">
        <f ca="1">'预评函-2'!D6</f>
        <v>壹仟玖佰玖拾伍万元整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1995</v>
      </c>
    </row>
    <row r="31" spans="1:2" s="1595" customFormat="1">
      <c r="A31" s="1593" t="s">
        <v>1274</v>
      </c>
      <c r="B31" s="1594">
        <f ca="1">'预评函-2'!D15</f>
        <v>16006</v>
      </c>
    </row>
    <row r="32" spans="1:2" s="1595" customFormat="1">
      <c r="A32" s="1593" t="s">
        <v>1241</v>
      </c>
      <c r="B32" s="1594" t="str">
        <f ca="1">'预评函-2'!D14</f>
        <v>壹仟玖佰玖拾伍万元整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北京市昌平区超前路37号院20号楼1至4层101号房地产</v>
      </c>
    </row>
    <row r="42" spans="1:2" s="1595" customFormat="1">
      <c r="A42" s="1593" t="s">
        <v>1288</v>
      </c>
      <c r="B42" s="1594" t="str">
        <f>'预评函-3'!B2</f>
        <v>建筑面积</v>
      </c>
    </row>
    <row r="43" spans="1:2" s="1595" customFormat="1">
      <c r="A43" s="1593" t="s">
        <v>1289</v>
      </c>
      <c r="B43" s="1594">
        <f>'预评函-3'!B4</f>
        <v>1246.4000000000001</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为估价委托人在向工商银行总行北京分行昌平支行办理贷款手续过程中，确定房地产抵押贷款额度提供参考依据而评估房地产抵押价值。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厦诚科技有限公司拟使用北京市昌平区超前路37号院20号楼1至4层101号房地产作为抵押担保物，向工商银行总行北京分行昌平支行办理贷款手续。工商银行总行北京分行昌平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8"/>
      <c r="B54" s="2024" t="s">
        <v>864</v>
      </c>
      <c r="C54" s="2021" t="s">
        <v>1281</v>
      </c>
    </row>
    <row r="55" spans="1:4">
      <c r="A55" s="3038"/>
      <c r="B55" s="2024" t="s">
        <v>865</v>
      </c>
      <c r="C55" s="2021" t="s">
        <v>1282</v>
      </c>
    </row>
    <row r="56" spans="1:4">
      <c r="A56" s="3038"/>
      <c r="B56" s="2024" t="s">
        <v>866</v>
      </c>
      <c r="C56" s="2021" t="s">
        <v>1286</v>
      </c>
    </row>
    <row r="57" spans="1:4">
      <c r="A57" s="303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38" sqref="I3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5" customWidth="1"/>
    <col min="10" max="10" width="10" style="2034" customWidth="1"/>
    <col min="11" max="11" width="10" style="2156" customWidth="1"/>
    <col min="12" max="13" width="10" style="2157" customWidth="1"/>
    <col min="14" max="14" width="10" style="2034" customWidth="1"/>
    <col min="15" max="15" width="10" style="2155" customWidth="1"/>
    <col min="16" max="17" width="10" style="2034"/>
    <col min="18" max="18" width="10" style="2034" customWidth="1"/>
    <col min="19" max="16384" width="10" style="2034"/>
  </cols>
  <sheetData>
    <row r="1" spans="1:19" ht="38.25" customHeight="1" thickBot="1">
      <c r="A1" s="2027" t="s">
        <v>1776</v>
      </c>
      <c r="B1" s="3047" t="str">
        <f>IF(B10="北京市","北京市",C10)&amp;F10&amp;IF(结果表!G1="在建","出让国有建设用地使用权及在建建筑物",IF(结果表!G1="土地","出让国有建设用地使用权",))&amp;B9&amp;"预评估"</f>
        <v>北京市昌平区超前路37号院20号楼1至4层101号房地产抵押价值预评估</v>
      </c>
      <c r="C1" s="3048"/>
      <c r="D1" s="3048"/>
      <c r="E1" s="3048"/>
      <c r="F1" s="3048"/>
      <c r="G1" s="3048"/>
      <c r="H1" s="3048"/>
      <c r="I1" s="304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北京市昌平区超前路37号院20号楼1至4层101号房地产抵押价值</v>
      </c>
    </row>
    <row r="2" spans="1:19" ht="18" customHeight="1">
      <c r="A2" s="2028" t="s">
        <v>1777</v>
      </c>
      <c r="B2" s="2941" t="s">
        <v>3080</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北京市昌平区超前路37号院20号楼1至4层101号房地产</v>
      </c>
    </row>
    <row r="3" spans="1:19" ht="18" customHeight="1">
      <c r="A3" s="2037" t="s">
        <v>1778</v>
      </c>
      <c r="B3" s="2038">
        <v>43165</v>
      </c>
      <c r="C3" s="2039" t="s">
        <v>1779</v>
      </c>
      <c r="D3" s="2038">
        <f>B3</f>
        <v>43165</v>
      </c>
      <c r="E3" s="2028"/>
      <c r="F3" s="2028"/>
      <c r="G3" s="2028"/>
      <c r="H3" s="2028"/>
      <c r="I3" s="2028"/>
      <c r="J3" s="2028"/>
      <c r="K3" s="2029"/>
      <c r="L3" s="2030"/>
      <c r="M3" s="2030"/>
      <c r="N3" s="2031"/>
      <c r="O3" s="2032"/>
      <c r="P3" s="2031"/>
      <c r="Q3" s="2031"/>
      <c r="R3" s="2031"/>
      <c r="S3" s="2033"/>
    </row>
    <row r="4" spans="1:19" ht="18" customHeight="1" thickBot="1">
      <c r="A4" s="2040" t="s">
        <v>1780</v>
      </c>
      <c r="B4" s="2041" t="s">
        <v>3032</v>
      </c>
      <c r="C4" s="1040">
        <f ca="1">SUMIF(注册房地产估价师,B4,估价师及机构信息!B3:B24)</f>
        <v>1120000080</v>
      </c>
      <c r="D4" s="2041" t="s">
        <v>3033</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37.5" customHeight="1" thickTop="1">
      <c r="A5" s="2046" t="s">
        <v>1781</v>
      </c>
      <c r="B5" s="2942" t="s">
        <v>3034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1" t="s">
        <v>3081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北京厦诚科技有限公司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3035</v>
      </c>
      <c r="C8" s="2056"/>
      <c r="D8" s="3050" t="s">
        <v>1785</v>
      </c>
      <c r="E8" s="2057" t="s">
        <v>3036</v>
      </c>
      <c r="F8" s="2058"/>
      <c r="G8" s="2028"/>
      <c r="H8" s="2028"/>
      <c r="I8" s="2028"/>
      <c r="J8" s="2044"/>
      <c r="K8" s="2045"/>
      <c r="L8" s="2030"/>
      <c r="M8" s="2030"/>
      <c r="N8" s="2031"/>
      <c r="O8" s="2032"/>
      <c r="P8" s="2031"/>
      <c r="Q8" s="2031"/>
      <c r="R8" s="2031"/>
    </row>
    <row r="9" spans="1:19" ht="18" customHeight="1" thickBot="1">
      <c r="A9" s="2042" t="s">
        <v>1786</v>
      </c>
      <c r="B9" s="2059" t="s">
        <v>3036</v>
      </c>
      <c r="C9" s="2060"/>
      <c r="D9" s="3051"/>
      <c r="E9" s="2059" t="s">
        <v>70</v>
      </c>
      <c r="F9" s="2061"/>
      <c r="G9" s="2062"/>
      <c r="H9" s="2062"/>
      <c r="I9" s="2062"/>
      <c r="J9" s="2044"/>
      <c r="K9" s="2054"/>
      <c r="L9" s="2030"/>
      <c r="M9" s="2030"/>
      <c r="N9" s="2031"/>
      <c r="O9" s="2032"/>
      <c r="P9" s="2031"/>
      <c r="Q9" s="2031"/>
      <c r="R9" s="2031"/>
    </row>
    <row r="10" spans="1:19" ht="18" customHeight="1" thickTop="1">
      <c r="A10" s="2063" t="s">
        <v>1787</v>
      </c>
      <c r="B10" s="2064" t="s">
        <v>3037</v>
      </c>
      <c r="C10" s="2065"/>
      <c r="D10" s="2048"/>
      <c r="E10" s="2066" t="s">
        <v>1788</v>
      </c>
      <c r="F10" s="2067" t="s">
        <v>3038</v>
      </c>
      <c r="G10" s="2068"/>
      <c r="H10" s="2069"/>
      <c r="I10" s="2048"/>
      <c r="J10" s="2044"/>
      <c r="K10" s="2054"/>
      <c r="L10" s="2030"/>
      <c r="M10" s="2030"/>
      <c r="N10" s="2031"/>
      <c r="O10" s="2032"/>
      <c r="P10" s="2031"/>
      <c r="Q10" s="2031"/>
      <c r="R10" s="2031"/>
    </row>
    <row r="11" spans="1:19" ht="18" customHeight="1">
      <c r="A11" s="2070" t="s">
        <v>1789</v>
      </c>
      <c r="B11" s="2071" t="s">
        <v>3039</v>
      </c>
      <c r="C11" s="2072" t="str">
        <f>B5</f>
        <v>北京厦诚科技有限公司</v>
      </c>
      <c r="D11" s="2073"/>
      <c r="E11" s="2044"/>
      <c r="F11" s="2044"/>
      <c r="G11" s="2044"/>
      <c r="H11" s="2044"/>
      <c r="I11" s="2044"/>
      <c r="J11" s="2044"/>
      <c r="K11" s="2054"/>
      <c r="L11" s="2030"/>
      <c r="M11" s="2030"/>
      <c r="N11" s="2031"/>
      <c r="O11" s="2032"/>
      <c r="P11" s="2031"/>
      <c r="Q11" s="2031"/>
      <c r="R11" s="2031"/>
    </row>
    <row r="12" spans="1:19" ht="18" customHeight="1">
      <c r="A12" s="2074" t="s">
        <v>1790</v>
      </c>
      <c r="B12" s="2071" t="s">
        <v>3040</v>
      </c>
      <c r="C12" s="2075" t="s">
        <v>1791</v>
      </c>
      <c r="D12" s="2076" t="s">
        <v>1792</v>
      </c>
      <c r="E12" s="2076" t="s">
        <v>1793</v>
      </c>
      <c r="F12" s="2076" t="s">
        <v>1794</v>
      </c>
      <c r="G12" s="2076" t="s">
        <v>1795</v>
      </c>
      <c r="H12" s="2076" t="s">
        <v>1796</v>
      </c>
      <c r="I12" s="2076" t="s">
        <v>1797</v>
      </c>
      <c r="J12" s="2044"/>
      <c r="K12" s="2054"/>
      <c r="L12" s="2030"/>
      <c r="M12" s="2030"/>
      <c r="N12" s="2031"/>
      <c r="O12" s="2032"/>
      <c r="P12" s="2031"/>
      <c r="Q12" s="2031"/>
      <c r="R12" s="2031"/>
    </row>
    <row r="13" spans="1:19" ht="18" customHeight="1">
      <c r="A13" s="2077"/>
      <c r="B13" s="2078"/>
      <c r="C13" s="2079" t="s">
        <v>1798</v>
      </c>
      <c r="D13" s="2080"/>
      <c r="E13" s="2080"/>
      <c r="F13" s="2080"/>
      <c r="G13" s="2080"/>
      <c r="H13" s="2080"/>
      <c r="I13" s="1049">
        <v>58872</v>
      </c>
      <c r="J13" s="2044"/>
      <c r="K13" s="2054"/>
      <c r="L13" s="2030"/>
      <c r="M13" s="2030"/>
      <c r="N13" s="2031"/>
      <c r="O13" s="2032"/>
      <c r="P13" s="2031"/>
      <c r="Q13" s="2031"/>
      <c r="R13" s="2031"/>
    </row>
    <row r="14" spans="1:19" ht="18" customHeight="1">
      <c r="A14" s="2077"/>
      <c r="B14" s="2078"/>
      <c r="C14" s="2079" t="s">
        <v>1799</v>
      </c>
      <c r="D14" s="1052"/>
      <c r="E14" s="1052"/>
      <c r="F14" s="1052"/>
      <c r="G14" s="1052"/>
      <c r="H14" s="1052"/>
      <c r="I14" s="1052">
        <v>50</v>
      </c>
      <c r="J14" s="2044"/>
      <c r="K14" s="2081"/>
      <c r="L14" s="2030"/>
      <c r="M14" s="2030"/>
      <c r="N14" s="2031"/>
      <c r="O14" s="2032"/>
      <c r="P14" s="2031"/>
      <c r="Q14" s="2031"/>
      <c r="R14" s="2031"/>
    </row>
    <row r="15" spans="1:19" ht="18" customHeight="1">
      <c r="A15" s="2063"/>
      <c r="B15" s="2082"/>
      <c r="C15" s="2079"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43.03</v>
      </c>
      <c r="J15" s="2044"/>
      <c r="K15" s="2083"/>
      <c r="L15" s="2084"/>
      <c r="M15" s="2084"/>
      <c r="N15" s="2085"/>
      <c r="O15" s="2084"/>
      <c r="P15" s="2085"/>
      <c r="Q15" s="2031"/>
      <c r="R15" s="2031"/>
    </row>
    <row r="16" spans="1:19" ht="30.75" customHeight="1">
      <c r="A16" s="2066" t="s">
        <v>1801</v>
      </c>
      <c r="B16" s="3057" t="s">
        <v>3041</v>
      </c>
      <c r="C16" s="3058"/>
      <c r="D16" s="3059"/>
      <c r="E16" s="2086" t="s">
        <v>1802</v>
      </c>
      <c r="F16" s="3060" t="s">
        <v>3042</v>
      </c>
      <c r="G16" s="3061"/>
      <c r="H16" s="3061"/>
      <c r="I16" s="3062"/>
      <c r="J16" s="2031"/>
      <c r="K16" s="2083"/>
      <c r="L16" s="2084"/>
      <c r="M16" s="2084"/>
      <c r="N16" s="2085"/>
      <c r="O16" s="2084"/>
      <c r="P16" s="2085"/>
      <c r="Q16" s="2031"/>
      <c r="R16" s="2031"/>
    </row>
    <row r="17" spans="1:22" ht="18" customHeight="1">
      <c r="A17" s="2087" t="s">
        <v>1803</v>
      </c>
      <c r="B17" s="2037" t="s">
        <v>1804</v>
      </c>
      <c r="C17" s="1056">
        <f>'数据-汇总表'!E3</f>
        <v>1246.4000000000001</v>
      </c>
      <c r="D17" s="2088" t="s">
        <v>1805</v>
      </c>
      <c r="E17" s="3063" t="s">
        <v>3044</v>
      </c>
      <c r="F17" s="3064"/>
      <c r="G17" s="3064"/>
      <c r="H17" s="3064"/>
      <c r="I17" s="3065"/>
      <c r="J17" s="2031"/>
      <c r="K17" s="2089"/>
      <c r="L17" s="2084"/>
      <c r="M17" s="2084"/>
      <c r="N17" s="2085"/>
      <c r="O17" s="2084"/>
      <c r="P17" s="2085"/>
      <c r="Q17" s="2031"/>
      <c r="R17" s="2031"/>
      <c r="S17" s="2031"/>
      <c r="T17" s="2031"/>
      <c r="U17" s="2031"/>
      <c r="V17" s="2031"/>
    </row>
    <row r="18" spans="1:22" ht="36" customHeight="1" thickBot="1">
      <c r="A18" s="2090" t="s">
        <v>1806</v>
      </c>
      <c r="B18" s="2040" t="s">
        <v>1807</v>
      </c>
      <c r="C18" s="1446">
        <f>'数据-汇总表'!D3</f>
        <v>0</v>
      </c>
      <c r="D18" s="2091" t="s">
        <v>1805</v>
      </c>
      <c r="E18" s="3063" t="s">
        <v>3044</v>
      </c>
      <c r="F18" s="3064"/>
      <c r="G18" s="3064"/>
      <c r="H18" s="3064"/>
      <c r="I18" s="3065"/>
      <c r="J18" s="2031"/>
      <c r="K18" s="2089"/>
      <c r="L18" s="2084"/>
      <c r="M18" s="2084"/>
      <c r="N18" s="2085"/>
      <c r="O18" s="2084"/>
      <c r="P18" s="2085"/>
      <c r="Q18" s="2031"/>
      <c r="R18" s="2031"/>
      <c r="S18" s="2031"/>
      <c r="T18" s="2031"/>
      <c r="U18" s="2031"/>
      <c r="V18" s="2031"/>
    </row>
    <row r="19" spans="1:22" ht="37.5" customHeight="1" thickTop="1" thickBot="1">
      <c r="A19" s="373" t="s">
        <v>1808</v>
      </c>
      <c r="B19" s="352" t="s">
        <v>1809</v>
      </c>
      <c r="C19" s="2943" t="s">
        <v>3048</v>
      </c>
      <c r="D19" s="2092" t="s">
        <v>1810</v>
      </c>
      <c r="E19" s="2944" t="s">
        <v>3048</v>
      </c>
      <c r="F19" s="2093" t="str">
        <f>IF(AND(C19="是",E19="否"),"是否提供他项权证或相关说明","")</f>
        <v/>
      </c>
      <c r="G19" s="2094"/>
      <c r="H19" s="2044"/>
      <c r="I19" s="2044"/>
      <c r="J19" s="2044"/>
      <c r="K19" s="2054"/>
      <c r="L19" s="2030"/>
      <c r="M19" s="2030"/>
      <c r="N19" s="2085"/>
      <c r="O19" s="2084"/>
      <c r="P19" s="2085"/>
      <c r="Q19" s="2031"/>
      <c r="R19" s="2031"/>
      <c r="S19" s="2031"/>
      <c r="T19" s="2031"/>
      <c r="U19" s="2031"/>
      <c r="V19" s="2031"/>
    </row>
    <row r="20" spans="1:22" ht="18" customHeight="1">
      <c r="A20" s="2095" t="s">
        <v>1811</v>
      </c>
      <c r="B20" s="3053" t="s">
        <v>1812</v>
      </c>
      <c r="C20" s="3054"/>
      <c r="D20" s="3055" t="s">
        <v>1813</v>
      </c>
      <c r="E20" s="3056"/>
      <c r="F20" s="2096" t="s">
        <v>1814</v>
      </c>
      <c r="G20" s="2044"/>
      <c r="H20" s="2044"/>
      <c r="I20" s="2044"/>
      <c r="J20" s="2044"/>
      <c r="K20" s="3052" t="s">
        <v>1815</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0"/>
      <c r="N20" s="2085"/>
      <c r="O20" s="2084"/>
      <c r="P20" s="2085"/>
      <c r="Q20" s="2031"/>
      <c r="R20" s="2031"/>
      <c r="S20" s="2031"/>
      <c r="T20" s="2031"/>
      <c r="U20" s="2031"/>
      <c r="V20" s="2031"/>
    </row>
    <row r="21" spans="1:22" ht="24.75" customHeight="1">
      <c r="A21" s="2095"/>
      <c r="B21" s="2097" t="s">
        <v>3043</v>
      </c>
      <c r="C21" s="2945" t="s">
        <v>1816</v>
      </c>
      <c r="D21" s="2099"/>
      <c r="E21" s="2100"/>
      <c r="F21" s="2101"/>
      <c r="G21" s="2044"/>
      <c r="H21" s="2044"/>
      <c r="I21" s="2044"/>
      <c r="J21" s="2044"/>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5"/>
      <c r="B22" s="2102"/>
      <c r="C22" s="2098"/>
      <c r="D22" s="2028"/>
      <c r="E22" s="2028"/>
      <c r="F22" s="2103"/>
      <c r="G22" s="2044"/>
      <c r="H22" s="2044"/>
      <c r="I22" s="2044"/>
      <c r="J22" s="2044"/>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4" t="s">
        <v>1817</v>
      </c>
      <c r="B23" s="183" t="s">
        <v>1818</v>
      </c>
      <c r="C23" s="2946"/>
      <c r="D23" s="2105" t="s">
        <v>1818</v>
      </c>
      <c r="E23" s="2106"/>
      <c r="F23" s="2103"/>
      <c r="G23" s="2044"/>
      <c r="H23" s="2044"/>
      <c r="I23" s="2044"/>
      <c r="J23" s="2044"/>
      <c r="K23" s="2107"/>
      <c r="L23" s="748"/>
      <c r="M23" s="2030"/>
      <c r="N23" s="2085"/>
      <c r="O23" s="2084"/>
      <c r="P23" s="2085"/>
      <c r="Q23" s="2031"/>
      <c r="R23" s="2031"/>
      <c r="S23" s="2031"/>
      <c r="T23" s="2031"/>
      <c r="U23" s="2031"/>
      <c r="V23" s="2031"/>
    </row>
    <row r="24" spans="1:22" ht="18" customHeight="1">
      <c r="A24" s="2108"/>
      <c r="B24" s="183" t="s">
        <v>1819</v>
      </c>
      <c r="C24" s="2947"/>
      <c r="D24" s="2104" t="s">
        <v>1819</v>
      </c>
      <c r="E24" s="2109"/>
      <c r="F24" s="2103"/>
      <c r="G24" s="2044"/>
      <c r="H24" s="2044"/>
      <c r="I24" s="2044"/>
      <c r="J24" s="2044"/>
      <c r="K24" s="2107"/>
      <c r="L24" s="748"/>
      <c r="M24" s="2030"/>
      <c r="N24" s="2085"/>
      <c r="O24" s="2084"/>
      <c r="P24" s="2085"/>
      <c r="Q24" s="2031"/>
      <c r="R24" s="2031"/>
      <c r="S24" s="2031"/>
      <c r="T24" s="2031"/>
      <c r="U24" s="2031"/>
      <c r="V24" s="2031"/>
    </row>
    <row r="25" spans="1:22" ht="18" customHeight="1">
      <c r="A25" s="2108"/>
      <c r="B25" s="183" t="s">
        <v>1820</v>
      </c>
      <c r="C25" s="2947"/>
      <c r="D25" s="2104" t="s">
        <v>1820</v>
      </c>
      <c r="E25" s="2109"/>
      <c r="F25" s="2103"/>
      <c r="G25" s="2044"/>
      <c r="H25" s="2044"/>
      <c r="I25" s="2044"/>
      <c r="J25" s="2044"/>
      <c r="K25" s="2054"/>
      <c r="L25" s="2030"/>
      <c r="M25" s="2030"/>
      <c r="N25" s="2085"/>
      <c r="O25" s="2084"/>
      <c r="P25" s="2085"/>
      <c r="Q25" s="2031"/>
      <c r="R25" s="2031"/>
      <c r="S25" s="2031"/>
      <c r="T25" s="2031"/>
      <c r="U25" s="2031"/>
      <c r="V25" s="2031"/>
    </row>
    <row r="26" spans="1:22" ht="18" customHeight="1" thickBot="1">
      <c r="A26" s="2110"/>
      <c r="B26" s="2111" t="s">
        <v>1821</v>
      </c>
      <c r="C26" s="2948"/>
      <c r="D26" s="2112" t="s">
        <v>1822</v>
      </c>
      <c r="E26" s="2113"/>
      <c r="F26" s="2114"/>
      <c r="G26" s="2062"/>
      <c r="H26" s="2062"/>
      <c r="I26" s="2062"/>
      <c r="J26" s="2044"/>
      <c r="K26" s="2054"/>
      <c r="L26" s="2030"/>
      <c r="M26" s="2030"/>
      <c r="N26" s="2085"/>
      <c r="O26" s="2084"/>
      <c r="P26" s="2085"/>
      <c r="Q26" s="2031"/>
      <c r="R26" s="2031"/>
      <c r="S26" s="2031"/>
      <c r="T26" s="2031"/>
      <c r="U26" s="2031"/>
      <c r="V26" s="2031"/>
    </row>
    <row r="27" spans="1:22" ht="18" customHeight="1" thickTop="1">
      <c r="A27" s="3040" t="s">
        <v>1823</v>
      </c>
      <c r="B27" s="2063" t="s">
        <v>1824</v>
      </c>
      <c r="C27" s="2115" t="s">
        <v>3046</v>
      </c>
      <c r="D27" s="2116"/>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40"/>
      <c r="B28" s="2037" t="s">
        <v>1825</v>
      </c>
      <c r="C28" s="2117" t="s">
        <v>3047</v>
      </c>
      <c r="D28" s="2118"/>
      <c r="E28" s="2044"/>
      <c r="F28" s="2044"/>
      <c r="G28" s="2044"/>
      <c r="H28" s="2044"/>
      <c r="I28" s="2044"/>
      <c r="J28" s="2031"/>
      <c r="K28" s="2119"/>
      <c r="L28" s="2030"/>
      <c r="M28" s="2030"/>
      <c r="N28" s="2031"/>
      <c r="O28" s="2032"/>
      <c r="P28" s="2031"/>
      <c r="Q28" s="2031"/>
      <c r="R28" s="2031"/>
      <c r="S28" s="2031"/>
      <c r="T28" s="2031"/>
      <c r="U28" s="2031"/>
      <c r="V28" s="2031"/>
    </row>
    <row r="29" spans="1:22" ht="18" customHeight="1">
      <c r="A29" s="3040"/>
      <c r="B29" s="2037" t="s">
        <v>1826</v>
      </c>
      <c r="C29" s="2120" t="s">
        <v>3048</v>
      </c>
      <c r="D29" s="2121"/>
      <c r="E29" s="2044"/>
      <c r="F29" s="2044"/>
      <c r="G29" s="2044"/>
      <c r="H29" s="2044"/>
      <c r="I29" s="2044"/>
      <c r="J29" s="2031"/>
      <c r="K29" s="2119"/>
      <c r="L29" s="2030"/>
      <c r="M29" s="2030"/>
      <c r="N29" s="2031"/>
      <c r="O29" s="2032"/>
      <c r="P29" s="2031"/>
      <c r="Q29" s="2031"/>
      <c r="R29" s="2031"/>
      <c r="S29" s="2031"/>
      <c r="T29" s="2031"/>
      <c r="U29" s="2031"/>
      <c r="V29" s="2031"/>
    </row>
    <row r="30" spans="1:22" ht="18" customHeight="1">
      <c r="A30" s="3041"/>
      <c r="B30" s="2037" t="s">
        <v>1827</v>
      </c>
      <c r="C30" s="3042"/>
      <c r="D30" s="3043"/>
      <c r="E30" s="2044"/>
      <c r="F30" s="2044"/>
      <c r="G30" s="2044"/>
      <c r="H30" s="2044"/>
      <c r="I30" s="2044"/>
      <c r="J30" s="2031"/>
      <c r="K30" s="2119"/>
      <c r="L30" s="2030"/>
      <c r="M30" s="2030"/>
      <c r="N30" s="2031"/>
      <c r="O30" s="2032"/>
      <c r="P30" s="2031"/>
      <c r="Q30" s="2031"/>
      <c r="R30" s="2031"/>
      <c r="S30" s="2031"/>
      <c r="T30" s="2031"/>
      <c r="U30" s="2031"/>
      <c r="V30" s="2031"/>
    </row>
    <row r="31" spans="1:22" ht="18" customHeight="1">
      <c r="A31" s="3044" t="s">
        <v>1828</v>
      </c>
      <c r="B31" s="2122" t="s">
        <v>3049</v>
      </c>
      <c r="C31" s="2123" t="str">
        <f>IF(B31="现房","成新及维护状况正常否",IF(B31="在建","工程状态是否正常",IF(B31="土地","是否闲置","-")))</f>
        <v>成新及维护状况正常否</v>
      </c>
      <c r="D31" s="2124"/>
      <c r="E31" s="2125"/>
      <c r="F31" s="2044"/>
      <c r="G31" s="2044"/>
      <c r="H31" s="2044"/>
      <c r="I31" s="2044"/>
      <c r="J31" s="2044"/>
      <c r="K31" s="2052"/>
      <c r="L31" s="2030"/>
      <c r="M31" s="2030"/>
      <c r="N31" s="2031"/>
      <c r="O31" s="2032"/>
      <c r="P31" s="2031"/>
      <c r="Q31" s="2031"/>
      <c r="R31" s="2031"/>
      <c r="S31" s="2031"/>
      <c r="T31" s="2031"/>
      <c r="U31" s="2031"/>
      <c r="V31" s="2031"/>
    </row>
    <row r="32" spans="1:22" ht="18" customHeight="1">
      <c r="A32" s="3045"/>
      <c r="B32" s="2122"/>
      <c r="C32" s="2123" t="str">
        <f>IF(B32="现房","成新及维护状况是否正常",IF(B32="在建","工程状态是否正常",IF(B32="土地","是否闲置","-")))</f>
        <v>-</v>
      </c>
      <c r="D32" s="2124"/>
      <c r="E32" s="2125"/>
      <c r="F32" s="2044"/>
      <c r="G32" s="2044"/>
      <c r="H32" s="2044"/>
      <c r="I32" s="2044"/>
      <c r="J32" s="2044"/>
      <c r="K32" s="2054"/>
      <c r="L32" s="2030"/>
      <c r="M32" s="2030"/>
      <c r="N32" s="2031"/>
      <c r="O32" s="2032"/>
      <c r="P32" s="2031"/>
      <c r="Q32" s="2031"/>
      <c r="R32" s="2031"/>
      <c r="S32" s="2031"/>
      <c r="T32" s="2031"/>
      <c r="U32" s="2031"/>
      <c r="V32" s="2031"/>
    </row>
    <row r="33" spans="1:22" ht="18" customHeight="1">
      <c r="A33" s="3045"/>
      <c r="B33" s="2126"/>
      <c r="C33" s="2070" t="str">
        <f>IF(B33="现房","成新及维护状况是否正常",IF(B33="在建","工程状态是否正常",IF(B33="土地","是否闲置","-")))</f>
        <v>-</v>
      </c>
      <c r="D33" s="2127"/>
      <c r="E33" s="2128"/>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1829</v>
      </c>
      <c r="B34" s="2129" t="s">
        <v>3050</v>
      </c>
      <c r="C34" s="2129" t="s">
        <v>3051</v>
      </c>
      <c r="D34" s="2129" t="s">
        <v>3052</v>
      </c>
      <c r="E34" s="2129" t="s">
        <v>3053</v>
      </c>
      <c r="F34" s="2129" t="s">
        <v>3054</v>
      </c>
      <c r="G34" s="2129"/>
      <c r="H34" s="2129"/>
      <c r="I34" s="2044"/>
      <c r="J34" s="2044"/>
      <c r="K34" s="1797">
        <f>COUNTIF(B34:H34,"——")</f>
        <v>0</v>
      </c>
      <c r="L34" s="2075" t="s">
        <v>1830</v>
      </c>
      <c r="M34" s="2075" t="s">
        <v>1831</v>
      </c>
      <c r="N34" s="2075" t="s">
        <v>1832</v>
      </c>
      <c r="O34" s="2075" t="s">
        <v>1833</v>
      </c>
      <c r="P34" s="2075" t="s">
        <v>1834</v>
      </c>
      <c r="Q34" s="2075" t="s">
        <v>1835</v>
      </c>
      <c r="R34" s="2075" t="s">
        <v>1836</v>
      </c>
      <c r="S34" s="3039" t="s">
        <v>1837</v>
      </c>
      <c r="T34" s="2130" t="str">
        <f>NUMBERSTRING(7-K34,1)&amp;"通"</f>
        <v>七通</v>
      </c>
      <c r="U34" s="2031"/>
      <c r="V34" s="2031"/>
    </row>
    <row r="35" spans="1:22" ht="18" customHeight="1">
      <c r="A35" s="2131"/>
      <c r="B35" s="3046" t="s">
        <v>1838</v>
      </c>
      <c r="C35" s="3046"/>
      <c r="D35" s="3046"/>
      <c r="E35" s="3046"/>
      <c r="F35" s="2132">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9"/>
      <c r="T35" s="48" t="str">
        <f>IF(T34="一通",L35,IF(T34="二通",M35,IF(T34="三通",N35,IF(T34="四通",O35,IF(T34="五通",P35,IF(T34="六通",Q35,R35))))))</f>
        <v>通路、通电、通讯、通上水、通下水、、</v>
      </c>
      <c r="U35" s="2031"/>
      <c r="V35" s="2031"/>
    </row>
    <row r="36" spans="1:22" ht="18" customHeight="1">
      <c r="A36" s="2133"/>
      <c r="B36" s="2132" t="s">
        <v>1839</v>
      </c>
      <c r="C36" s="2132" t="s">
        <v>1840</v>
      </c>
      <c r="D36" s="2132" t="s">
        <v>1841</v>
      </c>
      <c r="E36" s="2132" t="s">
        <v>1842</v>
      </c>
      <c r="F36" s="2134"/>
      <c r="G36" s="2044"/>
      <c r="H36" s="2044"/>
      <c r="I36" s="2044"/>
      <c r="J36" s="2044"/>
      <c r="K36" s="2054"/>
      <c r="L36" s="2030"/>
      <c r="M36" s="2030"/>
      <c r="N36" s="2031"/>
      <c r="O36" s="2032"/>
      <c r="P36" s="2031"/>
      <c r="Q36" s="2031"/>
      <c r="R36" s="2031"/>
      <c r="S36" s="2031"/>
      <c r="T36" s="2031"/>
      <c r="U36" s="2031"/>
      <c r="V36" s="2031"/>
    </row>
    <row r="37" spans="1:22" ht="18" customHeight="1">
      <c r="A37" s="2135" t="s">
        <v>1843</v>
      </c>
      <c r="B37" s="2136"/>
      <c r="C37" s="2136"/>
      <c r="D37" s="2136"/>
      <c r="E37" s="2136" t="s">
        <v>526</v>
      </c>
      <c r="F37" s="2134"/>
      <c r="G37" s="2044"/>
      <c r="H37" s="2044"/>
      <c r="I37" s="2044"/>
      <c r="J37" s="2044"/>
      <c r="K37" s="2054"/>
      <c r="L37" s="2030"/>
      <c r="M37" s="2030"/>
      <c r="N37" s="2031"/>
      <c r="O37" s="2032"/>
      <c r="P37" s="2031"/>
      <c r="Q37" s="2031"/>
      <c r="R37" s="2031"/>
      <c r="S37" s="2031"/>
      <c r="T37" s="2031"/>
      <c r="U37" s="2031"/>
      <c r="V37" s="2031"/>
    </row>
    <row r="38" spans="1:22" ht="32.25" customHeight="1" thickBot="1">
      <c r="A38" s="2137" t="s">
        <v>1844</v>
      </c>
      <c r="B38" s="2138"/>
      <c r="C38" s="2138"/>
      <c r="D38" s="2138"/>
      <c r="E38" s="2949" t="s">
        <v>3055</v>
      </c>
      <c r="F38" s="2139"/>
      <c r="G38" s="2062"/>
      <c r="H38" s="2062"/>
      <c r="I38" s="2062"/>
      <c r="J38" s="2044"/>
      <c r="K38" s="2054"/>
      <c r="L38" s="2030"/>
      <c r="M38" s="2030"/>
      <c r="N38" s="2031"/>
      <c r="O38" s="2032"/>
      <c r="P38" s="2031"/>
      <c r="Q38" s="2031"/>
      <c r="R38" s="2031"/>
      <c r="S38" s="2031"/>
      <c r="T38" s="2031"/>
      <c r="U38" s="2031"/>
      <c r="V38" s="2031"/>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1"/>
      <c r="B40" s="2031"/>
      <c r="C40" s="2031"/>
      <c r="D40" s="2031"/>
      <c r="E40" s="2031"/>
      <c r="F40" s="2031"/>
      <c r="G40" s="2031"/>
      <c r="H40" s="2031"/>
      <c r="I40" s="2145"/>
      <c r="J40" s="2085"/>
      <c r="K40" s="666"/>
      <c r="L40" s="2084"/>
      <c r="M40" s="2084"/>
      <c r="N40" s="2085"/>
      <c r="O40" s="2084"/>
      <c r="P40" s="2031"/>
      <c r="Q40" s="2031"/>
      <c r="R40" s="2031"/>
      <c r="S40" s="2031"/>
      <c r="T40" s="2031"/>
      <c r="U40" s="2031"/>
      <c r="V40" s="2031"/>
    </row>
    <row r="41" spans="1:22" ht="18" customHeight="1">
      <c r="A41" s="8" t="s">
        <v>1846</v>
      </c>
      <c r="B41" s="2146"/>
      <c r="C41" s="2147"/>
      <c r="D41" s="2031"/>
      <c r="E41" s="2031"/>
      <c r="F41" s="2031"/>
      <c r="G41" s="2031"/>
      <c r="H41" s="2031"/>
      <c r="I41" s="2032"/>
      <c r="J41" s="2031"/>
      <c r="K41" s="2119"/>
      <c r="L41" s="2030"/>
      <c r="M41" s="2030"/>
      <c r="N41" s="2031"/>
      <c r="O41" s="2032"/>
      <c r="P41" s="2031"/>
      <c r="Q41" s="2031"/>
      <c r="R41" s="2031"/>
      <c r="S41" s="2031"/>
      <c r="T41" s="2031"/>
      <c r="U41" s="2031"/>
      <c r="V41" s="2031"/>
    </row>
    <row r="42" spans="1:22" ht="18" customHeight="1">
      <c r="A42" s="2075" t="s">
        <v>1847</v>
      </c>
      <c r="B42" s="1797" t="s">
        <v>1848</v>
      </c>
      <c r="C42" s="1797" t="s">
        <v>1849</v>
      </c>
      <c r="D42" s="1797" t="s">
        <v>1850</v>
      </c>
      <c r="E42" s="1797" t="s">
        <v>1851</v>
      </c>
      <c r="F42" s="1797" t="s">
        <v>1852</v>
      </c>
      <c r="G42" s="1797" t="s">
        <v>1853</v>
      </c>
      <c r="H42" s="1797" t="s">
        <v>1854</v>
      </c>
      <c r="I42" s="1797" t="s">
        <v>1855</v>
      </c>
      <c r="J42" s="2148" t="s">
        <v>1856</v>
      </c>
      <c r="K42" s="2076" t="s">
        <v>1857</v>
      </c>
      <c r="L42" s="2076" t="s">
        <v>1858</v>
      </c>
      <c r="M42" s="2076" t="s">
        <v>1859</v>
      </c>
      <c r="N42" s="1797" t="s">
        <v>1860</v>
      </c>
      <c r="O42" s="1797" t="s">
        <v>1861</v>
      </c>
      <c r="P42" s="1797" t="s">
        <v>1862</v>
      </c>
      <c r="Q42" s="2075" t="s">
        <v>1863</v>
      </c>
      <c r="R42" s="2075" t="s">
        <v>1864</v>
      </c>
      <c r="S42" s="2031"/>
      <c r="T42" s="2031"/>
      <c r="U42" s="2031"/>
      <c r="V42" s="2031"/>
    </row>
    <row r="43" spans="1:22" s="2153" customFormat="1" ht="18" customHeight="1">
      <c r="A43" s="2149"/>
      <c r="B43" s="1274"/>
      <c r="C43" s="1274"/>
      <c r="D43" s="1274"/>
      <c r="E43" s="1274"/>
      <c r="F43" s="1274"/>
      <c r="G43" s="1274"/>
      <c r="H43" s="9"/>
      <c r="I43" s="9"/>
      <c r="J43" s="2150"/>
      <c r="K43" s="2151"/>
      <c r="L43" s="2151"/>
      <c r="M43" s="9"/>
      <c r="N43" s="1274"/>
      <c r="O43" s="9"/>
      <c r="P43" s="1274"/>
      <c r="Q43" s="1274"/>
      <c r="R43" s="1274"/>
      <c r="S43" s="2152"/>
      <c r="T43" s="2152"/>
      <c r="U43" s="2152"/>
      <c r="V43" s="2152"/>
    </row>
    <row r="44" spans="1:22" s="2153" customFormat="1" ht="18" customHeight="1">
      <c r="A44" s="2149"/>
      <c r="B44" s="2149"/>
      <c r="C44" s="1274"/>
      <c r="D44" s="1274"/>
      <c r="E44" s="1274"/>
      <c r="F44" s="1274"/>
      <c r="G44" s="1274"/>
      <c r="H44" s="9"/>
      <c r="I44" s="9"/>
      <c r="J44" s="2150"/>
      <c r="K44" s="2151"/>
      <c r="L44" s="2151"/>
      <c r="M44" s="9"/>
      <c r="N44" s="1274"/>
      <c r="O44" s="9"/>
      <c r="P44" s="1274"/>
      <c r="Q44" s="1274"/>
      <c r="R44" s="1274"/>
      <c r="S44" s="2152"/>
      <c r="T44" s="2152"/>
      <c r="U44" s="2152"/>
      <c r="V44" s="2152"/>
    </row>
    <row r="45" spans="1:22" s="2153" customFormat="1" ht="18" customHeight="1">
      <c r="A45" s="2149"/>
      <c r="B45" s="2149"/>
      <c r="C45" s="1274"/>
      <c r="D45" s="1274"/>
      <c r="E45" s="1274"/>
      <c r="F45" s="1274"/>
      <c r="G45" s="1274"/>
      <c r="H45" s="9"/>
      <c r="I45" s="9"/>
      <c r="J45" s="2150"/>
      <c r="K45" s="2151"/>
      <c r="L45" s="2151"/>
      <c r="M45" s="9"/>
      <c r="N45" s="1274"/>
      <c r="O45" s="9"/>
      <c r="P45" s="1274"/>
      <c r="Q45" s="1274"/>
      <c r="R45" s="1274"/>
      <c r="S45" s="2152"/>
      <c r="T45" s="2152"/>
      <c r="U45" s="2152"/>
      <c r="V45" s="2152"/>
    </row>
    <row r="46" spans="1:22" s="2153" customFormat="1" ht="18" customHeight="1">
      <c r="A46" s="2149"/>
      <c r="B46" s="2149"/>
      <c r="C46" s="1274"/>
      <c r="D46" s="1274"/>
      <c r="E46" s="1274"/>
      <c r="F46" s="1274"/>
      <c r="G46" s="1274"/>
      <c r="H46" s="9"/>
      <c r="I46" s="9"/>
      <c r="J46" s="2150"/>
      <c r="K46" s="2151"/>
      <c r="L46" s="2151"/>
      <c r="M46" s="9"/>
      <c r="N46" s="1274"/>
      <c r="O46" s="9"/>
      <c r="P46" s="1274"/>
      <c r="Q46" s="1274"/>
      <c r="R46" s="1274"/>
      <c r="S46" s="2152"/>
      <c r="T46" s="2152"/>
      <c r="U46" s="2152"/>
      <c r="V46" s="2152"/>
    </row>
    <row r="47" spans="1:22" s="2153" customFormat="1" ht="18" customHeight="1">
      <c r="A47" s="2149"/>
      <c r="B47" s="2149"/>
      <c r="C47" s="1274"/>
      <c r="D47" s="1274"/>
      <c r="E47" s="1274"/>
      <c r="F47" s="1274"/>
      <c r="G47" s="1274"/>
      <c r="H47" s="9"/>
      <c r="I47" s="9"/>
      <c r="J47" s="2150"/>
      <c r="K47" s="2151"/>
      <c r="L47" s="2151"/>
      <c r="M47" s="9"/>
      <c r="N47" s="1274"/>
      <c r="O47" s="9"/>
      <c r="P47" s="1274"/>
      <c r="Q47" s="1274"/>
      <c r="R47" s="1274"/>
      <c r="S47" s="2152"/>
      <c r="T47" s="2152"/>
      <c r="U47" s="2152"/>
      <c r="V47" s="2152"/>
    </row>
    <row r="48" spans="1:22" s="2153" customFormat="1" ht="18" customHeight="1">
      <c r="A48" s="2149"/>
      <c r="B48" s="2149"/>
      <c r="C48" s="1274"/>
      <c r="D48" s="1274"/>
      <c r="E48" s="1274"/>
      <c r="F48" s="1274"/>
      <c r="G48" s="1274"/>
      <c r="H48" s="9"/>
      <c r="I48" s="9"/>
      <c r="J48" s="2150"/>
      <c r="K48" s="2151"/>
      <c r="L48" s="2151"/>
      <c r="M48" s="9"/>
      <c r="N48" s="1274"/>
      <c r="O48" s="9"/>
      <c r="P48" s="1274"/>
      <c r="Q48" s="1274"/>
      <c r="R48" s="1274"/>
      <c r="S48" s="2152"/>
      <c r="T48" s="2152"/>
      <c r="U48" s="2152"/>
      <c r="V48" s="2152"/>
    </row>
    <row r="49" spans="1:22" s="2153" customFormat="1" ht="18" customHeight="1">
      <c r="A49" s="2149"/>
      <c r="B49" s="2149"/>
      <c r="C49" s="1274"/>
      <c r="D49" s="1274"/>
      <c r="E49" s="1274"/>
      <c r="F49" s="1274"/>
      <c r="G49" s="1274"/>
      <c r="H49" s="9"/>
      <c r="I49" s="9"/>
      <c r="J49" s="2150"/>
      <c r="K49" s="2151"/>
      <c r="L49" s="2151"/>
      <c r="M49" s="9"/>
      <c r="N49" s="1274"/>
      <c r="O49" s="9"/>
      <c r="P49" s="1274"/>
      <c r="Q49" s="1274"/>
      <c r="R49" s="1274"/>
      <c r="S49" s="2152"/>
      <c r="T49" s="2152"/>
      <c r="U49" s="2152"/>
      <c r="V49" s="2152"/>
    </row>
    <row r="50" spans="1:22" s="2153" customFormat="1" ht="18" customHeight="1">
      <c r="A50" s="2149"/>
      <c r="B50" s="2149"/>
      <c r="C50" s="1274"/>
      <c r="D50" s="1274"/>
      <c r="E50" s="1274"/>
      <c r="F50" s="1274"/>
      <c r="G50" s="1274"/>
      <c r="H50" s="9"/>
      <c r="I50" s="9"/>
      <c r="J50" s="2150"/>
      <c r="K50" s="2151"/>
      <c r="L50" s="2151"/>
      <c r="M50" s="9"/>
      <c r="N50" s="1274"/>
      <c r="O50" s="9"/>
      <c r="P50" s="1274"/>
      <c r="Q50" s="1274"/>
      <c r="R50" s="1274"/>
      <c r="S50" s="2152"/>
      <c r="T50" s="2152"/>
      <c r="U50" s="2152"/>
      <c r="V50" s="2152"/>
    </row>
    <row r="51" spans="1:22" s="2153" customFormat="1" ht="18" customHeight="1">
      <c r="A51" s="2149"/>
      <c r="B51" s="2149"/>
      <c r="C51" s="1274"/>
      <c r="D51" s="1274"/>
      <c r="E51" s="1274"/>
      <c r="F51" s="1274"/>
      <c r="G51" s="1274"/>
      <c r="H51" s="9"/>
      <c r="I51" s="9"/>
      <c r="J51" s="2150"/>
      <c r="K51" s="2151"/>
      <c r="L51" s="2151"/>
      <c r="M51" s="9"/>
      <c r="N51" s="1274"/>
      <c r="O51" s="9"/>
      <c r="P51" s="1274"/>
      <c r="Q51" s="1274"/>
      <c r="R51" s="1274"/>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9"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1" t="s">
        <v>1870</v>
      </c>
      <c r="AZ2" s="1272"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1246.4000000000001</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3"/>
      <c r="AZ3" s="1274"/>
      <c r="BA3" s="1275"/>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5"/>
      <c r="C5" s="1805"/>
      <c r="D5" s="1808"/>
      <c r="E5" s="16" t="s">
        <v>1</v>
      </c>
      <c r="F5" s="16">
        <f>SUM(F13:F587)</f>
        <v>0</v>
      </c>
      <c r="G5" s="16">
        <f>SUM(G13:G587)</f>
        <v>1246.4000000000001</v>
      </c>
      <c r="H5" s="16">
        <f t="shared" ref="H5:AT5" si="0">SUM(H13:H656)</f>
        <v>1246.4000000000001</v>
      </c>
      <c r="I5" s="16">
        <f t="shared" si="0"/>
        <v>1246.4000000000001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1246.4000000000001</v>
      </c>
      <c r="BA5" s="18">
        <f t="shared" si="1"/>
        <v>1246.4000000000001</v>
      </c>
      <c r="BB5" s="18">
        <f t="shared" si="1"/>
        <v>1246.4000000000001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7" t="s">
        <v>1876</v>
      </c>
      <c r="B7" s="2107" t="s">
        <v>1877</v>
      </c>
      <c r="C7" s="2107" t="s">
        <v>1878</v>
      </c>
      <c r="D7" s="2107" t="s">
        <v>1879</v>
      </c>
      <c r="E7" s="2107" t="s">
        <v>1880</v>
      </c>
      <c r="F7" s="2107"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8"/>
      <c r="AU7" s="2175" t="s">
        <v>1883</v>
      </c>
      <c r="AV7" s="23" t="s">
        <v>1884</v>
      </c>
      <c r="AW7" s="2162" t="s">
        <v>1885</v>
      </c>
      <c r="AX7" s="23" t="s">
        <v>1878</v>
      </c>
      <c r="AY7" s="1805"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20"/>
      <c r="K8" s="1820"/>
      <c r="L8" s="1820"/>
      <c r="M8" s="1820"/>
      <c r="N8" s="1820"/>
      <c r="O8" s="1820"/>
      <c r="P8" s="1820"/>
      <c r="Q8" s="1820"/>
      <c r="R8" s="1820"/>
      <c r="S8" s="1820"/>
      <c r="T8" s="1820"/>
      <c r="U8" s="1820"/>
      <c r="V8" s="2182"/>
      <c r="W8" s="1820"/>
      <c r="X8" s="1820"/>
      <c r="Y8" s="1820"/>
      <c r="Z8" s="1820"/>
      <c r="AA8" s="2182"/>
      <c r="AB8" s="2183"/>
      <c r="AC8" s="984" t="s">
        <v>1889</v>
      </c>
      <c r="AD8" s="2184"/>
      <c r="AE8" s="2176"/>
      <c r="AF8" s="1820"/>
      <c r="AG8" s="1820"/>
      <c r="AH8" s="1820"/>
      <c r="AI8" s="1820"/>
      <c r="AJ8" s="1820"/>
      <c r="AK8" s="1820"/>
      <c r="AL8" s="1820"/>
      <c r="AM8" s="1820"/>
      <c r="AN8" s="1820"/>
      <c r="AO8" s="1820"/>
      <c r="AP8" s="1820"/>
      <c r="AQ8" s="1820"/>
      <c r="AR8" s="1820"/>
      <c r="AS8" s="1820"/>
      <c r="AT8" s="1294" t="s">
        <v>1890</v>
      </c>
      <c r="AU8" s="2178" t="s">
        <v>1891</v>
      </c>
      <c r="AV8" s="1294"/>
      <c r="AW8" s="2161"/>
      <c r="AX8" s="1294"/>
      <c r="AY8" s="2162"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5" customFormat="1" ht="12.75">
      <c r="A9" s="2178"/>
      <c r="B9" s="2178"/>
      <c r="C9" s="2178"/>
      <c r="D9" s="2178"/>
      <c r="E9" s="2178"/>
      <c r="F9" s="2178"/>
      <c r="G9" s="1294"/>
      <c r="H9" s="2186" t="s">
        <v>1894</v>
      </c>
      <c r="I9" s="2187" t="s">
        <v>3057</v>
      </c>
      <c r="J9" s="984"/>
      <c r="K9" s="2187"/>
      <c r="L9" s="984"/>
      <c r="M9" s="2187"/>
      <c r="N9" s="984"/>
      <c r="O9" s="2187"/>
      <c r="P9" s="984"/>
      <c r="Q9" s="2187"/>
      <c r="R9" s="984"/>
      <c r="S9" s="2187"/>
      <c r="T9" s="984"/>
      <c r="U9" s="2187"/>
      <c r="V9" s="984"/>
      <c r="W9" s="2187"/>
      <c r="X9" s="2188"/>
      <c r="Y9" s="2187"/>
      <c r="Z9" s="984"/>
      <c r="AA9" s="2187"/>
      <c r="AB9" s="984"/>
      <c r="AC9" s="2179"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89"/>
      <c r="AT9" s="2178"/>
      <c r="AU9" s="2178" t="s">
        <v>1897</v>
      </c>
      <c r="AV9" s="1294"/>
      <c r="AW9" s="2161"/>
      <c r="AX9" s="1294"/>
      <c r="AY9" s="28"/>
      <c r="AZ9" s="28" t="s">
        <v>1887</v>
      </c>
      <c r="BA9" s="2190" t="s">
        <v>1898</v>
      </c>
      <c r="BB9" s="2191"/>
      <c r="BC9" s="1340"/>
      <c r="BD9" s="1340"/>
      <c r="BE9" s="1340"/>
      <c r="BF9" s="1340"/>
      <c r="BG9" s="1340"/>
      <c r="BH9" s="1340"/>
      <c r="BI9" s="1340"/>
      <c r="BJ9" s="1340"/>
      <c r="BK9" s="2192"/>
      <c r="BL9" s="15" t="s">
        <v>1899</v>
      </c>
      <c r="BM9" s="1820"/>
      <c r="BN9" s="2181"/>
      <c r="BO9" s="1820"/>
      <c r="BP9" s="1820"/>
      <c r="BQ9" s="1820"/>
      <c r="BR9" s="1820"/>
      <c r="BS9" s="1820"/>
      <c r="BT9" s="26"/>
    </row>
    <row r="10" spans="1:72" s="2185" customFormat="1" ht="12.75">
      <c r="A10" s="2178"/>
      <c r="B10" s="2178"/>
      <c r="C10" s="2178"/>
      <c r="D10" s="2178"/>
      <c r="E10" s="2178"/>
      <c r="F10" s="2178"/>
      <c r="G10" s="1294"/>
      <c r="H10" s="28"/>
      <c r="I10" s="2187" t="s">
        <v>6</v>
      </c>
      <c r="J10" s="984"/>
      <c r="K10" s="2193"/>
      <c r="L10" s="984"/>
      <c r="M10" s="2193"/>
      <c r="N10" s="984"/>
      <c r="O10" s="2193"/>
      <c r="P10" s="984"/>
      <c r="Q10" s="2193"/>
      <c r="R10" s="984"/>
      <c r="S10" s="2193"/>
      <c r="T10" s="984"/>
      <c r="U10" s="2193"/>
      <c r="V10" s="984"/>
      <c r="W10" s="2193"/>
      <c r="X10" s="984"/>
      <c r="Y10" s="2193"/>
      <c r="Z10" s="984"/>
      <c r="AA10" s="2193"/>
      <c r="AB10" s="984"/>
      <c r="AC10" s="1294"/>
      <c r="AD10" s="15" t="s">
        <v>1900</v>
      </c>
      <c r="AE10" s="2194"/>
      <c r="AF10" s="15" t="s">
        <v>1900</v>
      </c>
      <c r="AG10" s="2194"/>
      <c r="AH10" s="15" t="s">
        <v>1901</v>
      </c>
      <c r="AI10" s="2194"/>
      <c r="AJ10" s="15" t="s">
        <v>1901</v>
      </c>
      <c r="AK10" s="2194"/>
      <c r="AL10" s="15" t="s">
        <v>1902</v>
      </c>
      <c r="AM10" s="1300"/>
      <c r="AN10" s="15" t="s">
        <v>1902</v>
      </c>
      <c r="AO10" s="1300"/>
      <c r="AP10" s="15" t="s">
        <v>1903</v>
      </c>
      <c r="AQ10" s="1300"/>
      <c r="AR10" s="15" t="s">
        <v>1903</v>
      </c>
      <c r="AS10" s="1300"/>
      <c r="AT10" s="2178"/>
      <c r="AU10" s="2178"/>
      <c r="AV10" s="1294"/>
      <c r="AW10" s="2161"/>
      <c r="AX10" s="1294"/>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197" t="str">
        <f>AR9</f>
        <v>地下</v>
      </c>
    </row>
    <row r="11" spans="1:72" s="2185" customFormat="1" ht="12.75">
      <c r="A11" s="2178"/>
      <c r="B11" s="2178"/>
      <c r="C11" s="2178"/>
      <c r="D11" s="2178"/>
      <c r="E11" s="2178"/>
      <c r="F11" s="2178"/>
      <c r="G11" s="1294"/>
      <c r="H11" s="2195"/>
      <c r="I11" s="2198" t="s">
        <v>3056</v>
      </c>
      <c r="J11" s="2199"/>
      <c r="K11" s="2198"/>
      <c r="L11" s="2199"/>
      <c r="M11" s="2198"/>
      <c r="N11" s="2199"/>
      <c r="O11" s="2198"/>
      <c r="P11" s="2199"/>
      <c r="Q11" s="2198"/>
      <c r="R11" s="2199"/>
      <c r="S11" s="2198"/>
      <c r="T11" s="2199"/>
      <c r="U11" s="2198"/>
      <c r="V11" s="2199"/>
      <c r="W11" s="2198"/>
      <c r="X11" s="2199"/>
      <c r="Y11" s="2198"/>
      <c r="Z11" s="2199"/>
      <c r="AA11" s="2198"/>
      <c r="AB11" s="2199"/>
      <c r="AC11" s="1294"/>
      <c r="AD11" s="2200" t="s">
        <v>1904</v>
      </c>
      <c r="AE11" s="1821"/>
      <c r="AF11" s="2200" t="s">
        <v>1904</v>
      </c>
      <c r="AG11" s="1821"/>
      <c r="AH11" s="2200" t="s">
        <v>1905</v>
      </c>
      <c r="AI11" s="2201"/>
      <c r="AJ11" s="2200" t="s">
        <v>1905</v>
      </c>
      <c r="AK11" s="1821"/>
      <c r="AL11" s="1819"/>
      <c r="AM11" s="1821"/>
      <c r="AN11" s="1819"/>
      <c r="AO11" s="1821"/>
      <c r="AP11" s="1819"/>
      <c r="AQ11" s="1821"/>
      <c r="AR11" s="1819"/>
      <c r="AS11" s="1821"/>
      <c r="AT11" s="2161"/>
      <c r="AU11" s="2178"/>
      <c r="AV11" s="1294"/>
      <c r="AW11" s="2161"/>
      <c r="AX11" s="1294"/>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5"/>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2">
        <f>AR11</f>
        <v>0</v>
      </c>
    </row>
    <row r="13" spans="1:72" s="2163" customFormat="1" ht="25.5">
      <c r="A13" s="1274"/>
      <c r="B13" s="1274"/>
      <c r="C13" s="2950" t="s">
        <v>3082</v>
      </c>
      <c r="D13" s="2209" t="s">
        <v>3045</v>
      </c>
      <c r="E13" s="16">
        <f>IF($C$3="是",ROUND($A$3*G13/$B$3,2),ROUND($A$3*(G13-AT13)/$B$3,2))</f>
        <v>0</v>
      </c>
      <c r="F13" s="32"/>
      <c r="G13" s="33">
        <f>H13+AC13+AT13</f>
        <v>1246.4000000000001</v>
      </c>
      <c r="H13" s="20">
        <f>SUMIF(I$12:AB$12,"总值",I13:AB13)</f>
        <v>1246.4000000000001</v>
      </c>
      <c r="I13" s="2210">
        <v>1246.4000000000001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工业立项办公楼</v>
      </c>
      <c r="AY13" s="1808">
        <f>ROUND($AY$6*AZ13/$AZ$5,2)</f>
        <v>0</v>
      </c>
      <c r="AZ13" s="16">
        <f>BA13+BL13</f>
        <v>1246.4000000000001</v>
      </c>
      <c r="BA13" s="16">
        <f>SUM(BB13:BK13)</f>
        <v>1246.4000000000001</v>
      </c>
      <c r="BB13" s="16">
        <f>IF($D13="是",I13-J13,0)</f>
        <v>1246.4000000000001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4"/>
      <c r="B14" s="1274"/>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4"/>
      <c r="B15" s="1274"/>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4"/>
      <c r="B16" s="1274"/>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4"/>
      <c r="B17" s="1274"/>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4"/>
      <c r="C1" s="1394"/>
      <c r="D1" s="1394"/>
      <c r="E1" s="1394"/>
      <c r="F1" s="1394"/>
      <c r="G1" s="1394"/>
      <c r="H1" s="1394"/>
      <c r="I1" s="1394"/>
      <c r="J1" s="1394"/>
      <c r="K1" s="1394"/>
      <c r="L1" s="1394"/>
      <c r="M1" s="1394"/>
      <c r="N1" s="1394"/>
      <c r="O1" s="1394"/>
      <c r="P1" s="1394"/>
    </row>
    <row r="2" spans="1:16" ht="15">
      <c r="A2" s="3077" t="s">
        <v>1934</v>
      </c>
      <c r="B2" s="3077"/>
      <c r="C2" s="3077"/>
      <c r="D2" s="970" t="s">
        <v>1910</v>
      </c>
      <c r="E2" s="2223" t="s">
        <v>1911</v>
      </c>
      <c r="F2" s="1394"/>
      <c r="G2" s="2224"/>
      <c r="H2" s="2225"/>
      <c r="I2" s="2226" t="s">
        <v>1935</v>
      </c>
      <c r="J2" s="1394"/>
      <c r="K2" s="1394"/>
      <c r="L2" s="1394"/>
      <c r="M2" s="1394"/>
      <c r="N2" s="1429"/>
      <c r="O2" s="1394"/>
      <c r="P2" s="1394"/>
    </row>
    <row r="3" spans="1:16" ht="15.75" thickBot="1">
      <c r="A3" s="3078" t="s">
        <v>1908</v>
      </c>
      <c r="B3" s="3078"/>
      <c r="C3" s="3078"/>
      <c r="D3" s="46">
        <f>'数据-基础表'!AY6</f>
        <v>0</v>
      </c>
      <c r="E3" s="46">
        <f>'数据-基础表'!AZ5</f>
        <v>1246.4000000000001</v>
      </c>
      <c r="F3" s="1394"/>
      <c r="G3" s="1401"/>
      <c r="H3" s="1249" t="s">
        <v>1909</v>
      </c>
      <c r="I3" s="55" t="e">
        <f>ROUND('数据-基础表'!B3/'数据-基础表'!A3,2)</f>
        <v>#DIV/0!</v>
      </c>
      <c r="J3" s="1394"/>
      <c r="K3" s="1394"/>
      <c r="L3" s="1394"/>
      <c r="M3" s="1394"/>
      <c r="N3" s="1429"/>
      <c r="O3" s="1394"/>
      <c r="P3" s="1394"/>
    </row>
    <row r="4" spans="1:16" ht="15">
      <c r="A4" s="3079"/>
      <c r="B4" s="3080"/>
      <c r="C4" s="3081"/>
      <c r="D4" s="2227" t="s">
        <v>1910</v>
      </c>
      <c r="E4" s="2228" t="s">
        <v>1911</v>
      </c>
      <c r="F4" s="1394"/>
      <c r="G4" s="2229" t="s">
        <v>1936</v>
      </c>
      <c r="H4" s="1249" t="s">
        <v>1916</v>
      </c>
      <c r="I4" s="55" t="e">
        <f>ROUND(SUMIF('数据-基础表'!I9:AS9,"地上",'数据-基础表'!I5:AS5)/'数据-基础表'!A3,2)</f>
        <v>#DIV/0!</v>
      </c>
      <c r="J4" s="1394"/>
      <c r="K4" s="1394"/>
      <c r="L4" s="1394"/>
      <c r="M4" s="1394"/>
      <c r="N4" s="1429"/>
      <c r="O4" s="1394"/>
      <c r="P4" s="1394"/>
    </row>
    <row r="5" spans="1:16">
      <c r="A5" s="47" t="s">
        <v>1912</v>
      </c>
      <c r="B5" s="3082" t="s">
        <v>1913</v>
      </c>
      <c r="C5" s="3082"/>
      <c r="D5" s="48">
        <f>ROUND($D$3*E5/$E$3,2)</f>
        <v>0</v>
      </c>
      <c r="E5" s="49">
        <f>SUMIF('数据-基础表'!$11:$11,"住宅",'数据-基础表'!$5:$5)</f>
        <v>0</v>
      </c>
      <c r="F5" s="1394"/>
      <c r="G5" s="1401"/>
      <c r="H5" s="1249" t="s">
        <v>1909</v>
      </c>
      <c r="I5" s="55" t="e">
        <f>ROUND(E31/D31,2)</f>
        <v>#DIV/0!</v>
      </c>
      <c r="J5" s="1394"/>
      <c r="K5" s="1394"/>
      <c r="L5" s="1394"/>
      <c r="M5" s="1394"/>
      <c r="N5" s="1394"/>
      <c r="O5" s="1394"/>
      <c r="P5" s="1394"/>
    </row>
    <row r="6" spans="1:16" ht="15" thickBot="1">
      <c r="A6" s="2230"/>
      <c r="B6" s="3082" t="s">
        <v>1914</v>
      </c>
      <c r="C6" s="3082"/>
      <c r="D6" s="48">
        <f>ROUND($D$3*E6/$E$3,2)</f>
        <v>0</v>
      </c>
      <c r="E6" s="49">
        <f>E3-E5</f>
        <v>1246.4000000000001</v>
      </c>
      <c r="F6" s="1394"/>
      <c r="G6" s="2231" t="s">
        <v>1915</v>
      </c>
      <c r="H6" s="1401" t="s">
        <v>1916</v>
      </c>
      <c r="I6" s="942" t="e">
        <f>ROUND(F31/D31,2)</f>
        <v>#DIV/0!</v>
      </c>
      <c r="J6" s="1394"/>
      <c r="K6" s="1394"/>
      <c r="L6" s="1394"/>
      <c r="M6" s="1394"/>
      <c r="N6" s="1394"/>
      <c r="O6" s="1394"/>
      <c r="P6" s="1394"/>
    </row>
    <row r="7" spans="1:16" ht="15">
      <c r="A7" s="3074"/>
      <c r="B7" s="3075"/>
      <c r="C7" s="3076"/>
      <c r="D7" s="2227" t="s">
        <v>1910</v>
      </c>
      <c r="E7" s="2232" t="s">
        <v>1917</v>
      </c>
      <c r="F7" s="1394"/>
      <c r="G7" s="2224" t="s">
        <v>1918</v>
      </c>
      <c r="H7" s="64"/>
      <c r="I7" s="420"/>
      <c r="J7" s="1394"/>
      <c r="K7" s="1394"/>
      <c r="L7" s="1394"/>
      <c r="M7" s="1394"/>
      <c r="N7" s="1394"/>
      <c r="O7" s="1394"/>
      <c r="P7" s="1394"/>
    </row>
    <row r="8" spans="1:16">
      <c r="A8" s="47" t="s">
        <v>1919</v>
      </c>
      <c r="B8" s="50" t="s">
        <v>1920</v>
      </c>
      <c r="C8" s="48" t="s">
        <v>1921</v>
      </c>
      <c r="D8" s="48">
        <f t="shared" ref="D8:D15" si="0">ROUND($D$3*E8/$E$3,2)</f>
        <v>0</v>
      </c>
      <c r="E8" s="51">
        <f>SUMIF('数据-基础表'!BB10:BK10,"地上",'数据-基础表'!BB5:BK5)</f>
        <v>1246.4000000000001</v>
      </c>
      <c r="F8" s="1394"/>
      <c r="G8" s="2233"/>
      <c r="H8" s="2233"/>
      <c r="I8" s="1394"/>
      <c r="J8" s="1394"/>
      <c r="K8" s="1394"/>
      <c r="L8" s="1394"/>
      <c r="M8" s="1394"/>
      <c r="N8" s="1394"/>
      <c r="O8" s="1394"/>
      <c r="P8" s="1394"/>
    </row>
    <row r="9" spans="1:16">
      <c r="A9" s="2234"/>
      <c r="B9" s="2235"/>
      <c r="C9" s="48" t="s">
        <v>1922</v>
      </c>
      <c r="D9" s="48">
        <f t="shared" si="0"/>
        <v>0</v>
      </c>
      <c r="E9" s="52">
        <v>0</v>
      </c>
      <c r="F9" s="1394"/>
      <c r="G9" s="2233"/>
      <c r="H9" s="2233"/>
      <c r="I9" s="1394"/>
      <c r="J9" s="1394"/>
      <c r="K9" s="1394"/>
      <c r="L9" s="1394"/>
      <c r="M9" s="1394"/>
      <c r="N9" s="1394"/>
      <c r="O9" s="1394"/>
      <c r="P9" s="1394"/>
    </row>
    <row r="10" spans="1:16">
      <c r="A10" s="2234"/>
      <c r="B10" s="2235"/>
      <c r="C10" s="48" t="s">
        <v>1931</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1923</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1924</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1925</v>
      </c>
      <c r="D13" s="48">
        <f t="shared" si="0"/>
        <v>0</v>
      </c>
      <c r="E13" s="51">
        <f>SUMPRODUCT(('数据-基础表'!BB10:BK10="地下")*('数据-基础表'!BB11:BK11="车库")*('数据-基础表'!BB5:BK5))</f>
        <v>0</v>
      </c>
      <c r="F13" s="1394"/>
      <c r="G13" s="2233"/>
      <c r="H13" s="2233"/>
      <c r="I13" s="1394"/>
      <c r="J13" s="1394"/>
      <c r="K13" s="1394"/>
      <c r="L13" s="1394"/>
      <c r="M13" s="1394"/>
      <c r="N13" s="1394"/>
      <c r="O13" s="1394"/>
      <c r="P13" s="1394"/>
    </row>
    <row r="14" spans="1:16">
      <c r="A14" s="2234"/>
      <c r="B14" s="2235"/>
      <c r="C14" s="48" t="s">
        <v>1937</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1932</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1926</v>
      </c>
      <c r="D16" s="50">
        <f>SUM(D8:D15)</f>
        <v>0</v>
      </c>
      <c r="E16" s="53">
        <f>SUM(E8:E15)</f>
        <v>1246.4000000000001</v>
      </c>
      <c r="F16" s="1394"/>
      <c r="G16" s="2233"/>
      <c r="H16" s="2236" t="s">
        <v>1938</v>
      </c>
      <c r="I16" s="2237"/>
      <c r="J16" s="1394"/>
      <c r="K16" s="3071" t="s">
        <v>1938</v>
      </c>
      <c r="L16" s="3072"/>
      <c r="M16" s="3072"/>
      <c r="N16" s="3072"/>
      <c r="O16" s="3072"/>
      <c r="P16" s="3073"/>
    </row>
    <row r="17" spans="1:19" ht="15">
      <c r="A17" s="2238" t="s">
        <v>1939</v>
      </c>
      <c r="B17" s="2239" t="s">
        <v>1940</v>
      </c>
      <c r="C17" s="2240" t="s">
        <v>1941</v>
      </c>
      <c r="D17" s="2241" t="s">
        <v>1929</v>
      </c>
      <c r="E17" s="2242" t="s">
        <v>1930</v>
      </c>
      <c r="F17" s="2243"/>
      <c r="G17" s="2244"/>
      <c r="H17" s="2245" t="s">
        <v>1942</v>
      </c>
      <c r="I17" s="2246" t="s">
        <v>1927</v>
      </c>
      <c r="J17" s="1394"/>
      <c r="K17" s="3068" t="s">
        <v>1943</v>
      </c>
      <c r="L17" s="3069"/>
      <c r="M17" s="3070"/>
      <c r="N17" s="3068" t="s">
        <v>1944</v>
      </c>
      <c r="O17" s="3069"/>
      <c r="P17" s="3070"/>
      <c r="R17" s="2224" t="s">
        <v>1945</v>
      </c>
      <c r="S17" s="64"/>
    </row>
    <row r="18" spans="1:19" ht="15">
      <c r="A18" s="2234"/>
      <c r="B18" s="2247"/>
      <c r="C18" s="2248"/>
      <c r="D18" s="2249"/>
      <c r="E18" s="2250" t="s">
        <v>1946</v>
      </c>
      <c r="F18" s="2251" t="s">
        <v>1947</v>
      </c>
      <c r="G18" s="2252" t="s">
        <v>1948</v>
      </c>
      <c r="H18" s="1264" t="s">
        <v>1949</v>
      </c>
      <c r="I18" s="2253" t="s">
        <v>1950</v>
      </c>
      <c r="J18" s="1394"/>
      <c r="K18" s="1264" t="s">
        <v>1951</v>
      </c>
      <c r="L18" s="2254" t="s">
        <v>1952</v>
      </c>
      <c r="M18" s="1048" t="s">
        <v>1953</v>
      </c>
      <c r="N18" s="1264" t="s">
        <v>1951</v>
      </c>
      <c r="O18" s="2254" t="s">
        <v>1952</v>
      </c>
      <c r="P18" s="1048" t="s">
        <v>1953</v>
      </c>
      <c r="R18" s="1249" t="s">
        <v>1954</v>
      </c>
      <c r="S18" s="1249" t="s">
        <v>1955</v>
      </c>
    </row>
    <row r="19" spans="1:19">
      <c r="A19" s="2255"/>
      <c r="B19" s="50" t="s">
        <v>1928</v>
      </c>
      <c r="C19" s="2951" t="s">
        <v>3059</v>
      </c>
      <c r="D19" s="48">
        <f>ROUND($D$3*E19/$E$3,2)</f>
        <v>0</v>
      </c>
      <c r="E19" s="56">
        <f t="shared" ref="E19:E26" si="1">SUM(F19:G19)</f>
        <v>1246.4000000000001</v>
      </c>
      <c r="F19" s="57">
        <f>'数据-基础表'!I5</f>
        <v>1246.4000000000001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7"/>
      <c r="O19" s="2258"/>
      <c r="P19" s="1405">
        <f>N19+O19</f>
        <v>0</v>
      </c>
      <c r="R19" s="1249">
        <f t="shared" ref="R19:S26" si="5">D19+H19</f>
        <v>0</v>
      </c>
      <c r="S19" s="1250">
        <f t="shared" si="5"/>
        <v>1246.4000000000001</v>
      </c>
    </row>
    <row r="20" spans="1:19">
      <c r="A20" s="2259"/>
      <c r="B20" s="50" t="s">
        <v>1956</v>
      </c>
      <c r="C20" s="225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7"/>
      <c r="O20" s="2258"/>
      <c r="P20" s="1405">
        <f t="shared" ref="P20:P26" si="9">N20+O20</f>
        <v>0</v>
      </c>
      <c r="R20" s="1249">
        <f t="shared" si="5"/>
        <v>0</v>
      </c>
      <c r="S20" s="1250">
        <f t="shared" si="5"/>
        <v>0</v>
      </c>
    </row>
    <row r="21" spans="1:19">
      <c r="A21" s="2259"/>
      <c r="B21" s="50" t="s">
        <v>1956</v>
      </c>
      <c r="C21" s="2256"/>
      <c r="D21" s="48">
        <f t="shared" si="6"/>
        <v>0</v>
      </c>
      <c r="E21" s="56">
        <f t="shared" si="1"/>
        <v>0</v>
      </c>
      <c r="F21" s="57"/>
      <c r="G21" s="58"/>
      <c r="H21" s="723">
        <f t="shared" si="7"/>
        <v>0</v>
      </c>
      <c r="I21" s="51">
        <f t="shared" si="2"/>
        <v>0</v>
      </c>
      <c r="J21" s="1394"/>
      <c r="K21" s="1393">
        <f t="shared" si="3"/>
        <v>0</v>
      </c>
      <c r="L21" s="1249">
        <f t="shared" si="4"/>
        <v>0</v>
      </c>
      <c r="M21" s="1405">
        <f t="shared" si="8"/>
        <v>0</v>
      </c>
      <c r="N21" s="2257"/>
      <c r="O21" s="2258"/>
      <c r="P21" s="1405">
        <f t="shared" si="9"/>
        <v>0</v>
      </c>
      <c r="R21" s="1249">
        <f t="shared" si="5"/>
        <v>0</v>
      </c>
      <c r="S21" s="1250">
        <f t="shared" si="5"/>
        <v>0</v>
      </c>
    </row>
    <row r="22" spans="1:19">
      <c r="A22" s="2259"/>
      <c r="B22" s="50" t="s">
        <v>1956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1956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1956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1957</v>
      </c>
      <c r="D27" s="1395">
        <f>SUM(D19:D26)</f>
        <v>0</v>
      </c>
      <c r="E27" s="1396">
        <f>IF(SUM(E19:E26)='数据-基础表'!BA5,SUM(E19:E26),IF(F27="地上面积有误","面积有误","地下面积有误"))</f>
        <v>1246.4000000000001</v>
      </c>
      <c r="F27" s="1395">
        <f>IF(SUM(F19:F26)=E8,SUM(F19:F26),"地上面积有误")</f>
        <v>1246.4000000000001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1246.4000000000001</v>
      </c>
    </row>
    <row r="28" spans="1:19">
      <c r="A28" s="2259"/>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1958</v>
      </c>
      <c r="C29" s="2263"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10" t="s">
        <v>1961</v>
      </c>
      <c r="D31" s="729">
        <f>D27+D30</f>
        <v>0</v>
      </c>
      <c r="E31" s="729">
        <f>E27+E30</f>
        <v>1246.4000000000001</v>
      </c>
      <c r="F31" s="730">
        <f>F27+F30</f>
        <v>1246.4000000000001</v>
      </c>
      <c r="G31" s="731">
        <f>G27+G30</f>
        <v>0</v>
      </c>
      <c r="H31" s="1394"/>
      <c r="I31" s="1394"/>
      <c r="J31" s="1394"/>
      <c r="K31" s="1394"/>
      <c r="L31" s="1394"/>
      <c r="M31" s="1394"/>
      <c r="N31" s="1394"/>
      <c r="O31" s="1394"/>
      <c r="P31" s="1394"/>
    </row>
    <row r="32" spans="1:19">
      <c r="A32" s="2229"/>
      <c r="B32" s="2229" t="s">
        <v>1962</v>
      </c>
      <c r="C32" s="2229"/>
      <c r="D32" s="2229"/>
      <c r="E32" s="1276">
        <f>SUMIF(C19:C26,"*住宅*",E19:E26)</f>
        <v>0</v>
      </c>
      <c r="F32" s="2229"/>
      <c r="G32" s="2229"/>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F43" sqref="F43"/>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1964</v>
      </c>
      <c r="B2" s="1268">
        <f>项目基本情况!D3</f>
        <v>43165</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1971</v>
      </c>
      <c r="B5" s="2286" t="s">
        <v>1972</v>
      </c>
      <c r="C5" s="2287" t="s">
        <v>1973</v>
      </c>
      <c r="D5" s="2288" t="s">
        <v>1974</v>
      </c>
      <c r="E5" s="1270" t="s">
        <v>1975</v>
      </c>
      <c r="F5" s="2289" t="s">
        <v>1976</v>
      </c>
      <c r="G5" s="1270" t="s">
        <v>1977</v>
      </c>
      <c r="H5" s="1270" t="s">
        <v>1978</v>
      </c>
      <c r="I5" s="1270" t="s">
        <v>1979</v>
      </c>
      <c r="J5" s="2290" t="s">
        <v>1980</v>
      </c>
      <c r="K5" s="2291" t="s">
        <v>1981</v>
      </c>
      <c r="L5" s="2292" t="s">
        <v>1982</v>
      </c>
      <c r="M5" s="2293" t="s">
        <v>1983</v>
      </c>
      <c r="N5" s="2294" t="s">
        <v>3060</v>
      </c>
      <c r="O5" s="2292" t="s">
        <v>1984</v>
      </c>
      <c r="P5" s="2295" t="s">
        <v>1985</v>
      </c>
      <c r="Q5" s="69" t="s">
        <v>1986</v>
      </c>
      <c r="R5" s="2296" t="s">
        <v>1987</v>
      </c>
      <c r="S5" s="2297" t="s">
        <v>1988</v>
      </c>
      <c r="T5" s="2298" t="s">
        <v>1989</v>
      </c>
      <c r="U5" s="1269" t="s">
        <v>1990</v>
      </c>
      <c r="V5" s="1270" t="s">
        <v>1991</v>
      </c>
      <c r="W5" s="1270" t="s">
        <v>1992</v>
      </c>
      <c r="X5" s="71"/>
      <c r="Y5" s="70" t="s">
        <v>1993</v>
      </c>
      <c r="Z5" s="2299" t="s">
        <v>1990</v>
      </c>
      <c r="AA5" s="1270" t="s">
        <v>1991</v>
      </c>
      <c r="AB5" s="1270" t="s">
        <v>1992</v>
      </c>
      <c r="AC5" s="71"/>
      <c r="AD5" s="71" t="s">
        <v>1993</v>
      </c>
      <c r="AE5" s="1269" t="s">
        <v>1994</v>
      </c>
      <c r="AF5" s="1270" t="s">
        <v>1995</v>
      </c>
      <c r="AG5" s="70" t="s">
        <v>1996</v>
      </c>
      <c r="AH5" s="1269" t="s">
        <v>1997</v>
      </c>
      <c r="AI5" s="2299" t="s">
        <v>1998</v>
      </c>
      <c r="AJ5" s="2299" t="s">
        <v>1999</v>
      </c>
      <c r="AK5" s="1270" t="s">
        <v>2000</v>
      </c>
      <c r="AL5" s="1270" t="s">
        <v>2001</v>
      </c>
      <c r="AM5" s="70" t="s">
        <v>2002</v>
      </c>
      <c r="AN5" s="2300" t="s">
        <v>2003</v>
      </c>
      <c r="AO5" s="2075" t="s">
        <v>2004</v>
      </c>
      <c r="AP5" s="1251"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3" customFormat="1" ht="14.25">
      <c r="A6" s="2302" t="str">
        <f>'数据-汇总表'!C19</f>
        <v>工业立项办公</v>
      </c>
      <c r="B6" s="2303" t="str">
        <f>IF(A6=0,"","经营性")</f>
        <v>经营性</v>
      </c>
      <c r="C6" s="2304" t="s">
        <v>6</v>
      </c>
      <c r="D6" s="1053">
        <f>SUMIF(项目基本情况!D$12:I$12,C6,项目基本情况!D$14:I$14)</f>
        <v>50</v>
      </c>
      <c r="E6" s="1050">
        <f>IF(B6="","",SUMIF(项目基本情况!D$12:I$12,C6,项目基本情况!D$13:I$13))</f>
        <v>58872</v>
      </c>
      <c r="F6" s="72">
        <f>SUMIF(项目基本情况!D$12:I$12,C6,项目基本情况!D$15:I$15)</f>
        <v>43.03</v>
      </c>
      <c r="G6" s="73">
        <f>IF(ISERROR(ROUND(POWER(1+H6,D6-F6)*(POWER(1+H6,F6)-1)/(POWER(1+H6,D6)-1),3)),0,ROUND(POWER(1+H6,D6-F6)*(POWER(1+H6,F6)-1)/(POWER(1+H6,D6)-1),3))</f>
        <v>0.96099999999999997</v>
      </c>
      <c r="H6" s="802">
        <v>0.05</v>
      </c>
      <c r="I6" s="802">
        <v>0.06</v>
      </c>
      <c r="J6" s="74">
        <v>8.5000000000000006E-2</v>
      </c>
      <c r="K6" s="1253">
        <f>SUMIF('数据-汇总表'!C$19:C$33,A6,'数据-汇总表'!E$19:E$33)</f>
        <v>1246.4000000000001</v>
      </c>
      <c r="L6" s="803">
        <v>3000</v>
      </c>
      <c r="M6" s="75">
        <f t="shared" ref="M6:M14" si="0">ROUND(K6*L6/10000,0)</f>
        <v>374</v>
      </c>
      <c r="N6" s="2952">
        <f>ROUND(1-(1-0%)*(2018-2015)/60,2)</f>
        <v>0.95</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'比较法-租金'!C43</f>
        <v>2.6</v>
      </c>
      <c r="V6" s="79">
        <v>0.02</v>
      </c>
      <c r="W6" s="79">
        <v>0.15</v>
      </c>
      <c r="X6" s="1263"/>
      <c r="Y6" s="80">
        <f>N6</f>
        <v>0.95</v>
      </c>
      <c r="Z6" s="81"/>
      <c r="AA6" s="74"/>
      <c r="AB6" s="74"/>
      <c r="AC6" s="1263"/>
      <c r="AD6" s="82"/>
      <c r="AE6" s="1264">
        <f ca="1">IF(AN6="",0,SUMIF(INDIRECT("'"&amp;AN6&amp;"'"&amp;"!E:E"),$AE$5,INDIRECT("'"&amp;AN6&amp;"'"&amp;"!F:F")))</f>
        <v>43.03</v>
      </c>
      <c r="AF6" s="1806"/>
      <c r="AG6" s="147">
        <f>IF(AF6="",0,AE6-AF6)</f>
        <v>0</v>
      </c>
      <c r="AH6" s="83"/>
      <c r="AI6" s="85">
        <v>365</v>
      </c>
      <c r="AJ6" s="86"/>
      <c r="AK6" s="87">
        <v>1.4999999999999999E-2</v>
      </c>
      <c r="AL6" s="88">
        <v>1.5E-3</v>
      </c>
      <c r="AM6" s="89">
        <v>0.02</v>
      </c>
      <c r="AN6" s="2305" t="s">
        <v>3061</v>
      </c>
      <c r="AO6" s="55">
        <f ca="1">SUMIF(INDIRECT("'"&amp;AN6&amp;"'"&amp;"!A:A"),"总价",INDIRECT("'"&amp;AN6&amp;"'"&amp;"!B:B"))</f>
        <v>1618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f>'数据-汇总表'!C20</f>
        <v>0</v>
      </c>
      <c r="B7" s="2303" t="str">
        <f t="shared" ref="B7:B13" si="1">IF(A7=0,"","经营性")</f>
        <v/>
      </c>
      <c r="C7" s="2304"/>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2008</v>
      </c>
      <c r="B14" s="2303" t="s">
        <v>2009</v>
      </c>
      <c r="C14" s="2308"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2010</v>
      </c>
      <c r="B15" s="2303" t="s">
        <v>2009</v>
      </c>
      <c r="C15" s="2308"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2012</v>
      </c>
      <c r="B16" s="97"/>
      <c r="C16" s="1008"/>
      <c r="D16" s="2310"/>
      <c r="E16" s="97"/>
      <c r="F16" s="97"/>
      <c r="G16" s="98">
        <f>ROUND(SUMPRODUCT(G6:G13,K6:K13)/SUMPRODUCT((G6:G13&gt;0)*(K6:K13)),3)</f>
        <v>0.96099999999999997</v>
      </c>
      <c r="H16" s="99">
        <f>ROUND(SUMPRODUCT(H6:H13,K6:K13)/SUMPRODUCT((H6:H13&gt;0)*(K6:K13)),3)</f>
        <v>0.05</v>
      </c>
      <c r="I16" s="100"/>
      <c r="J16" s="100"/>
      <c r="K16" s="101">
        <f>SUM(K6:K15)</f>
        <v>1246.4000000000001</v>
      </c>
      <c r="L16" s="102">
        <f>ROUND(M16*10000/SUM(K6:K14),0)</f>
        <v>3001</v>
      </c>
      <c r="M16" s="102">
        <f>SUM(M6:M14)</f>
        <v>374</v>
      </c>
      <c r="N16" s="103">
        <f>ROUND(SUMPRODUCT(M6:M14,N6:N14)/M16,3)</f>
        <v>0.95</v>
      </c>
      <c r="O16" s="102">
        <f>SUM(O6:O14)</f>
        <v>0</v>
      </c>
      <c r="P16" s="102">
        <f>SUM(P6:P14)</f>
        <v>0</v>
      </c>
      <c r="Q16" s="104">
        <f>ROUND(SUMPRODUCT(Q6:Q13,K6:K13)/SUMPRODUCT((Q6:Q13&gt;0)*(K6:K13)),2)</f>
        <v>0.1</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2014</v>
      </c>
      <c r="B19" s="112">
        <v>0</v>
      </c>
      <c r="C19" s="2273" t="s">
        <v>2015</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2016</v>
      </c>
      <c r="B20" s="113">
        <v>1</v>
      </c>
      <c r="C20" s="2273" t="s">
        <v>2017</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2018</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2019</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2020</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2021</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2022</v>
      </c>
      <c r="B26" s="2316" t="s">
        <v>2023</v>
      </c>
      <c r="C26" s="2317" t="s">
        <v>2024</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2025</v>
      </c>
      <c r="B27" s="116">
        <v>160</v>
      </c>
      <c r="C27" s="1766" t="s">
        <v>2026</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2027</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2028</v>
      </c>
      <c r="B29" s="121">
        <f>ROUND(K16*B28/10000,0)</f>
        <v>25</v>
      </c>
      <c r="C29" s="1766" t="s">
        <v>2029</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2030</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2031</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2032</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2033</v>
      </c>
      <c r="B33" s="726">
        <v>0.05</v>
      </c>
      <c r="C33" s="1765" t="s">
        <v>2034</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2035</v>
      </c>
      <c r="B34" s="122">
        <v>0</v>
      </c>
      <c r="C34" s="1765" t="s">
        <v>2036</v>
      </c>
      <c r="D34" s="2274" t="s">
        <v>2037</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2038</v>
      </c>
      <c r="B35" s="119">
        <v>200</v>
      </c>
      <c r="C35" s="1765" t="s">
        <v>2039</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2040</v>
      </c>
      <c r="B36" s="123">
        <v>1.4999999999999999E-2</v>
      </c>
      <c r="C36" s="1765" t="s">
        <v>2041</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2042</v>
      </c>
      <c r="B37" s="124">
        <v>0.03</v>
      </c>
      <c r="C37" s="1765" t="s">
        <v>2043</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2044</v>
      </c>
      <c r="B38" s="122">
        <v>0.03</v>
      </c>
      <c r="C38" s="1765" t="s">
        <v>2043</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2045</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2046</v>
      </c>
      <c r="B40" s="1302">
        <f ca="1">存贷款利率!G1</f>
        <v>4.3499999999999997E-2</v>
      </c>
      <c r="C40" s="1765" t="s">
        <v>2047</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2048</v>
      </c>
      <c r="B41" s="125">
        <f>B42+B43</f>
        <v>5.5000000000000007E-2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2049</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2050</v>
      </c>
      <c r="B43" s="127">
        <f>B42*(B44+B45+B46)+B47</f>
        <v>5.000000000000001E-3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2051</v>
      </c>
      <c r="B44" s="128">
        <v>0.05</v>
      </c>
      <c r="C44" s="1765" t="s">
        <v>2052</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2053</v>
      </c>
      <c r="B45" s="126">
        <v>0.03</v>
      </c>
      <c r="C45" s="1766" t="s">
        <v>2054</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2055</v>
      </c>
      <c r="B46" s="126">
        <v>0.02</v>
      </c>
      <c r="C46" s="1766" t="s">
        <v>2056</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2057</v>
      </c>
      <c r="B47" s="129">
        <v>0</v>
      </c>
      <c r="C47" s="1766" t="s">
        <v>2058</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2059</v>
      </c>
      <c r="B48" s="130">
        <v>0.03</v>
      </c>
      <c r="C48" s="1773" t="s">
        <v>2060</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2061</v>
      </c>
      <c r="B49" s="126">
        <v>5.0000000000000001E-4</v>
      </c>
      <c r="C49" s="1773" t="s">
        <v>2062</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2063</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2064</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2065</v>
      </c>
      <c r="B52" s="133">
        <f>SUMIF(A54:A63,B53,B54:B63)</f>
        <v>1.5</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2066</v>
      </c>
      <c r="B53" s="2953" t="s">
        <v>56</v>
      </c>
      <c r="C53" s="1429" t="s">
        <v>2067</v>
      </c>
      <c r="D53" s="2332" t="s">
        <v>2068</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2069</v>
      </c>
      <c r="B54" s="84"/>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2070</v>
      </c>
      <c r="B55" s="84"/>
      <c r="C55" s="1429">
        <v>24</v>
      </c>
      <c r="D55" s="2274"/>
      <c r="E55" s="2273"/>
      <c r="F55" s="2273"/>
      <c r="G55" s="2273"/>
      <c r="H55" s="2273"/>
      <c r="I55" s="2334"/>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2071</v>
      </c>
      <c r="B56" s="84"/>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2072</v>
      </c>
      <c r="B57" s="84"/>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2073</v>
      </c>
      <c r="B58" s="84"/>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2074</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2075</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2076</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2077</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2078</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83" t="s">
        <v>2079</v>
      </c>
      <c r="B1" s="3084"/>
      <c r="C1" s="3084"/>
      <c r="D1" s="3084"/>
      <c r="E1" s="3084"/>
      <c r="F1" s="3084"/>
      <c r="G1" s="308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2"/>
      <c r="G2" s="2360" t="s">
        <v>2081</v>
      </c>
      <c r="H2" s="2363"/>
      <c r="I2" s="2363"/>
      <c r="J2" s="2363"/>
      <c r="K2" s="2363"/>
      <c r="L2" s="2363"/>
      <c r="M2" s="2363"/>
      <c r="N2" s="2363"/>
      <c r="O2" s="2363"/>
      <c r="P2" s="2363"/>
      <c r="Q2" s="2363"/>
      <c r="R2" s="2363"/>
    </row>
    <row r="3" spans="1:29" ht="40.5">
      <c r="A3" s="415" t="s">
        <v>2082</v>
      </c>
      <c r="B3" s="1270" t="s">
        <v>2083</v>
      </c>
      <c r="C3" s="2365"/>
      <c r="D3" s="2366"/>
      <c r="E3" s="431" t="s">
        <v>2082</v>
      </c>
      <c r="F3" s="2367" t="s">
        <v>2084</v>
      </c>
      <c r="G3" s="2984" t="s">
        <v>3106</v>
      </c>
      <c r="H3" s="2363"/>
      <c r="I3" s="2363"/>
      <c r="J3" s="2363"/>
      <c r="K3" s="2363"/>
      <c r="L3" s="2363"/>
      <c r="M3" s="2363"/>
      <c r="N3" s="2363"/>
      <c r="O3" s="2363"/>
      <c r="P3" s="2363"/>
      <c r="Q3" s="2363"/>
      <c r="R3" s="2363"/>
    </row>
    <row r="4" spans="1:29" ht="54">
      <c r="A4" s="431"/>
      <c r="B4" s="1797" t="s">
        <v>2085</v>
      </c>
      <c r="C4" s="2368"/>
      <c r="D4" s="2366"/>
      <c r="E4" s="2369"/>
      <c r="F4" s="42" t="s">
        <v>2086</v>
      </c>
      <c r="G4" s="2954" t="s">
        <v>3107</v>
      </c>
      <c r="H4" s="2363"/>
      <c r="I4" s="2363"/>
      <c r="J4" s="2363"/>
      <c r="K4" s="2363"/>
      <c r="L4" s="2363"/>
      <c r="M4" s="2363"/>
      <c r="N4" s="2363"/>
      <c r="O4" s="2363"/>
      <c r="P4" s="2363"/>
      <c r="Q4" s="2363"/>
      <c r="R4" s="2363"/>
    </row>
    <row r="5" spans="1:29" ht="67.5">
      <c r="A5" s="431"/>
      <c r="B5" s="1797" t="s">
        <v>2087</v>
      </c>
      <c r="C5" s="2368"/>
      <c r="D5" s="2366"/>
      <c r="E5" s="2369"/>
      <c r="F5" s="1797" t="s">
        <v>2088</v>
      </c>
      <c r="G5" s="2954" t="s">
        <v>3108</v>
      </c>
      <c r="H5" s="2363"/>
      <c r="I5" s="2363"/>
      <c r="J5" s="2363"/>
      <c r="K5" s="2363"/>
      <c r="L5" s="2363"/>
      <c r="M5" s="2363"/>
      <c r="N5" s="2363"/>
      <c r="O5" s="2363"/>
      <c r="P5" s="2363"/>
      <c r="Q5" s="2363"/>
      <c r="R5" s="2363"/>
    </row>
    <row r="6" spans="1:29" ht="27">
      <c r="A6" s="431"/>
      <c r="B6" s="1797" t="s">
        <v>2089</v>
      </c>
      <c r="C6" s="2370"/>
      <c r="D6" s="2366"/>
      <c r="E6" s="2369"/>
      <c r="F6" s="1797" t="s">
        <v>2090</v>
      </c>
      <c r="G6" s="2954" t="s">
        <v>3062</v>
      </c>
      <c r="H6" s="2363"/>
      <c r="I6" s="2363"/>
      <c r="J6" s="2363"/>
      <c r="K6" s="2363"/>
      <c r="L6" s="2363"/>
      <c r="M6" s="2363"/>
      <c r="N6" s="2363"/>
      <c r="O6" s="2363"/>
      <c r="P6" s="2363"/>
      <c r="Q6" s="2363"/>
      <c r="R6" s="2363"/>
    </row>
    <row r="7" spans="1:29" ht="41.25" thickBot="1">
      <c r="A7" s="431"/>
      <c r="B7" s="1797" t="s">
        <v>2088</v>
      </c>
      <c r="C7" s="2370"/>
      <c r="D7" s="2371"/>
      <c r="E7" s="2372"/>
      <c r="F7" s="2373" t="s">
        <v>2091</v>
      </c>
      <c r="G7" s="2955" t="s">
        <v>3063</v>
      </c>
      <c r="H7" s="2363"/>
      <c r="I7" s="2363"/>
      <c r="J7" s="2363"/>
      <c r="K7" s="2363"/>
      <c r="L7" s="2363"/>
      <c r="M7" s="2363"/>
      <c r="N7" s="2363"/>
      <c r="O7" s="2363"/>
      <c r="P7" s="2363"/>
      <c r="Q7" s="2363"/>
      <c r="R7" s="2363"/>
    </row>
    <row r="8" spans="1:29" ht="15">
      <c r="A8" s="431"/>
      <c r="B8" s="1797" t="s">
        <v>2090</v>
      </c>
      <c r="C8" s="2370"/>
      <c r="D8" s="2371"/>
      <c r="E8" s="2371"/>
      <c r="F8" s="1135"/>
      <c r="G8" s="1135"/>
      <c r="H8" s="2363"/>
      <c r="I8" s="2363"/>
      <c r="J8" s="2363"/>
      <c r="K8" s="2363"/>
      <c r="L8" s="2363"/>
      <c r="M8" s="2363"/>
      <c r="N8" s="2363"/>
      <c r="O8" s="2363"/>
      <c r="P8" s="2363"/>
      <c r="Q8" s="2363"/>
      <c r="R8" s="2363"/>
    </row>
    <row r="9" spans="1:29" ht="15">
      <c r="A9" s="431"/>
      <c r="B9" s="1797" t="s">
        <v>2092</v>
      </c>
      <c r="C9" s="2368"/>
      <c r="D9" s="2366"/>
      <c r="E9" s="2371"/>
      <c r="F9" s="1135"/>
      <c r="G9" s="1135"/>
      <c r="H9" s="2363"/>
      <c r="I9" s="2363"/>
      <c r="J9" s="2363"/>
      <c r="K9" s="2363"/>
      <c r="L9" s="2363"/>
      <c r="M9" s="2363"/>
      <c r="N9" s="2363"/>
      <c r="O9" s="2363"/>
      <c r="P9" s="2363"/>
      <c r="Q9" s="2363"/>
      <c r="R9" s="2363"/>
    </row>
    <row r="10" spans="1:29" s="117" customFormat="1" ht="15.75" thickBot="1">
      <c r="A10" s="2374"/>
      <c r="B10" s="2375" t="s">
        <v>2093</v>
      </c>
      <c r="C10" s="2376"/>
      <c r="D10" s="2366"/>
      <c r="E10" s="2366"/>
      <c r="F10" s="1135"/>
      <c r="G10" s="1135"/>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3"/>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3"/>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2094</v>
      </c>
      <c r="B13" s="2381"/>
      <c r="C13" s="2381"/>
      <c r="D13" s="2388"/>
      <c r="E13" s="2381"/>
      <c r="F13" s="2381"/>
      <c r="G13" s="2381"/>
    </row>
    <row r="14" spans="1:29" ht="15.75" thickBot="1">
      <c r="A14" s="2392"/>
      <c r="B14" s="2393"/>
      <c r="C14" s="2394" t="s">
        <v>2095</v>
      </c>
      <c r="D14" s="2366"/>
      <c r="E14" s="2395"/>
      <c r="F14" s="2395"/>
      <c r="G14" s="2360" t="s">
        <v>2096</v>
      </c>
    </row>
    <row r="15" spans="1:29" ht="42.75">
      <c r="A15" s="68" t="s">
        <v>2097</v>
      </c>
      <c r="B15" s="1269" t="s">
        <v>2083</v>
      </c>
      <c r="C15" s="2396">
        <f>C3</f>
        <v>0</v>
      </c>
      <c r="D15" s="2366"/>
      <c r="E15" s="2397" t="s">
        <v>2098</v>
      </c>
      <c r="F15" s="1269" t="s">
        <v>2099</v>
      </c>
      <c r="G15" s="135" t="str">
        <f>G3</f>
        <v>估价对象位于中关村兴业创业园，园区建设成熟度较好，产业集聚程度较好</v>
      </c>
    </row>
    <row r="16" spans="1:29" ht="57">
      <c r="A16" s="645"/>
      <c r="B16" s="2398" t="s">
        <v>2085</v>
      </c>
      <c r="C16" s="2399">
        <f>C4</f>
        <v>0</v>
      </c>
      <c r="D16" s="2366"/>
      <c r="E16" s="2400"/>
      <c r="F16" s="2401" t="s">
        <v>2086</v>
      </c>
      <c r="G16" s="136" t="str">
        <f>G4</f>
        <v>估价对象周边道路状况较好、公共交通通达情况一般、停车便捷程度一般，综合评价交通便捷度一般</v>
      </c>
    </row>
    <row r="17" spans="1:18" ht="15">
      <c r="A17" s="645"/>
      <c r="B17" s="2398" t="s">
        <v>2087</v>
      </c>
      <c r="C17" s="2399">
        <f>C5</f>
        <v>0</v>
      </c>
      <c r="D17" s="2371"/>
      <c r="E17" s="2400"/>
      <c r="F17" s="2401" t="s">
        <v>2100</v>
      </c>
      <c r="G17" s="2956" t="s">
        <v>3064</v>
      </c>
    </row>
    <row r="18" spans="1:18" ht="42.75">
      <c r="A18" s="645"/>
      <c r="B18" s="2401" t="s">
        <v>2089</v>
      </c>
      <c r="C18" s="136">
        <f>C6</f>
        <v>0</v>
      </c>
      <c r="D18" s="2371"/>
      <c r="E18" s="2400"/>
      <c r="F18" s="2401" t="s">
        <v>2091</v>
      </c>
      <c r="G18" s="136" t="str">
        <f>G7</f>
        <v>该园区内是否有污染型企业，绿化情况，卫生条件，整体环境状况判断，较好</v>
      </c>
    </row>
    <row r="19" spans="1:18" ht="71.25">
      <c r="A19" s="645"/>
      <c r="B19" s="2401" t="s">
        <v>2101</v>
      </c>
      <c r="C19" s="1571"/>
      <c r="D19" s="2366"/>
      <c r="E19" s="2400"/>
      <c r="F19" s="1797" t="s">
        <v>2088</v>
      </c>
      <c r="G19" s="136" t="str">
        <f>G5</f>
        <v>估价对象所在区域公共配套设施有农村商业银行、上海浦东发展银行、世纪华联、容中超市、中国石油大学附属中学、昌平五中等，齐备情况较好</v>
      </c>
    </row>
    <row r="20" spans="1:18" ht="28.5">
      <c r="A20" s="645"/>
      <c r="B20" s="2401" t="s">
        <v>2102</v>
      </c>
      <c r="C20" s="2399">
        <f>C9</f>
        <v>0</v>
      </c>
      <c r="D20" s="2371"/>
      <c r="E20" s="2400"/>
      <c r="F20" s="1797" t="s">
        <v>2103</v>
      </c>
      <c r="G20" s="136" t="str">
        <f>G6</f>
        <v>估价对象所在区域基础设施水平七通</v>
      </c>
    </row>
    <row r="21" spans="1:18" ht="15">
      <c r="A21" s="645"/>
      <c r="B21" s="1797" t="s">
        <v>2088</v>
      </c>
      <c r="C21" s="136">
        <f>C7</f>
        <v>0</v>
      </c>
      <c r="D21" s="2366"/>
      <c r="E21" s="2400"/>
      <c r="F21" s="2401" t="s">
        <v>2104</v>
      </c>
      <c r="G21" s="2957" t="s">
        <v>3109</v>
      </c>
    </row>
    <row r="22" spans="1:18" ht="13.5" customHeight="1">
      <c r="A22" s="645"/>
      <c r="B22" s="1797" t="s">
        <v>2090</v>
      </c>
      <c r="C22" s="136">
        <f>C8</f>
        <v>0</v>
      </c>
      <c r="D22" s="2366"/>
      <c r="E22" s="2400"/>
      <c r="F22" s="2401" t="s">
        <v>2093</v>
      </c>
      <c r="G22" s="2956" t="s">
        <v>3065</v>
      </c>
    </row>
    <row r="23" spans="1:18" s="2363"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3" customFormat="1" ht="15.75" thickBot="1">
      <c r="A24" s="2406"/>
      <c r="B24" s="2404" t="s">
        <v>2106</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1246.4000000000001</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43165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1995</v>
      </c>
      <c r="C5" s="1745">
        <f ca="1">ROUND(B5*10000/$B$1,0)</f>
        <v>16006</v>
      </c>
      <c r="D5" s="1745" t="e">
        <f ca="1">ROUND(B5*10000/$B$2,0)</f>
        <v>#DIV/0!</v>
      </c>
      <c r="E5" s="1744"/>
      <c r="F5" s="1742"/>
      <c r="G5" s="1742"/>
    </row>
    <row r="6" spans="1:10" ht="16.5">
      <c r="A6" s="1745" t="s">
        <v>1356</v>
      </c>
      <c r="B6" s="1745">
        <f ca="1">SUM(G14:G23)</f>
        <v>1995</v>
      </c>
      <c r="C6" s="1745">
        <f ca="1">ROUND(B6*10000/$B$1,0)</f>
        <v>16006</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1246.4000000000001</v>
      </c>
      <c r="C14" s="1743">
        <f>结果表!C118</f>
        <v>0</v>
      </c>
      <c r="D14" s="1743">
        <f ca="1">结果表!H118</f>
        <v>1995</v>
      </c>
      <c r="E14" s="1743">
        <f ca="1">ROUND(D14*10000/B14,0)</f>
        <v>16006</v>
      </c>
      <c r="F14" s="1743" t="e">
        <f ca="1">ROUND(D14*10000/C14,0)</f>
        <v>#DIV/0!</v>
      </c>
      <c r="G14" s="1743">
        <f ca="1">结果表!D122</f>
        <v>1995</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2107</v>
      </c>
      <c r="B1" s="2412"/>
      <c r="C1" s="2413"/>
      <c r="D1" s="2412"/>
      <c r="E1" s="2412"/>
      <c r="F1" s="2414" t="s">
        <v>2108</v>
      </c>
      <c r="G1" s="2071" t="s">
        <v>3049</v>
      </c>
      <c r="H1" s="2415" t="str">
        <f>IF(G1="现房","——","估价对象范围")</f>
        <v>——</v>
      </c>
      <c r="I1" s="2416"/>
    </row>
    <row r="2" spans="1:12" ht="21.75" customHeight="1" thickBot="1">
      <c r="A2" s="3118" t="str">
        <f>项目基本情况!S2</f>
        <v>北京市昌平区超前路37号院20号楼1至4层101号房地产</v>
      </c>
      <c r="B2" s="3119"/>
      <c r="C2" s="3119"/>
      <c r="D2" s="3119"/>
      <c r="E2" s="3119"/>
      <c r="F2" s="3119"/>
      <c r="G2" s="3119"/>
      <c r="H2" s="3119"/>
      <c r="I2" s="3120"/>
    </row>
    <row r="3" spans="1:12" ht="12.75">
      <c r="A3" s="3122" t="s">
        <v>2109</v>
      </c>
      <c r="B3" s="3123"/>
      <c r="C3" s="3123"/>
      <c r="D3" s="3123"/>
      <c r="E3" s="3123"/>
      <c r="F3" s="3123"/>
      <c r="G3" s="3123"/>
      <c r="H3" s="3123"/>
      <c r="I3" s="3123"/>
    </row>
    <row r="4" spans="1:12" ht="14.25">
      <c r="A4" s="2419" t="s">
        <v>2110</v>
      </c>
      <c r="B4" s="2420" t="s">
        <v>2111</v>
      </c>
      <c r="C4" s="2421" t="s">
        <v>3110</v>
      </c>
      <c r="D4" s="2421" t="s">
        <v>3061</v>
      </c>
      <c r="E4" s="3115" t="s">
        <v>2112</v>
      </c>
      <c r="F4" s="3116"/>
      <c r="G4" s="3116"/>
      <c r="H4" s="3116"/>
      <c r="I4" s="3124"/>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98" t="s">
        <v>2113</v>
      </c>
      <c r="B5" s="3039">
        <v>25</v>
      </c>
      <c r="C5" s="3101">
        <v>10</v>
      </c>
      <c r="D5" s="3121">
        <v>22</v>
      </c>
      <c r="E5" s="140" t="s">
        <v>2114</v>
      </c>
      <c r="F5" s="2423"/>
      <c r="G5" s="2423"/>
      <c r="H5" s="2423"/>
      <c r="I5" s="1833"/>
    </row>
    <row r="6" spans="1:12" ht="12.75">
      <c r="A6" s="3098"/>
      <c r="B6" s="3039"/>
      <c r="C6" s="3102"/>
      <c r="D6" s="3121"/>
      <c r="E6" s="140" t="s">
        <v>2115</v>
      </c>
      <c r="F6" s="2423"/>
      <c r="G6" s="2423"/>
      <c r="H6" s="2423"/>
      <c r="I6" s="1833"/>
    </row>
    <row r="7" spans="1:12" ht="12.75">
      <c r="A7" s="3098"/>
      <c r="B7" s="3039"/>
      <c r="C7" s="3103"/>
      <c r="D7" s="3121"/>
      <c r="E7" s="140" t="s">
        <v>2116</v>
      </c>
      <c r="F7" s="2423"/>
      <c r="G7" s="2423"/>
      <c r="H7" s="2423"/>
      <c r="I7" s="1833"/>
    </row>
    <row r="8" spans="1:12" ht="12.75">
      <c r="A8" s="3098" t="s">
        <v>2117</v>
      </c>
      <c r="B8" s="3039">
        <v>15</v>
      </c>
      <c r="C8" s="3101">
        <v>8</v>
      </c>
      <c r="D8" s="3121">
        <v>10</v>
      </c>
      <c r="E8" s="140" t="s">
        <v>2118</v>
      </c>
      <c r="F8" s="2423"/>
      <c r="G8" s="2423"/>
      <c r="H8" s="2423"/>
      <c r="I8" s="1833"/>
    </row>
    <row r="9" spans="1:12" ht="12.75">
      <c r="A9" s="3098"/>
      <c r="B9" s="3039"/>
      <c r="C9" s="3103"/>
      <c r="D9" s="3121"/>
      <c r="E9" s="140" t="s">
        <v>2119</v>
      </c>
      <c r="F9" s="2423"/>
      <c r="G9" s="2423"/>
      <c r="H9" s="2423"/>
      <c r="I9" s="1833"/>
    </row>
    <row r="10" spans="1:12" ht="12.75">
      <c r="A10" s="3098" t="s">
        <v>2120</v>
      </c>
      <c r="B10" s="3039">
        <v>15</v>
      </c>
      <c r="C10" s="3101">
        <v>8</v>
      </c>
      <c r="D10" s="3121">
        <v>10</v>
      </c>
      <c r="E10" s="140" t="s">
        <v>2121</v>
      </c>
      <c r="F10" s="2423"/>
      <c r="G10" s="2423"/>
      <c r="H10" s="2423"/>
      <c r="I10" s="1833"/>
    </row>
    <row r="11" spans="1:12" ht="12.75">
      <c r="A11" s="3098"/>
      <c r="B11" s="3039"/>
      <c r="C11" s="3103"/>
      <c r="D11" s="3121"/>
      <c r="E11" s="140" t="s">
        <v>2122</v>
      </c>
      <c r="F11" s="2423"/>
      <c r="G11" s="2423"/>
      <c r="H11" s="2423"/>
      <c r="I11" s="1833"/>
    </row>
    <row r="12" spans="1:12" ht="12.75">
      <c r="A12" s="3098" t="s">
        <v>2123</v>
      </c>
      <c r="B12" s="3039">
        <v>15</v>
      </c>
      <c r="C12" s="3101">
        <v>8</v>
      </c>
      <c r="D12" s="3121">
        <v>10</v>
      </c>
      <c r="E12" s="140" t="s">
        <v>2124</v>
      </c>
      <c r="F12" s="2423"/>
      <c r="G12" s="2423"/>
      <c r="H12" s="2423"/>
      <c r="I12" s="1833"/>
    </row>
    <row r="13" spans="1:12" ht="12.75">
      <c r="A13" s="3098"/>
      <c r="B13" s="3039"/>
      <c r="C13" s="3103"/>
      <c r="D13" s="3121"/>
      <c r="E13" s="140" t="s">
        <v>2125</v>
      </c>
      <c r="F13" s="2423"/>
      <c r="G13" s="2423"/>
      <c r="H13" s="2423"/>
      <c r="I13" s="1833"/>
    </row>
    <row r="14" spans="1:12" ht="12.75">
      <c r="A14" s="3098" t="s">
        <v>2126</v>
      </c>
      <c r="B14" s="3039">
        <v>30</v>
      </c>
      <c r="C14" s="3101">
        <v>15</v>
      </c>
      <c r="D14" s="3121">
        <v>20</v>
      </c>
      <c r="E14" s="140" t="s">
        <v>2127</v>
      </c>
      <c r="F14" s="2423"/>
      <c r="G14" s="2423"/>
      <c r="H14" s="2423"/>
      <c r="I14" s="1833"/>
    </row>
    <row r="15" spans="1:12" ht="12.75">
      <c r="A15" s="3098"/>
      <c r="B15" s="3039"/>
      <c r="C15" s="3102"/>
      <c r="D15" s="3121"/>
      <c r="E15" s="140" t="s">
        <v>2128</v>
      </c>
      <c r="F15" s="2423"/>
      <c r="G15" s="2423"/>
      <c r="H15" s="2423"/>
      <c r="I15" s="1833"/>
    </row>
    <row r="16" spans="1:12" ht="12.75">
      <c r="A16" s="3098"/>
      <c r="B16" s="3039"/>
      <c r="C16" s="3103"/>
      <c r="D16" s="3121"/>
      <c r="E16" s="140" t="s">
        <v>2129</v>
      </c>
      <c r="F16" s="2423"/>
      <c r="G16" s="2423"/>
      <c r="H16" s="2423"/>
      <c r="I16" s="1833"/>
    </row>
    <row r="17" spans="1:35" ht="15">
      <c r="A17" s="2424" t="s">
        <v>2130</v>
      </c>
      <c r="B17" s="64"/>
      <c r="C17" s="141">
        <f>SUM(C5:C16)</f>
        <v>49</v>
      </c>
      <c r="D17" s="141">
        <f>SUM(D5:D16)</f>
        <v>72</v>
      </c>
      <c r="E17" s="138"/>
      <c r="F17" s="138"/>
      <c r="G17" s="138"/>
      <c r="H17" s="138"/>
      <c r="I17" s="138"/>
      <c r="K17" s="2422"/>
      <c r="L17" s="2425" t="s">
        <v>2131</v>
      </c>
      <c r="M17" s="2425" t="s">
        <v>2132</v>
      </c>
    </row>
    <row r="18" spans="1:35" ht="15.75" thickBot="1">
      <c r="A18" s="2426" t="s">
        <v>2133</v>
      </c>
      <c r="B18" s="2427"/>
      <c r="C18" s="142">
        <f>ROUND(C17/SUM(C17:D17),2)</f>
        <v>0.4</v>
      </c>
      <c r="D18" s="142">
        <f>1-C18</f>
        <v>0.6</v>
      </c>
      <c r="E18" s="138"/>
      <c r="F18" s="138"/>
      <c r="G18" s="138"/>
      <c r="H18" s="138"/>
      <c r="I18" s="138"/>
      <c r="K18" s="2422" t="s">
        <v>2134</v>
      </c>
      <c r="L18" s="2422">
        <f>IF(C1="",'数据-汇总表'!E3,SUMIF(项目类型,C1,'数据-汇总表'!E17:E26)+SUMIF(项目类型,C1,'数据-汇总表'!I17:I26))</f>
        <v>1246.4000000000001</v>
      </c>
      <c r="M18" s="2422">
        <f>IF(C1="",'数据-汇总表'!E3,SUMIF(项目类型,C1,'数据-汇总表'!E17:E26))</f>
        <v>1246.4000000000001</v>
      </c>
    </row>
    <row r="19" spans="1:35" ht="15">
      <c r="A19" s="2428" t="s">
        <v>2135</v>
      </c>
      <c r="B19" s="2429" t="s">
        <v>2136</v>
      </c>
      <c r="C19" s="143">
        <f ca="1">SUMIF(INDIRECT("'"&amp;C4&amp;"'"&amp;"!A:A"),结果表!B19,INDIRECT("'"&amp;C4&amp;"'"&amp;"!B:B"))</f>
        <v>2561</v>
      </c>
      <c r="D19" s="144">
        <f ca="1">SUMIF(INDIRECT("'"&amp;D4&amp;"'"&amp;"!A:A"),结果表!B19,INDIRECT("'"&amp;D4&amp;"'"&amp;"!B:B"))</f>
        <v>1618</v>
      </c>
      <c r="E19" s="2428" t="s">
        <v>2137</v>
      </c>
      <c r="F19" s="2429" t="s">
        <v>2136</v>
      </c>
      <c r="G19" s="145">
        <f ca="1">ROUND(C19*$C$18+D19*$D$18,0)</f>
        <v>1995</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9" t="s">
        <v>2140</v>
      </c>
      <c r="C20" s="146">
        <f ca="1">SUMIF(INDIRECT("'"&amp;C4&amp;"'"&amp;"!A:A"),结果表!B20,INDIRECT("'"&amp;C4&amp;"'"&amp;"!B:B"))</f>
        <v>20545</v>
      </c>
      <c r="D20" s="147">
        <f ca="1">SUMIF(INDIRECT("'"&amp;D4&amp;"'"&amp;"!A:A"),结果表!B20,INDIRECT("'"&amp;D4&amp;"'"&amp;"!B:B"))</f>
        <v>12981</v>
      </c>
      <c r="E20" s="2431"/>
      <c r="F20" s="1249" t="s">
        <v>2140</v>
      </c>
      <c r="G20" s="148">
        <f ca="1">ROUND(C20*$C$18+D20*$D$18,0)</f>
        <v>16007</v>
      </c>
      <c r="H20" s="983" t="s">
        <v>2141</v>
      </c>
      <c r="I20" s="138"/>
    </row>
    <row r="21" spans="1:35" ht="15" customHeight="1" thickBot="1">
      <c r="A21" s="1003"/>
      <c r="B21" s="2432" t="s">
        <v>2142</v>
      </c>
      <c r="C21" s="789" t="e">
        <f ca="1">ROUND(C19*10000/L19,0)</f>
        <v>#DIV/0!</v>
      </c>
      <c r="D21" s="790" t="e">
        <f ca="1">ROUND(D19*10000/L19,0)</f>
        <v>#DIV/0!</v>
      </c>
      <c r="E21" s="1003"/>
      <c r="F21" s="2432" t="s">
        <v>2142</v>
      </c>
      <c r="G21" s="149" t="e">
        <f ca="1">ROUND(G19*10000/L19,0)</f>
        <v>#DIV/0!</v>
      </c>
      <c r="H21" s="2433" t="s">
        <v>2141</v>
      </c>
      <c r="I21" s="138"/>
    </row>
    <row r="22" spans="1:35" ht="15" thickBot="1">
      <c r="A22" s="2277" t="s">
        <v>2143</v>
      </c>
      <c r="B22" s="2434"/>
      <c r="C22" s="2435"/>
      <c r="D22" s="791">
        <f ca="1">IF(C19&lt;D19,D19/C19-1,C19/D19-1)</f>
        <v>0.58281829419035858</v>
      </c>
      <c r="E22" s="138"/>
      <c r="F22" s="138"/>
      <c r="G22" s="138"/>
      <c r="H22" s="138"/>
      <c r="I22" s="138"/>
    </row>
    <row r="23" spans="1:35" ht="12.75">
      <c r="A23" s="2412"/>
      <c r="B23" s="2412"/>
      <c r="C23" s="2412"/>
      <c r="D23" s="2412"/>
      <c r="E23" s="138"/>
      <c r="F23" s="138"/>
      <c r="G23" s="138"/>
      <c r="H23" s="138"/>
      <c r="I23" s="138"/>
    </row>
    <row r="24" spans="1:35" ht="14.25" hidden="1">
      <c r="A24" s="3092" t="s">
        <v>2144</v>
      </c>
      <c r="B24" s="2429" t="s">
        <v>2136</v>
      </c>
      <c r="C24" s="145">
        <f>IF(B30=0,0,D30)</f>
        <v>0</v>
      </c>
      <c r="D24" s="2436"/>
      <c r="E24" s="138"/>
      <c r="F24" s="138"/>
      <c r="G24" s="138"/>
      <c r="H24" s="138"/>
      <c r="I24" s="138"/>
    </row>
    <row r="25" spans="1:35" ht="14.25" hidden="1">
      <c r="A25" s="3093"/>
      <c r="B25" s="1249" t="s">
        <v>2140</v>
      </c>
      <c r="C25" s="150">
        <f>IF(B30=0,0,C30)</f>
        <v>0</v>
      </c>
      <c r="D25" s="2437"/>
      <c r="E25" s="138"/>
      <c r="F25" s="138"/>
      <c r="G25" s="138"/>
      <c r="H25" s="138"/>
      <c r="I25" s="138"/>
    </row>
    <row r="26" spans="1:35" ht="13.5" hidden="1" customHeight="1">
      <c r="A26" s="2438" t="s">
        <v>2145</v>
      </c>
      <c r="B26" s="151" t="s">
        <v>2146</v>
      </c>
      <c r="C26" s="151" t="s">
        <v>2147</v>
      </c>
      <c r="D26" s="152" t="s">
        <v>2148</v>
      </c>
      <c r="E26" s="138"/>
      <c r="F26" s="138"/>
      <c r="G26" s="138"/>
      <c r="H26" s="138"/>
      <c r="I26" s="138"/>
    </row>
    <row r="27" spans="1:35" ht="14.25" hidden="1">
      <c r="A27" s="2438"/>
      <c r="B27" s="151">
        <v>0</v>
      </c>
      <c r="C27" s="151">
        <v>0</v>
      </c>
      <c r="D27" s="152">
        <f>ROUND(C27*B27/10000,0)</f>
        <v>0</v>
      </c>
      <c r="E27" s="138"/>
      <c r="F27" s="138"/>
      <c r="G27" s="138"/>
      <c r="H27" s="138"/>
      <c r="I27" s="138"/>
    </row>
    <row r="28" spans="1:35" ht="14.25" hidden="1">
      <c r="A28" s="2438"/>
      <c r="B28" s="151"/>
      <c r="C28" s="151"/>
      <c r="D28" s="152"/>
      <c r="E28" s="138"/>
      <c r="F28" s="138"/>
      <c r="G28" s="138"/>
      <c r="H28" s="138"/>
      <c r="I28" s="138"/>
    </row>
    <row r="29" spans="1:35" ht="14.25" hidden="1">
      <c r="A29" s="2438"/>
      <c r="B29" s="151"/>
      <c r="C29" s="151"/>
      <c r="D29" s="152"/>
      <c r="E29" s="138"/>
      <c r="F29" s="138"/>
      <c r="G29" s="138"/>
      <c r="H29" s="138"/>
      <c r="I29" s="138"/>
    </row>
    <row r="30" spans="1:35" ht="14.25" hidden="1">
      <c r="A30" s="151" t="s">
        <v>2149</v>
      </c>
      <c r="B30" s="151"/>
      <c r="C30" s="151"/>
      <c r="D30" s="151"/>
      <c r="E30" s="2920" t="s">
        <v>3028</v>
      </c>
      <c r="F30" s="138"/>
      <c r="G30" s="138"/>
      <c r="H30" s="138"/>
      <c r="I30" s="138"/>
    </row>
    <row r="31" spans="1:35" s="2440" customFormat="1" ht="15" hidden="1"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hidden="1" thickBot="1">
      <c r="A32" s="2441" t="s">
        <v>2150</v>
      </c>
      <c r="B32" s="2442"/>
      <c r="C32" s="153">
        <f ca="1">IF(D32="总价",G19-C24,G20-C25)</f>
        <v>1995</v>
      </c>
      <c r="D32" s="2443" t="s">
        <v>2151</v>
      </c>
      <c r="E32" s="138"/>
      <c r="F32" s="138"/>
      <c r="G32" s="138"/>
      <c r="H32" s="138"/>
      <c r="I32" s="138"/>
    </row>
    <row r="33" spans="1:15" ht="15" hidden="1">
      <c r="A33" s="960" t="s">
        <v>2152</v>
      </c>
      <c r="B33" s="2444"/>
      <c r="C33" s="2445"/>
      <c r="D33" s="2446"/>
      <c r="E33" s="2447" t="s">
        <v>2153</v>
      </c>
      <c r="F33" s="2448" t="str">
        <f>IF(D32="楼面单价","取值（单价）","取值（总价）")</f>
        <v>取值（总价）</v>
      </c>
      <c r="G33" s="138"/>
      <c r="H33" s="138"/>
      <c r="I33" s="138"/>
    </row>
    <row r="34" spans="1:15" ht="15" hidden="1">
      <c r="A34" s="2449"/>
      <c r="B34" s="2450" t="s">
        <v>2154</v>
      </c>
      <c r="C34" s="157" t="e">
        <f ca="1">IF(C33="自定义",F34,C32-C35)</f>
        <v>#REF!</v>
      </c>
      <c r="D34" s="1057" t="e">
        <f ca="1">IF(C33="自定义",ROUND(C34/C32,3),IF(C33="收益比率",SUMIF(INDIRECT("'"&amp;D33&amp;"'"&amp;"!b:b"),"土地收益比率",INDIRECT("'"&amp;D33&amp;"'"&amp;"!c:c")),SUMIF(INDIRECT("'"&amp;D33&amp;"'"&amp;"!b:b"),"土地成本比率",INDIRECT("'"&amp;D33&amp;"'"&amp;"!c:c"))))</f>
        <v>#REF!</v>
      </c>
      <c r="E34" s="2451" t="s">
        <v>2155</v>
      </c>
      <c r="F34" s="1738"/>
      <c r="G34" s="138"/>
      <c r="H34" s="138"/>
      <c r="I34" s="138"/>
    </row>
    <row r="35" spans="1:15" ht="15.75" hidden="1" thickBot="1">
      <c r="A35" s="2452"/>
      <c r="B35" s="2453" t="s">
        <v>2156</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hidden="1" thickBot="1">
      <c r="A36" s="3110" t="s">
        <v>2158</v>
      </c>
      <c r="B36" s="2455" t="s">
        <v>2159</v>
      </c>
      <c r="C36" s="154"/>
      <c r="D36" s="2456"/>
      <c r="E36" s="2457"/>
      <c r="F36" s="2458"/>
      <c r="G36" s="138"/>
      <c r="H36" s="138"/>
      <c r="I36" s="138"/>
    </row>
    <row r="37" spans="1:15" ht="15.75" hidden="1" thickBot="1">
      <c r="A37" s="3111"/>
      <c r="B37" s="2263" t="s">
        <v>2160</v>
      </c>
      <c r="C37" s="156"/>
      <c r="D37" s="1394"/>
      <c r="E37" s="1394"/>
      <c r="F37" s="2458"/>
      <c r="G37" s="138"/>
      <c r="H37" s="138"/>
      <c r="I37" s="138"/>
    </row>
    <row r="38" spans="1:15" ht="15.75" hidden="1" thickBot="1">
      <c r="A38" s="3112"/>
      <c r="B38" s="2459" t="s">
        <v>2161</v>
      </c>
      <c r="C38" s="727"/>
      <c r="D38" s="2460" t="s">
        <v>2162</v>
      </c>
      <c r="E38" s="1394"/>
      <c r="F38" s="2458"/>
      <c r="G38" s="138"/>
      <c r="H38" s="138"/>
      <c r="I38" s="138"/>
    </row>
    <row r="39" spans="1:15" ht="15" hidden="1">
      <c r="A39" s="2431" t="s">
        <v>2163</v>
      </c>
      <c r="B39" s="2461" t="s">
        <v>2164</v>
      </c>
      <c r="C39" s="2462" t="s">
        <v>2165</v>
      </c>
      <c r="D39" s="2462" t="s">
        <v>2166</v>
      </c>
      <c r="E39" s="2463" t="s">
        <v>2167</v>
      </c>
      <c r="F39" s="2458"/>
      <c r="G39" s="138"/>
      <c r="H39" s="138"/>
      <c r="I39" s="138"/>
    </row>
    <row r="40" spans="1:15" ht="14.25" hidden="1">
      <c r="A40" s="2464" t="s">
        <v>2168</v>
      </c>
      <c r="B40" s="158"/>
      <c r="C40" s="159"/>
      <c r="D40" s="159"/>
      <c r="E40" s="160"/>
      <c r="F40" s="2458"/>
      <c r="G40" s="138"/>
      <c r="H40" s="138"/>
      <c r="I40" s="138"/>
    </row>
    <row r="41" spans="1:15" ht="14.25" hidden="1">
      <c r="A41" s="2464" t="s">
        <v>2169</v>
      </c>
      <c r="B41" s="158"/>
      <c r="C41" s="159"/>
      <c r="D41" s="159"/>
      <c r="E41" s="160"/>
      <c r="F41" s="2458"/>
      <c r="G41" s="138"/>
      <c r="H41" s="138"/>
      <c r="I41" s="138"/>
    </row>
    <row r="42" spans="1:15" ht="15" hidden="1" thickBot="1">
      <c r="A42" s="2465"/>
      <c r="B42" s="161"/>
      <c r="C42" s="162"/>
      <c r="D42" s="162"/>
      <c r="E42" s="163"/>
      <c r="F42" s="2458"/>
      <c r="G42" s="138"/>
      <c r="H42" s="138"/>
      <c r="I42" s="138"/>
    </row>
    <row r="43" spans="1:15" ht="12.75" hidden="1">
      <c r="A43" s="2161"/>
      <c r="B43" s="2161"/>
      <c r="C43" s="2161"/>
      <c r="D43" s="2161"/>
      <c r="E43" s="2161"/>
      <c r="F43" s="2466"/>
      <c r="G43" s="2466"/>
      <c r="H43" s="2466"/>
      <c r="I43" s="2467"/>
    </row>
    <row r="44" spans="1:15" ht="18.75" hidden="1">
      <c r="A44" s="2468" t="s">
        <v>2170</v>
      </c>
      <c r="B44" s="2469"/>
      <c r="C44" s="2469"/>
      <c r="D44" s="2470"/>
      <c r="E44" s="2470"/>
      <c r="F44" s="2471"/>
      <c r="G44" s="2471"/>
      <c r="H44" s="2471"/>
      <c r="I44" s="2471"/>
      <c r="J44" s="2472" t="s">
        <v>2171</v>
      </c>
      <c r="K44" s="2473"/>
      <c r="L44" s="2473"/>
      <c r="M44" s="2473"/>
      <c r="N44" s="2473"/>
      <c r="O44" s="2473"/>
    </row>
    <row r="45" spans="1:15" ht="14.25" hidden="1" customHeight="1" thickBot="1">
      <c r="A45" s="3089" t="s">
        <v>2172</v>
      </c>
      <c r="B45" s="3090"/>
      <c r="C45" s="3091"/>
      <c r="D45" s="164">
        <f ca="1">ROUND(H101*F45,0)</f>
        <v>1995</v>
      </c>
      <c r="E45" s="165" t="s">
        <v>2173</v>
      </c>
      <c r="F45" s="166">
        <v>1</v>
      </c>
      <c r="G45" s="167" t="s">
        <v>2174</v>
      </c>
      <c r="H45" s="138"/>
      <c r="I45" s="138"/>
      <c r="J45" s="3149" t="s">
        <v>2175</v>
      </c>
      <c r="K45" s="3149"/>
      <c r="L45" s="3149"/>
      <c r="M45" s="3149"/>
      <c r="N45" s="3149"/>
      <c r="O45" s="3149"/>
    </row>
    <row r="46" spans="1:15" ht="14.25" hidden="1" customHeight="1">
      <c r="A46" s="3086" t="s">
        <v>2176</v>
      </c>
      <c r="B46" s="3087"/>
      <c r="C46" s="3087"/>
      <c r="D46" s="3087"/>
      <c r="E46" s="3087"/>
      <c r="F46" s="3087"/>
      <c r="G46" s="3088"/>
      <c r="H46" s="2474"/>
      <c r="I46" s="168"/>
      <c r="J46" s="1811">
        <v>1</v>
      </c>
      <c r="K46" s="3149" t="s">
        <v>2177</v>
      </c>
      <c r="L46" s="3149"/>
      <c r="M46" s="3169"/>
      <c r="N46" s="3169"/>
      <c r="O46" s="3169"/>
    </row>
    <row r="47" spans="1:15" ht="12" hidden="1" customHeight="1">
      <c r="A47" s="169" t="s">
        <v>2178</v>
      </c>
      <c r="B47" s="170"/>
      <c r="C47" s="171"/>
      <c r="D47" s="172" t="s">
        <v>2179</v>
      </c>
      <c r="E47" s="24" t="s">
        <v>2180</v>
      </c>
      <c r="F47" s="173" t="s">
        <v>2181</v>
      </c>
      <c r="G47" s="174" t="s">
        <v>2182</v>
      </c>
      <c r="H47" s="2474"/>
      <c r="I47" s="168"/>
      <c r="J47" s="1811">
        <v>2</v>
      </c>
      <c r="K47" s="3149" t="s">
        <v>2183</v>
      </c>
      <c r="L47" s="3149"/>
      <c r="M47" s="3170">
        <f>'数据-取费表'!B2</f>
        <v>43165</v>
      </c>
      <c r="N47" s="3170"/>
      <c r="O47" s="3170"/>
    </row>
    <row r="48" spans="1:15" ht="25.5" hidden="1">
      <c r="A48" s="3117" t="s">
        <v>2184</v>
      </c>
      <c r="B48" s="3100"/>
      <c r="C48" s="3100"/>
      <c r="D48" s="140">
        <f>IF(H48="情况1",0,IF(H48="情况2",D52,IF(H48="情况3",D53,IF(H48="情况4",D54))))</f>
        <v>0</v>
      </c>
      <c r="E48" s="1800" t="str">
        <f>IF(H48="情况4","(销售额-原购置价)×税（费）率","销售额×税（费）率")</f>
        <v>销售额×税（费）率</v>
      </c>
      <c r="F48" s="175" t="str">
        <f>IF(H48="情况1","免征",'数据-取费表'!B41)</f>
        <v>免征</v>
      </c>
      <c r="G48" s="2475" t="s">
        <v>2185</v>
      </c>
      <c r="H48" s="2476" t="s">
        <v>2186</v>
      </c>
      <c r="I48" s="2474"/>
      <c r="J48" s="1811">
        <v>3</v>
      </c>
      <c r="K48" s="3149" t="s">
        <v>2187</v>
      </c>
      <c r="L48" s="3149"/>
      <c r="M48" s="3171">
        <f ca="1">H101</f>
        <v>1995</v>
      </c>
      <c r="N48" s="3171"/>
      <c r="O48" s="3171"/>
    </row>
    <row r="49" spans="1:35" ht="25.5" hidden="1" customHeight="1">
      <c r="A49" s="176" t="s">
        <v>2188</v>
      </c>
      <c r="B49" s="3085" t="s">
        <v>2189</v>
      </c>
      <c r="C49" s="3085"/>
      <c r="D49" s="177">
        <v>0</v>
      </c>
      <c r="E49" s="23" t="s">
        <v>2190</v>
      </c>
      <c r="F49" s="28" t="s">
        <v>34</v>
      </c>
      <c r="G49" s="3155"/>
      <c r="H49" s="138"/>
      <c r="I49" s="2477"/>
      <c r="J49" s="1811">
        <v>4</v>
      </c>
      <c r="K49" s="3149" t="str">
        <f>IF(项目基本情况!E8="房地产抵押价值","房地产抵押价值","抵押担保权已注销时的房地产抵押价值")</f>
        <v>房地产抵押价值</v>
      </c>
      <c r="L49" s="3149"/>
      <c r="M49" s="3171">
        <f ca="1">IF(项目基本情况!E8="房地产抵押价值",H107,H109)</f>
        <v>1995</v>
      </c>
      <c r="N49" s="3171"/>
      <c r="O49" s="3171"/>
    </row>
    <row r="50" spans="1:35" ht="25.5" hidden="1" customHeight="1">
      <c r="A50" s="178"/>
      <c r="B50" s="3085" t="s">
        <v>2191</v>
      </c>
      <c r="C50" s="3085"/>
      <c r="D50" s="179"/>
      <c r="E50" s="31"/>
      <c r="F50" s="180"/>
      <c r="G50" s="3156"/>
      <c r="H50" s="138"/>
      <c r="I50" s="2477"/>
      <c r="J50" s="3149" t="s">
        <v>2192</v>
      </c>
      <c r="K50" s="3149"/>
      <c r="L50" s="3149"/>
      <c r="M50" s="3149"/>
      <c r="N50" s="3149"/>
      <c r="O50" s="3149"/>
    </row>
    <row r="51" spans="1:35" ht="12" hidden="1" customHeight="1">
      <c r="A51" s="181"/>
      <c r="B51" s="3085" t="s">
        <v>2193</v>
      </c>
      <c r="C51" s="3085"/>
      <c r="D51" s="182"/>
      <c r="E51" s="30"/>
      <c r="F51" s="180"/>
      <c r="G51" s="3157"/>
      <c r="H51" s="138"/>
      <c r="I51" s="2477"/>
      <c r="J51" s="2478" t="s">
        <v>2194</v>
      </c>
      <c r="K51" s="3149" t="s">
        <v>2195</v>
      </c>
      <c r="L51" s="3149"/>
      <c r="M51" s="2478" t="s">
        <v>2196</v>
      </c>
      <c r="N51" s="2478" t="s">
        <v>2197</v>
      </c>
      <c r="O51" s="2478" t="s">
        <v>2198</v>
      </c>
    </row>
    <row r="52" spans="1:35" ht="24" hidden="1" customHeight="1">
      <c r="A52" s="183" t="s">
        <v>2199</v>
      </c>
      <c r="B52" s="3085" t="s">
        <v>2200</v>
      </c>
      <c r="C52" s="3085"/>
      <c r="D52" s="182">
        <f ca="1">ROUND(D45*'数据-取费表'!B41/(1+'数据-取费表'!C42),0)</f>
        <v>105</v>
      </c>
      <c r="E52" s="11" t="s">
        <v>2201</v>
      </c>
      <c r="F52" s="184">
        <f>'数据-取费表'!B41</f>
        <v>5.5000000000000007E-2</v>
      </c>
      <c r="G52" s="2479"/>
      <c r="H52" s="138"/>
      <c r="I52" s="2477"/>
      <c r="J52" s="1811">
        <v>1</v>
      </c>
      <c r="K52" s="3150" t="s">
        <v>2202</v>
      </c>
      <c r="L52" s="3150"/>
      <c r="M52" s="1753">
        <f>D48</f>
        <v>0</v>
      </c>
      <c r="N52" s="1811" t="str">
        <f>E48</f>
        <v>销售额×税（费）率</v>
      </c>
      <c r="O52" s="1754" t="str">
        <f>F48</f>
        <v>免征</v>
      </c>
    </row>
    <row r="53" spans="1:35" ht="12" hidden="1" customHeight="1">
      <c r="A53" s="183" t="s">
        <v>2203</v>
      </c>
      <c r="B53" s="3108" t="s">
        <v>2204</v>
      </c>
      <c r="C53" s="3109"/>
      <c r="D53" s="182">
        <f ca="1">ROUND(D45*'数据-取费表'!B41/(1+'数据-取费表'!C42),0)</f>
        <v>105</v>
      </c>
      <c r="E53" s="11" t="s">
        <v>2201</v>
      </c>
      <c r="F53" s="184">
        <f>'数据-取费表'!B41</f>
        <v>5.5000000000000007E-2</v>
      </c>
      <c r="G53" s="2479"/>
      <c r="H53" s="138"/>
      <c r="I53" s="2477"/>
      <c r="J53" s="1811">
        <v>2</v>
      </c>
      <c r="K53" s="3150" t="s">
        <v>2205</v>
      </c>
      <c r="L53" s="3150"/>
      <c r="M53" s="1753">
        <f t="shared" ref="M53:O54" ca="1" si="0">D55</f>
        <v>1</v>
      </c>
      <c r="N53" s="1811" t="str">
        <f t="shared" si="0"/>
        <v>销售额×税（费）率</v>
      </c>
      <c r="O53" s="1754">
        <f t="shared" si="0"/>
        <v>5.0000000000000001E-4</v>
      </c>
    </row>
    <row r="54" spans="1:35" ht="12" hidden="1" customHeight="1">
      <c r="A54" s="183" t="s">
        <v>2206</v>
      </c>
      <c r="B54" s="3108" t="s">
        <v>2207</v>
      </c>
      <c r="C54" s="3109"/>
      <c r="D54" s="182">
        <f ca="1">C68</f>
        <v>105</v>
      </c>
      <c r="E54" s="30" t="s">
        <v>2208</v>
      </c>
      <c r="F54" s="184">
        <f>'数据-取费表'!B41</f>
        <v>5.5000000000000007E-2</v>
      </c>
      <c r="G54" s="2479"/>
      <c r="H54" s="2480"/>
      <c r="I54" s="2477"/>
      <c r="J54" s="1811">
        <v>3</v>
      </c>
      <c r="K54" s="3150" t="s">
        <v>2209</v>
      </c>
      <c r="L54" s="3150"/>
      <c r="M54" s="1753">
        <f t="shared" ca="1" si="0"/>
        <v>1131</v>
      </c>
      <c r="N54" s="1811" t="str">
        <f t="shared" si="0"/>
        <v>增值额×税（费）率</v>
      </c>
      <c r="O54" s="1755" t="str">
        <f t="shared" si="0"/>
        <v>——</v>
      </c>
    </row>
    <row r="55" spans="1:35" ht="24" hidden="1" customHeight="1">
      <c r="A55" s="3099" t="s">
        <v>2210</v>
      </c>
      <c r="B55" s="3100"/>
      <c r="C55" s="3100"/>
      <c r="D55" s="185">
        <f ca="1">IF(H55="个人住宅",0,ROUND(D45*I55,0))</f>
        <v>1</v>
      </c>
      <c r="E55" s="11" t="s">
        <v>2211</v>
      </c>
      <c r="F55" s="184">
        <f>IF(H55="正常",I55,"免征")</f>
        <v>5.0000000000000001E-4</v>
      </c>
      <c r="G55" s="2479"/>
      <c r="H55" s="2476" t="s">
        <v>2212</v>
      </c>
      <c r="I55" s="186">
        <f>'数据-取费表'!B49</f>
        <v>5.0000000000000001E-4</v>
      </c>
      <c r="J55" s="1811" t="str">
        <f>IF(H59="非个人房产","",4)</f>
        <v/>
      </c>
      <c r="K55" s="3150" t="str">
        <f>IF(H59="非个人房产","——","个人所得税")</f>
        <v>——</v>
      </c>
      <c r="L55" s="3150"/>
      <c r="M55" s="1756" t="str">
        <f>D59</f>
        <v>——</v>
      </c>
      <c r="N55" s="1809" t="str">
        <f>E59</f>
        <v>——</v>
      </c>
      <c r="O55" s="1757" t="str">
        <f>F59</f>
        <v>——</v>
      </c>
    </row>
    <row r="56" spans="1:35" ht="24.75" hidden="1">
      <c r="A56" s="3099" t="s">
        <v>2213</v>
      </c>
      <c r="B56" s="3100"/>
      <c r="C56" s="3100"/>
      <c r="D56" s="185">
        <f ca="1">IF(H56="个人住宅",D57,D58)</f>
        <v>1131</v>
      </c>
      <c r="E56" s="11" t="s">
        <v>2214</v>
      </c>
      <c r="F56" s="184" t="str">
        <f>IF(H56="正常",F58,"免征")</f>
        <v>——</v>
      </c>
      <c r="G56" s="2481" t="s">
        <v>2215</v>
      </c>
      <c r="H56" s="2482" t="s">
        <v>2212</v>
      </c>
      <c r="I56" s="2483"/>
      <c r="J56" s="1811" t="str">
        <f>IF(项目基本情况!K6="上海银行",IF(J55="",4,J55+1),"")</f>
        <v/>
      </c>
      <c r="K56" s="3173" t="str">
        <f>IF(项目基本情况!K6="上海银行","其他处置费用","")</f>
        <v/>
      </c>
      <c r="L56" s="3174"/>
      <c r="M56" s="1753" t="str">
        <f>IF(项目基本情况!K6="上海银行",M69,"")</f>
        <v/>
      </c>
      <c r="N56" s="3176" t="str">
        <f>IF(项目基本情况!K6="上海银行","包含处置中涉及的律师、诉讼、拍卖、评估等费用","")</f>
        <v/>
      </c>
      <c r="O56" s="3177"/>
    </row>
    <row r="57" spans="1:35" ht="12.75" hidden="1">
      <c r="A57" s="183" t="s">
        <v>2188</v>
      </c>
      <c r="B57" s="3115" t="s">
        <v>2216</v>
      </c>
      <c r="C57" s="3124"/>
      <c r="D57" s="187">
        <v>0</v>
      </c>
      <c r="E57" s="23" t="s">
        <v>2190</v>
      </c>
      <c r="F57" s="155"/>
      <c r="G57" s="2479"/>
      <c r="H57" s="2483"/>
      <c r="I57" s="2483"/>
      <c r="J57" s="3150">
        <f>IF(AND(J55="",J56=""),4,IF(项目基本情况!K6="上海银行",结果表!J56+1,结果表!J55+1))</f>
        <v>4</v>
      </c>
      <c r="K57" s="3150" t="s">
        <v>2217</v>
      </c>
      <c r="L57" s="2484" t="s">
        <v>2218</v>
      </c>
      <c r="M57" s="1758"/>
      <c r="N57" s="1759">
        <f ca="1">SUMIF(M52:M56,"&lt;9e307")</f>
        <v>1132</v>
      </c>
      <c r="O57" s="2485"/>
      <c r="P57" s="1752">
        <f ca="1">N57/M49</f>
        <v>0.56741854636591482</v>
      </c>
    </row>
    <row r="58" spans="1:35" ht="24.75" hidden="1">
      <c r="A58" s="183" t="s">
        <v>2199</v>
      </c>
      <c r="B58" s="3115" t="s">
        <v>2219</v>
      </c>
      <c r="C58" s="3116"/>
      <c r="D58" s="185">
        <f ca="1">IF(H58="转让取得",C81,C97)</f>
        <v>1131</v>
      </c>
      <c r="E58" s="11" t="s">
        <v>2214</v>
      </c>
      <c r="F58" s="24" t="s">
        <v>34</v>
      </c>
      <c r="G58" s="2479"/>
      <c r="H58" s="2482" t="s">
        <v>2220</v>
      </c>
      <c r="I58" s="2483"/>
      <c r="J58" s="3150"/>
      <c r="K58" s="3150"/>
      <c r="L58" s="2484" t="s">
        <v>2221</v>
      </c>
      <c r="M58" s="1760"/>
      <c r="N58" s="2486" t="str">
        <f ca="1">NUMBERSTRING(INT(N57*10000),2)&amp;"元整"</f>
        <v>壹仟壹佰叁拾贰万元整</v>
      </c>
      <c r="O58" s="2487"/>
    </row>
    <row r="59" spans="1:35" ht="24.75" hidden="1" thickBot="1">
      <c r="A59" s="3153" t="s">
        <v>2222</v>
      </c>
      <c r="B59" s="3154"/>
      <c r="C59" s="3154"/>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51">
        <f>J57+1</f>
        <v>5</v>
      </c>
      <c r="K59" s="3150" t="s">
        <v>2224</v>
      </c>
      <c r="L59" s="1811" t="s">
        <v>2218</v>
      </c>
      <c r="M59" s="1761"/>
      <c r="N59" s="1762">
        <f ca="1">M49-N57</f>
        <v>863</v>
      </c>
      <c r="O59" s="2489"/>
    </row>
    <row r="60" spans="1:35" ht="12" hidden="1" customHeight="1">
      <c r="A60" s="2490"/>
      <c r="B60" s="2412"/>
      <c r="C60" s="2412"/>
      <c r="D60" s="2412"/>
      <c r="E60" s="2162"/>
      <c r="F60" s="2483"/>
      <c r="G60" s="2483"/>
      <c r="H60" s="2491"/>
      <c r="I60" s="138"/>
      <c r="J60" s="3152"/>
      <c r="K60" s="3150"/>
      <c r="L60" s="2484" t="s">
        <v>2221</v>
      </c>
      <c r="M60" s="1760"/>
      <c r="N60" s="2486" t="str">
        <f ca="1">NUMBERSTRING(INT(N59*10000),2)&amp;"元整"</f>
        <v>捌佰陆拾叁万元整</v>
      </c>
      <c r="O60" s="2487"/>
    </row>
    <row r="61" spans="1:35" ht="13.5" hidden="1" thickBot="1">
      <c r="A61" s="3097" t="s">
        <v>2225</v>
      </c>
      <c r="B61" s="3097"/>
      <c r="C61" s="3097"/>
      <c r="D61" s="3097"/>
      <c r="E61" s="3097"/>
      <c r="F61" s="2483"/>
      <c r="G61" s="2483"/>
      <c r="H61" s="2491"/>
      <c r="I61" s="138"/>
      <c r="J61" s="1811">
        <f>J59+1</f>
        <v>6</v>
      </c>
      <c r="K61" s="3150" t="s">
        <v>2226</v>
      </c>
      <c r="L61" s="3150"/>
      <c r="M61" s="1763"/>
      <c r="N61" s="1764">
        <f ca="1">ROUND(N59*10000/'数据-汇总表'!E3,0)</f>
        <v>6924</v>
      </c>
      <c r="O61" s="2492"/>
    </row>
    <row r="62" spans="1:35" ht="12.75" hidden="1">
      <c r="A62" s="3113" t="s">
        <v>2227</v>
      </c>
      <c r="B62" s="3114"/>
      <c r="C62" s="1803"/>
      <c r="D62" s="1803" t="s">
        <v>2228</v>
      </c>
      <c r="E62" s="192" t="s">
        <v>2229</v>
      </c>
      <c r="F62" s="2483"/>
      <c r="G62" s="2483"/>
      <c r="H62" s="2491"/>
      <c r="I62" s="138"/>
    </row>
    <row r="63" spans="1:35" ht="12.75" hidden="1">
      <c r="A63" s="203" t="s">
        <v>775</v>
      </c>
      <c r="B63" s="193" t="s">
        <v>2230</v>
      </c>
      <c r="C63" s="194">
        <f ca="1">ROUND((C64+C65)/(1+'数据-取费表'!C42),0)</f>
        <v>1900</v>
      </c>
      <c r="D63" s="195"/>
      <c r="E63" s="196"/>
      <c r="F63" s="2483"/>
      <c r="G63" s="2483"/>
      <c r="H63" s="2491"/>
      <c r="I63" s="138"/>
      <c r="J63" s="3175" t="s">
        <v>2231</v>
      </c>
      <c r="K63" s="2493" t="s">
        <v>2232</v>
      </c>
      <c r="L63" s="1751">
        <f ca="1">IF(M49&gt;10000,M49*0.5%,IF(AND(M49&gt;1000,M49&lt;=10000),M49*1%,IF(AND(M49&gt;100,M49&lt;=1000),M49*3%,IF(AND(M49&gt;10,M49&lt;=100),M49*5%,M49*8%))))</f>
        <v>19.95</v>
      </c>
      <c r="M63" s="24">
        <f ca="1">ROUND(L63,1)</f>
        <v>20</v>
      </c>
      <c r="Z63" s="2417"/>
      <c r="AI63" s="2418"/>
    </row>
    <row r="64" spans="1:35" ht="14.25" hidden="1" customHeight="1">
      <c r="A64" s="197" t="s">
        <v>770</v>
      </c>
      <c r="B64" s="198" t="s">
        <v>2233</v>
      </c>
      <c r="C64" s="199">
        <f ca="1">D45</f>
        <v>1995</v>
      </c>
      <c r="D64" s="200" t="s">
        <v>32</v>
      </c>
      <c r="E64" s="201"/>
      <c r="F64" s="2483"/>
      <c r="G64" s="2483"/>
      <c r="H64" s="2491"/>
      <c r="I64" s="138"/>
      <c r="J64" s="3175"/>
      <c r="K64" s="2493" t="s">
        <v>2234</v>
      </c>
      <c r="L64" s="1751">
        <f ca="1">IF(M49&gt;2000,M49*0.5%,IF(AND(M49&gt;1000,M49&lt;=2000),M49*0.6%,IF(AND(M49&gt;500,M49&lt;=1000),M49*0.7%,IF(AND(M49&gt;200,M49&lt;=500),M49*0.8%,IF(AND(M49&gt;100,M49&lt;=200),M49*0.9%,IF(AND(M49&gt;50,M49&lt;=100),M49*1%,IF(AND(M49&gt;20,M49&lt;=50),M49*1.5%,IF(AND(M49&gt;10,M49&lt;=20),M49*2%,IF(AND(M49&gt;1,M49&lt;=10),M49*2.5%)))))))))</f>
        <v>11.97</v>
      </c>
      <c r="M64" s="24">
        <f t="shared" ref="M64:M65" ca="1" si="1">ROUND(L64,1)</f>
        <v>12</v>
      </c>
      <c r="N64" s="138" t="s">
        <v>2235</v>
      </c>
      <c r="Z64" s="2417"/>
      <c r="AI64" s="2418"/>
    </row>
    <row r="65" spans="1:35" ht="14.25" hidden="1" customHeight="1">
      <c r="A65" s="197" t="s">
        <v>771</v>
      </c>
      <c r="B65" s="198" t="s">
        <v>2236</v>
      </c>
      <c r="C65" s="202"/>
      <c r="D65" s="200"/>
      <c r="E65" s="201"/>
      <c r="F65" s="2483"/>
      <c r="G65" s="2483"/>
      <c r="H65" s="2491"/>
      <c r="I65" s="138"/>
      <c r="J65" s="3175"/>
      <c r="K65" s="2493" t="s">
        <v>2237</v>
      </c>
      <c r="L65" s="1751">
        <f ca="1">IF(M49&gt;1000,M49*0.1%,IF(AND(M49&gt;500,M49&lt;=1000),M49*0.5%,IF(AND(M49&gt;50,M49&lt;=500),M49*1%,IF(AND(M49&gt;1,M49&lt;=50),M49*1.5%))))</f>
        <v>1.9950000000000001</v>
      </c>
      <c r="M65" s="24">
        <f t="shared" ca="1" si="1"/>
        <v>2</v>
      </c>
      <c r="N65" s="138" t="s">
        <v>2235</v>
      </c>
      <c r="Z65" s="2417"/>
      <c r="AI65" s="2418"/>
    </row>
    <row r="66" spans="1:35" ht="14.25" hidden="1" customHeight="1">
      <c r="A66" s="203" t="s">
        <v>772</v>
      </c>
      <c r="B66" s="204" t="s">
        <v>2238</v>
      </c>
      <c r="C66" s="205"/>
      <c r="D66" s="206" t="s">
        <v>32</v>
      </c>
      <c r="E66" s="1775" t="s">
        <v>1371</v>
      </c>
      <c r="F66" s="2483"/>
      <c r="G66" s="2483"/>
      <c r="H66" s="2491"/>
      <c r="I66" s="138"/>
      <c r="J66" s="3175"/>
      <c r="K66" s="2493" t="s">
        <v>2239</v>
      </c>
      <c r="L66" s="1751">
        <f ca="1">M49*0.5%</f>
        <v>9.9749999999999996</v>
      </c>
      <c r="M66" s="24">
        <f ca="1">IF(L66&gt;0.5,0.5,ROUND(L66,0))</f>
        <v>0.5</v>
      </c>
      <c r="N66" s="138" t="s">
        <v>2240</v>
      </c>
      <c r="Z66" s="2417"/>
      <c r="AI66" s="2418"/>
    </row>
    <row r="67" spans="1:35" ht="14.25" hidden="1" customHeight="1">
      <c r="A67" s="203" t="s">
        <v>773</v>
      </c>
      <c r="B67" s="204" t="s">
        <v>2241</v>
      </c>
      <c r="C67" s="207">
        <f ca="1">C63-C66</f>
        <v>1900</v>
      </c>
      <c r="D67" s="200" t="s">
        <v>32</v>
      </c>
      <c r="E67" s="201"/>
      <c r="F67" s="2483"/>
      <c r="G67" s="2483"/>
      <c r="H67" s="2491"/>
      <c r="I67" s="138"/>
      <c r="J67" s="3175"/>
      <c r="K67" s="2493" t="s">
        <v>2242</v>
      </c>
      <c r="L67" s="1751">
        <f ca="1">IF(M49&gt;=10000,(8.25+(M49-10000)*0.01%),IF(AND(M49&gt;=8000,M49&lt;10000),(7.85+(M49-8000)*0.02%),IF(AND(M49&gt;=5000,M49&lt;8000),(6.65+(M49-5000)*0.04%),IF(AND(M49&gt;=2000,M49&lt;5000),(4.25+(PM49-2000)*0.08%),IF(AND(M49&gt;=1000,M49&lt;2000),(2.75+(M49-1000)*0.15%),IF(AND(M49&gt;=100,M49&lt;1000),(0.5+(M49-100)*0.25%),IF(AND(M49&gt;0,M49&lt;100),M49*0.5%)))))))</f>
        <v>4.2424999999999997</v>
      </c>
      <c r="M67" s="24">
        <f ca="1">ROUND(L67*0.9,1)</f>
        <v>3.8</v>
      </c>
      <c r="Z67" s="2417"/>
      <c r="AI67" s="2418"/>
    </row>
    <row r="68" spans="1:35" ht="14.25" hidden="1" customHeight="1" thickBot="1">
      <c r="A68" s="208" t="s">
        <v>774</v>
      </c>
      <c r="B68" s="209" t="s">
        <v>2243</v>
      </c>
      <c r="C68" s="210">
        <f ca="1">IF(C67&lt;=0,0,ROUND(C67*D68,0))</f>
        <v>105</v>
      </c>
      <c r="D68" s="211">
        <f>'数据-取费表'!B41</f>
        <v>5.5000000000000007E-2</v>
      </c>
      <c r="E68" s="212"/>
      <c r="F68" s="2483"/>
      <c r="G68" s="2483"/>
      <c r="H68" s="2491"/>
      <c r="I68" s="138"/>
      <c r="J68" s="3175"/>
      <c r="K68" s="2493" t="s">
        <v>2244</v>
      </c>
      <c r="L68" s="1751">
        <f ca="1">IF(M49&gt;10000,M49*0.5%,IF(AND(M49&gt;5000,M49&lt;=10000),M49*1%,IF(AND(M49&gt;1000,M49&lt;=5000),M49*2%,IF(AND(M49&gt;200,M49&lt;=1000),M49*3%,M49*5%))))</f>
        <v>39.9</v>
      </c>
      <c r="M68" s="24">
        <f ca="1">ROUND(L68,1)</f>
        <v>39.9</v>
      </c>
      <c r="Z68" s="2417"/>
      <c r="AI68" s="2418"/>
    </row>
    <row r="69" spans="1:35" s="2440" customFormat="1" ht="16.5" hidden="1" customHeight="1">
      <c r="A69" s="2494"/>
      <c r="B69" s="2495"/>
      <c r="C69" s="2496"/>
      <c r="D69" s="2497"/>
      <c r="E69" s="2498"/>
      <c r="F69" s="2162"/>
      <c r="G69" s="2162"/>
      <c r="H69" s="2161"/>
      <c r="I69" s="2412"/>
      <c r="J69" s="3175"/>
      <c r="K69" s="2493" t="s">
        <v>2245</v>
      </c>
      <c r="L69" s="2499"/>
      <c r="M69" s="24">
        <f ca="1">ROUND(SUM(M63:M68),0)</f>
        <v>78</v>
      </c>
      <c r="N69" s="1752">
        <f ca="1">M69/M49</f>
        <v>3.9097744360902256E-2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34" t="s">
        <v>2246</v>
      </c>
      <c r="B70" s="3135"/>
      <c r="C70" s="3135"/>
      <c r="D70" s="3135"/>
      <c r="E70" s="3135"/>
      <c r="F70" s="3135"/>
      <c r="G70" s="3135"/>
      <c r="H70" s="313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13" t="s">
        <v>2227</v>
      </c>
      <c r="B71" s="3114"/>
      <c r="C71" s="1803"/>
      <c r="D71" s="1803"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2247</v>
      </c>
      <c r="C72" s="207">
        <f ca="1">ROUND(D45/(1+'数据-取费表'!C42),0)</f>
        <v>1900</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2248</v>
      </c>
      <c r="C73" s="207">
        <f ca="1">C74+C78</f>
        <v>10</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2249</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2254</v>
      </c>
      <c r="C76" s="200">
        <f>IF(F75="购房发票",ROUND(C75*H75*D76,0),0)</f>
        <v>0</v>
      </c>
      <c r="D76" s="222">
        <v>0.05</v>
      </c>
      <c r="E76" s="3108" t="s">
        <v>2255</v>
      </c>
      <c r="F76" s="3085"/>
      <c r="G76" s="3085"/>
      <c r="H76" s="313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2259</v>
      </c>
      <c r="C78" s="225">
        <f ca="1">ROUND(D45*D78/(1+'数据-取费表'!C42),0)</f>
        <v>10</v>
      </c>
      <c r="D78" s="226">
        <f>'数据-取费表'!B43</f>
        <v>5.000000000000001E-3</v>
      </c>
      <c r="E78" s="3094" t="s">
        <v>2260</v>
      </c>
      <c r="F78" s="3095"/>
      <c r="G78" s="3095"/>
      <c r="H78" s="310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2261</v>
      </c>
      <c r="C79" s="207">
        <f ca="1">C72-C73</f>
        <v>1890</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2262</v>
      </c>
      <c r="C80" s="227">
        <f ca="1">IF(C79&lt;=0,0,C79/C73)</f>
        <v>189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2263</v>
      </c>
      <c r="C81" s="228">
        <f ca="1">ROUND(IF(C79&lt;=0,0,IF(C80&gt;=200%,C79*60%-C73*35%,IF(C80&gt;=100%,C79*50%-C73*15%,IF(C80&gt;=50%,C79*40%-C73*5%,IF(C80&lt;50%,C79*30%,0))))),0)</f>
        <v>1131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34" t="s">
        <v>2264</v>
      </c>
      <c r="B83" s="3135"/>
      <c r="C83" s="3135"/>
      <c r="D83" s="3135"/>
      <c r="E83" s="3135"/>
      <c r="F83" s="3135"/>
      <c r="G83" s="3135"/>
      <c r="H83" s="313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13" t="s">
        <v>2227</v>
      </c>
      <c r="B84" s="3114"/>
      <c r="C84" s="1803"/>
      <c r="D84" s="1803"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2247</v>
      </c>
      <c r="C85" s="207">
        <f ca="1">ROUND(D45/(1+'数据-取费表'!C42),0)</f>
        <v>1900</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2248</v>
      </c>
      <c r="C86" s="207">
        <f ca="1">IF(H88="仅含出让金",C87+C90+C91+C92+C93+C94,C87+C91+C92+C93+C94)</f>
        <v>10</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2265</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2266</v>
      </c>
      <c r="C88" s="236"/>
      <c r="D88" s="226"/>
      <c r="E88" s="237" t="s">
        <v>2267</v>
      </c>
      <c r="F88" s="1799"/>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2256</v>
      </c>
      <c r="C89" s="225">
        <f>ROUND(C88*D89,0)</f>
        <v>0</v>
      </c>
      <c r="D89" s="226">
        <f>'数据-取费表'!B48+'数据-取费表'!B49</f>
        <v>3.0499999999999999E-2</v>
      </c>
      <c r="E89" s="237" t="s">
        <v>2269</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2270</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2271</v>
      </c>
      <c r="B91" s="198" t="s">
        <v>2272</v>
      </c>
      <c r="C91" s="225">
        <f>IF(H91="——",成本法!C33,I91)</f>
        <v>0</v>
      </c>
      <c r="D91" s="226"/>
      <c r="E91" s="3094" t="s">
        <v>2273</v>
      </c>
      <c r="F91" s="3095"/>
      <c r="G91" s="3095"/>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2275</v>
      </c>
      <c r="B92" s="198" t="s">
        <v>2276</v>
      </c>
      <c r="C92" s="225">
        <f>ROUND((C87+C90+C91)*D92,0)</f>
        <v>0</v>
      </c>
      <c r="D92" s="226">
        <v>0.1</v>
      </c>
      <c r="E92" s="3094" t="s">
        <v>2277</v>
      </c>
      <c r="F92" s="3095"/>
      <c r="G92" s="3095"/>
      <c r="H92" s="310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2278</v>
      </c>
      <c r="B93" s="198" t="s">
        <v>2259</v>
      </c>
      <c r="C93" s="225">
        <f ca="1">ROUND(D45*D93/(1+'数据-取费表'!C42),0)</f>
        <v>10</v>
      </c>
      <c r="D93" s="226">
        <f>'数据-取费表'!B43</f>
        <v>5.000000000000001E-3</v>
      </c>
      <c r="E93" s="3094" t="s">
        <v>2260</v>
      </c>
      <c r="F93" s="3095"/>
      <c r="G93" s="3095"/>
      <c r="H93" s="310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2279</v>
      </c>
      <c r="B94" s="198" t="s">
        <v>2280</v>
      </c>
      <c r="C94" s="236">
        <f>ROUND((C87+C90+C91)*D94,0)</f>
        <v>0</v>
      </c>
      <c r="D94" s="226">
        <v>0.2</v>
      </c>
      <c r="E94" s="3105" t="s">
        <v>2281</v>
      </c>
      <c r="F94" s="3106"/>
      <c r="G94" s="3106"/>
      <c r="H94" s="310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2261</v>
      </c>
      <c r="C95" s="207">
        <f ca="1">ROUND(C85-C86,0)</f>
        <v>1890</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2262</v>
      </c>
      <c r="C96" s="227">
        <f ca="1">IF(C95&lt;=0,0,C95/C86)</f>
        <v>189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2263</v>
      </c>
      <c r="C97" s="228">
        <f ca="1">ROUND(IF(C95&lt;=0,0,IF(C96&gt;=200%,C95*60%-C86*35%,IF(C96&gt;=100%,C95*50%-C86*15%,IF(C96&gt;=50%,C95*40%-C86*5%,IF(C96&lt;50%,C95*30%,0))))),0)</f>
        <v>1131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2"/>
      <c r="F98" s="2162"/>
      <c r="G98" s="2162"/>
      <c r="H98" s="2161"/>
      <c r="I98" s="138"/>
    </row>
    <row r="99" spans="1:35" ht="21.75" customHeight="1" thickBot="1">
      <c r="A99" s="2468" t="s">
        <v>2282</v>
      </c>
      <c r="B99" s="2412"/>
      <c r="C99" s="2412"/>
      <c r="D99" s="2412"/>
      <c r="E99" s="2162"/>
      <c r="F99" s="2162"/>
      <c r="G99" s="2162"/>
      <c r="H99" s="2161"/>
      <c r="I99" s="138"/>
    </row>
    <row r="100" spans="1:35" ht="18.75" customHeight="1">
      <c r="A100" s="3079" t="s">
        <v>2283</v>
      </c>
      <c r="B100" s="3080"/>
      <c r="C100" s="3080"/>
      <c r="D100" s="3096"/>
      <c r="E100" s="3080" t="s">
        <v>2284</v>
      </c>
      <c r="F100" s="3080"/>
      <c r="G100" s="3080"/>
      <c r="H100" s="3096"/>
      <c r="I100" s="138"/>
    </row>
    <row r="101" spans="1:35" ht="18.75" customHeight="1">
      <c r="A101" s="3158" t="s">
        <v>2285</v>
      </c>
      <c r="B101" s="3159"/>
      <c r="C101" s="736" t="str">
        <f>C4</f>
        <v>比较法-工业</v>
      </c>
      <c r="D101" s="737" t="str">
        <f>D4</f>
        <v>收益法</v>
      </c>
      <c r="E101" s="3172" t="s">
        <v>2286</v>
      </c>
      <c r="F101" s="3126"/>
      <c r="G101" s="2514" t="s">
        <v>2287</v>
      </c>
      <c r="H101" s="1047">
        <f ca="1">H118</f>
        <v>1995</v>
      </c>
      <c r="I101" s="138"/>
    </row>
    <row r="102" spans="1:35" ht="18.75" customHeight="1">
      <c r="A102" s="3128" t="s">
        <v>2288</v>
      </c>
      <c r="B102" s="2514" t="s">
        <v>2287</v>
      </c>
      <c r="C102" s="736">
        <f ca="1">C19</f>
        <v>2561</v>
      </c>
      <c r="D102" s="737">
        <f ca="1">D19</f>
        <v>1618</v>
      </c>
      <c r="E102" s="3172"/>
      <c r="F102" s="3126"/>
      <c r="G102" s="2514" t="s">
        <v>2289</v>
      </c>
      <c r="H102" s="371">
        <f ca="1">I118</f>
        <v>16006</v>
      </c>
      <c r="I102" s="138"/>
    </row>
    <row r="103" spans="1:35" ht="42.75" customHeight="1">
      <c r="A103" s="3128"/>
      <c r="B103" s="2514" t="s">
        <v>2289</v>
      </c>
      <c r="C103" s="738">
        <f ca="1">C20</f>
        <v>20545</v>
      </c>
      <c r="D103" s="739">
        <f ca="1">D20</f>
        <v>12981</v>
      </c>
      <c r="E103" s="3167" t="s">
        <v>2290</v>
      </c>
      <c r="F103" s="3168"/>
      <c r="G103" s="2515" t="s">
        <v>2291</v>
      </c>
      <c r="H103" s="1047">
        <f>IF(D36="正常操作",H104+H105+H106,H105+H106)</f>
        <v>0</v>
      </c>
      <c r="I103" s="138"/>
    </row>
    <row r="104" spans="1:35" ht="18.75" customHeight="1">
      <c r="A104" s="3128" t="s">
        <v>2292</v>
      </c>
      <c r="B104" s="2516" t="s">
        <v>2287</v>
      </c>
      <c r="C104" s="740">
        <f ca="1">H118</f>
        <v>1995</v>
      </c>
      <c r="D104" s="741"/>
      <c r="E104" s="2263" t="s">
        <v>2293</v>
      </c>
      <c r="F104" s="2254"/>
      <c r="G104" s="2515" t="s">
        <v>2291</v>
      </c>
      <c r="H104" s="1048">
        <f>IF(D36="同一抵押权人同一抵押物续贷",C36&amp;"（未扣减，详见特别提示）",C36)</f>
        <v>0</v>
      </c>
      <c r="I104" s="138"/>
    </row>
    <row r="105" spans="1:35" ht="18.75" customHeight="1" thickBot="1">
      <c r="A105" s="3129"/>
      <c r="B105" s="2517" t="s">
        <v>2289</v>
      </c>
      <c r="C105" s="742">
        <f ca="1">I118</f>
        <v>16006</v>
      </c>
      <c r="D105" s="743"/>
      <c r="E105" s="2263" t="s">
        <v>2294</v>
      </c>
      <c r="F105" s="2254"/>
      <c r="G105" s="2515" t="s">
        <v>2291</v>
      </c>
      <c r="H105" s="1048">
        <f>C37</f>
        <v>0</v>
      </c>
      <c r="I105" s="138"/>
    </row>
    <row r="106" spans="1:35" ht="18.75" customHeight="1">
      <c r="A106" s="2412" t="s">
        <v>2295</v>
      </c>
      <c r="B106" s="2412"/>
      <c r="C106" s="2412"/>
      <c r="D106" s="2412"/>
      <c r="E106" s="2518" t="s">
        <v>2296</v>
      </c>
      <c r="F106" s="2254"/>
      <c r="G106" s="2515" t="s">
        <v>2291</v>
      </c>
      <c r="H106" s="1048">
        <f>C38</f>
        <v>0</v>
      </c>
      <c r="I106" s="138"/>
    </row>
    <row r="107" spans="1:35" ht="18.75" customHeight="1">
      <c r="A107" s="138"/>
      <c r="B107" s="138"/>
      <c r="C107" s="138"/>
      <c r="D107" s="138"/>
      <c r="E107" s="3125" t="str">
        <f>IF(项目基本情况!E8="已注销","——","3.房地产抵押价值")</f>
        <v>3.房地产抵押价值</v>
      </c>
      <c r="F107" s="3126"/>
      <c r="G107" s="2514" t="s">
        <v>2287</v>
      </c>
      <c r="H107" s="1047">
        <f ca="1">IF(E107="——","——",H101-H103)</f>
        <v>1995</v>
      </c>
      <c r="I107" s="138"/>
    </row>
    <row r="108" spans="1:35" ht="18.75" customHeight="1" thickBot="1">
      <c r="A108" s="138"/>
      <c r="B108" s="138"/>
      <c r="C108" s="138"/>
      <c r="D108" s="138"/>
      <c r="E108" s="3125"/>
      <c r="F108" s="3126"/>
      <c r="G108" s="2514" t="s">
        <v>2289</v>
      </c>
      <c r="H108" s="371">
        <f ca="1">ROUND(H107*10000/'数据-汇总表'!E3,0)</f>
        <v>16006</v>
      </c>
      <c r="I108" s="138"/>
    </row>
    <row r="109" spans="1:35" ht="18.75" hidden="1"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126"/>
      <c r="G109" s="2514" t="s">
        <v>2287</v>
      </c>
      <c r="H109" s="348" t="str">
        <f>IF(E109="——","——",H101-H105-H106)</f>
        <v>——</v>
      </c>
      <c r="I109" s="138"/>
    </row>
    <row r="110" spans="1:35" ht="18.75" hidden="1" customHeight="1">
      <c r="A110" s="138"/>
      <c r="B110" s="138"/>
      <c r="C110" s="138"/>
      <c r="D110" s="138"/>
      <c r="E110" s="3125"/>
      <c r="F110" s="3126"/>
      <c r="G110" s="2514" t="s">
        <v>2289</v>
      </c>
      <c r="H110" s="371" t="str">
        <f>IF(H109="——","——",ROUND(H109*10000/'数据-汇总表'!E3,0))</f>
        <v>——</v>
      </c>
      <c r="I110" s="138"/>
    </row>
    <row r="111" spans="1:35" ht="18.75" hidden="1" customHeight="1">
      <c r="A111" s="138"/>
      <c r="B111" s="138"/>
      <c r="C111" s="138"/>
      <c r="D111" s="138"/>
      <c r="E111" s="3160" t="str">
        <f>IF(项目基本情况!E9="抵押净值",IF(OR(项目基本情况!E8="已注销",项目基本情况!E8="房地产抵押价值"),"4.抵押净值","5.抵押净值"),"——")</f>
        <v>——</v>
      </c>
      <c r="F111" s="3161"/>
      <c r="G111" s="2514" t="s">
        <v>2287</v>
      </c>
      <c r="H111" s="1047" t="str">
        <f>IF(E111="——","——",N59)</f>
        <v>——</v>
      </c>
      <c r="I111" s="138"/>
    </row>
    <row r="112" spans="1:35" ht="18.75" hidden="1" customHeight="1" thickBot="1">
      <c r="A112" s="138"/>
      <c r="B112" s="138"/>
      <c r="C112" s="138"/>
      <c r="D112" s="138"/>
      <c r="E112" s="3162"/>
      <c r="F112" s="3163"/>
      <c r="G112" s="2519" t="s">
        <v>2289</v>
      </c>
      <c r="H112" s="790" t="str">
        <f>IF(E111="——","——",N61)</f>
        <v>——</v>
      </c>
      <c r="I112" s="138"/>
    </row>
    <row r="113" spans="1:11" ht="18.75" customHeight="1">
      <c r="A113" s="138"/>
      <c r="B113" s="138"/>
      <c r="C113" s="138"/>
      <c r="D113" s="138"/>
      <c r="E113" s="3130" t="s">
        <v>2295</v>
      </c>
      <c r="F113" s="3130"/>
      <c r="G113" s="3130"/>
      <c r="H113" s="3130"/>
      <c r="I113" s="138"/>
    </row>
    <row r="114" spans="1:11" ht="3.75" customHeight="1">
      <c r="A114" s="2412"/>
      <c r="B114" s="2412"/>
      <c r="C114" s="2412"/>
      <c r="D114" s="2412"/>
      <c r="E114" s="2490"/>
      <c r="F114" s="2490"/>
      <c r="G114" s="2490"/>
      <c r="H114" s="2490"/>
      <c r="I114" s="2412"/>
    </row>
    <row r="115" spans="1:11" ht="18.75" hidden="1" customHeight="1">
      <c r="A115" s="3143" t="s">
        <v>2297</v>
      </c>
      <c r="B115" s="3144"/>
      <c r="C115" s="3144"/>
      <c r="D115" s="3144"/>
      <c r="E115" s="3144"/>
      <c r="F115" s="3144"/>
      <c r="G115" s="3144"/>
      <c r="H115" s="3144"/>
      <c r="I115" s="3145"/>
    </row>
    <row r="116" spans="1:11" ht="27" hidden="1" customHeight="1">
      <c r="A116" s="3039" t="s">
        <v>2298</v>
      </c>
      <c r="B116" s="3131" t="s">
        <v>3085</v>
      </c>
      <c r="C116" s="3131" t="s">
        <v>3139</v>
      </c>
      <c r="D116" s="3147" t="s">
        <v>2299</v>
      </c>
      <c r="E116" s="3148"/>
      <c r="F116" s="3139" t="s">
        <v>2300</v>
      </c>
      <c r="G116" s="3139"/>
      <c r="H116" s="3039" t="s">
        <v>2301</v>
      </c>
      <c r="I116" s="3039"/>
    </row>
    <row r="117" spans="1:11" ht="18.75" hidden="1" customHeight="1">
      <c r="A117" s="3039"/>
      <c r="B117" s="3132"/>
      <c r="C117" s="3132"/>
      <c r="D117" s="1797" t="s">
        <v>2302</v>
      </c>
      <c r="E117" s="1797" t="s">
        <v>2303</v>
      </c>
      <c r="F117" s="1797" t="s">
        <v>2302</v>
      </c>
      <c r="G117" s="1797" t="s">
        <v>2304</v>
      </c>
      <c r="H117" s="1797" t="s">
        <v>2302</v>
      </c>
      <c r="I117" s="1797" t="s">
        <v>2304</v>
      </c>
    </row>
    <row r="118" spans="1:11" ht="24.75" hidden="1" customHeight="1">
      <c r="A118" s="2520" t="str">
        <f>项目基本情况!S2</f>
        <v>北京市昌平区超前路37号院20号楼1至4层101号房地产</v>
      </c>
      <c r="B118" s="1797">
        <f>M18</f>
        <v>1246.4000000000001</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1995</v>
      </c>
      <c r="I118" s="1797">
        <f ca="1">ROUND(IF(D32="楼面单价",C32,H118*10000/B118),0)</f>
        <v>16006</v>
      </c>
    </row>
    <row r="119" spans="1:11" ht="18.75" hidden="1" customHeight="1">
      <c r="A119" s="3039" t="s">
        <v>2305</v>
      </c>
      <c r="B119" s="3039"/>
      <c r="C119" s="3039"/>
      <c r="D119" s="3136" t="e">
        <f ca="1">NUMBERSTRING(INT(D118*10000),2)&amp;"元整"</f>
        <v>#REF!</v>
      </c>
      <c r="E119" s="3138"/>
      <c r="F119" s="3136" t="e">
        <f ca="1">NUMBERSTRING(INT(F118*10000),2)&amp;"元整"</f>
        <v>#REF!</v>
      </c>
      <c r="G119" s="3138"/>
      <c r="H119" s="3136" t="str">
        <f ca="1">NUMBERSTRING(INT(H118*10000),2)&amp;"元整"</f>
        <v>壹仟玖佰玖拾伍万元整</v>
      </c>
      <c r="I119" s="3138"/>
    </row>
    <row r="120" spans="1:11" ht="18.75" hidden="1" customHeight="1">
      <c r="A120" s="3164" t="str">
        <f>IF(项目基本情况!B9="房地产市场价值","",MID(E103,3,LEN(E103)-2))</f>
        <v>估价师知悉的法定优先受偿款</v>
      </c>
      <c r="B120" s="3165"/>
      <c r="C120" s="3166"/>
      <c r="D120" s="3164">
        <f>H103</f>
        <v>0</v>
      </c>
      <c r="E120" s="3165"/>
      <c r="F120" s="3165"/>
      <c r="G120" s="3165"/>
      <c r="H120" s="3165"/>
      <c r="I120" s="3166"/>
      <c r="K120" s="2417" t="str">
        <f>IF(D120=0,"故，本次评估不存在"&amp;A120,"故，本次评估"&amp;A120&amp;"为人民币"&amp;D120&amp;"万元整。")</f>
        <v>故，本次评估不存在估价师知悉的法定优先受偿款</v>
      </c>
    </row>
    <row r="121" spans="1:11" ht="18.75" hidden="1" customHeight="1">
      <c r="A121" s="3140" t="s">
        <v>2305</v>
      </c>
      <c r="B121" s="3141"/>
      <c r="C121" s="3142"/>
      <c r="D121" s="3136" t="str">
        <f>IF(D120=0,"零元整",NUMBERSTRING(INT(D120*10000),2)&amp;"元整")</f>
        <v>零元整</v>
      </c>
      <c r="E121" s="3137"/>
      <c r="F121" s="3137"/>
      <c r="G121" s="3137"/>
      <c r="H121" s="3137"/>
      <c r="I121" s="3138"/>
    </row>
    <row r="122" spans="1:11" ht="18.75" hidden="1" customHeight="1">
      <c r="A122" s="3127" t="str">
        <f>IF(项目基本情况!B9="房地产市场价值","",MID(E107,3,LEN(E107)-2))</f>
        <v>房地产抵押价值</v>
      </c>
      <c r="B122" s="3127"/>
      <c r="C122" s="3127"/>
      <c r="D122" s="3164">
        <f ca="1">H107</f>
        <v>1995</v>
      </c>
      <c r="E122" s="3165"/>
      <c r="F122" s="3165"/>
      <c r="G122" s="3165"/>
      <c r="H122" s="3165"/>
      <c r="I122" s="3166"/>
    </row>
    <row r="123" spans="1:11" ht="18.75" hidden="1" customHeight="1">
      <c r="A123" s="3039" t="s">
        <v>2305</v>
      </c>
      <c r="B123" s="3039"/>
      <c r="C123" s="3039"/>
      <c r="D123" s="3136" t="str">
        <f ca="1">NUMBERSTRING(INT(D122*10000),2)&amp;"元整"</f>
        <v>壹仟玖佰玖拾伍万元整</v>
      </c>
      <c r="E123" s="3137"/>
      <c r="F123" s="3137"/>
      <c r="G123" s="3137"/>
      <c r="H123" s="3137"/>
      <c r="I123" s="3138"/>
    </row>
    <row r="124" spans="1:11" ht="18.75" hidden="1" customHeight="1">
      <c r="A124" s="3127" t="str">
        <f>IF(项目基本情况!B9="房地产市场价值","",MID(E109,3,LEN(E109)-2))</f>
        <v/>
      </c>
      <c r="B124" s="3127"/>
      <c r="C124" s="3127"/>
      <c r="D124" s="3164" t="str">
        <f>H109</f>
        <v>——</v>
      </c>
      <c r="E124" s="3165"/>
      <c r="F124" s="3165"/>
      <c r="G124" s="3165"/>
      <c r="H124" s="3165"/>
      <c r="I124" s="3166"/>
    </row>
    <row r="125" spans="1:11" ht="18.75" hidden="1" customHeight="1">
      <c r="A125" s="3039" t="s">
        <v>2305</v>
      </c>
      <c r="B125" s="3039"/>
      <c r="C125" s="3039"/>
      <c r="D125" s="3136" t="e">
        <f>NUMBERSTRING(INT(D124*10000),2)&amp;"元整"</f>
        <v>#VALUE!</v>
      </c>
      <c r="E125" s="3137"/>
      <c r="F125" s="3137"/>
      <c r="G125" s="3137"/>
      <c r="H125" s="3137"/>
      <c r="I125" s="3138"/>
    </row>
    <row r="126" spans="1:11" ht="18.75" hidden="1" customHeight="1">
      <c r="A126" s="3127" t="str">
        <f>IF(项目基本情况!B9="房地产市场价值","",MID(E111,3,LEN(E111)-2))</f>
        <v/>
      </c>
      <c r="B126" s="3127"/>
      <c r="C126" s="3127"/>
      <c r="D126" s="3164" t="str">
        <f>H111</f>
        <v>——</v>
      </c>
      <c r="E126" s="3165"/>
      <c r="F126" s="3165"/>
      <c r="G126" s="3165"/>
      <c r="H126" s="3165"/>
      <c r="I126" s="3166"/>
    </row>
    <row r="127" spans="1:11" ht="18.75" hidden="1" customHeight="1">
      <c r="A127" s="3039" t="s">
        <v>2305</v>
      </c>
      <c r="B127" s="3039"/>
      <c r="C127" s="3039"/>
      <c r="D127" s="3136" t="e">
        <f>NUMBERSTRING(INT(D126*10000),2)&amp;"元整"</f>
        <v>#VALUE!</v>
      </c>
      <c r="E127" s="3137"/>
      <c r="F127" s="3137"/>
      <c r="G127" s="3137"/>
      <c r="H127" s="3137"/>
      <c r="I127" s="3138"/>
    </row>
    <row r="128" spans="1:11" ht="21.75" hidden="1" customHeight="1">
      <c r="A128" s="3146" t="s">
        <v>2306</v>
      </c>
      <c r="B128" s="3146"/>
      <c r="C128" s="3146"/>
      <c r="D128" s="3146"/>
      <c r="E128" s="3146"/>
      <c r="F128" s="3146"/>
      <c r="G128" s="3146"/>
      <c r="H128" s="3146"/>
      <c r="I128" s="3146"/>
    </row>
    <row r="129" spans="1:35" ht="21.75" hidden="1" customHeight="1">
      <c r="A129" s="2521" t="s">
        <v>2307</v>
      </c>
      <c r="B129" s="2522"/>
      <c r="C129" s="2523" t="s">
        <v>2308</v>
      </c>
      <c r="D129" s="2524"/>
      <c r="E129" s="2524"/>
      <c r="F129" s="2524"/>
      <c r="G129" s="2524"/>
      <c r="H129" s="2525"/>
      <c r="I129" s="2526"/>
    </row>
    <row r="130" spans="1:35" ht="21.75" hidden="1" customHeight="1">
      <c r="A130" s="2527">
        <v>1</v>
      </c>
      <c r="B130" s="2528"/>
      <c r="C130" s="2528"/>
      <c r="D130" s="2529"/>
      <c r="E130" s="2529"/>
      <c r="F130" s="2529"/>
      <c r="G130" s="2529"/>
      <c r="H130" s="2530"/>
      <c r="I130" s="2531"/>
    </row>
    <row r="131" spans="1:35" ht="21.75" hidden="1" customHeight="1">
      <c r="A131" s="2527">
        <v>2</v>
      </c>
      <c r="B131" s="2528"/>
      <c r="C131" s="2528"/>
      <c r="D131" s="2529"/>
      <c r="E131" s="2529"/>
      <c r="F131" s="2529"/>
      <c r="G131" s="2529"/>
      <c r="H131" s="2530"/>
      <c r="I131" s="2531"/>
    </row>
    <row r="132" spans="1:35" ht="21.75" hidden="1" customHeight="1">
      <c r="A132" s="2527">
        <v>3</v>
      </c>
      <c r="B132" s="2528"/>
      <c r="C132" s="2528"/>
      <c r="D132" s="2529"/>
      <c r="E132" s="2529"/>
      <c r="F132" s="2529"/>
      <c r="G132" s="2529"/>
      <c r="H132" s="2530"/>
      <c r="I132" s="2531"/>
    </row>
    <row r="133" spans="1:35" ht="21.75" hidden="1" customHeight="1">
      <c r="A133" s="2532"/>
      <c r="B133" s="2533"/>
      <c r="C133" s="2533"/>
      <c r="D133" s="2534"/>
      <c r="E133" s="2534"/>
      <c r="F133" s="2534"/>
      <c r="G133" s="2534"/>
      <c r="H133" s="2535"/>
      <c r="I133" s="2536"/>
    </row>
    <row r="134" spans="1:35" ht="21.75" hidden="1" customHeight="1">
      <c r="A134" s="2528"/>
      <c r="B134" s="2528"/>
      <c r="C134" s="2528"/>
      <c r="D134" s="2529"/>
      <c r="E134" s="2529"/>
      <c r="F134" s="2529"/>
      <c r="G134" s="2529"/>
      <c r="H134" s="2530"/>
      <c r="I134" s="795"/>
    </row>
    <row r="135" spans="1:35" ht="21.75" hidden="1" customHeight="1">
      <c r="A135" s="795"/>
      <c r="B135" s="795"/>
      <c r="C135" s="795"/>
      <c r="D135" s="795"/>
      <c r="E135" s="795"/>
      <c r="F135" s="2537" t="s">
        <v>2309</v>
      </c>
      <c r="G135" s="2538"/>
      <c r="H135" s="2538"/>
      <c r="I135" s="2539" t="s">
        <v>2310</v>
      </c>
    </row>
    <row r="136" spans="1:35" ht="21.75" hidden="1" customHeight="1">
      <c r="A136" s="795"/>
      <c r="B136" s="2540" t="s">
        <v>2311</v>
      </c>
      <c r="C136" s="795"/>
      <c r="D136" s="795"/>
      <c r="E136" s="795"/>
      <c r="F136" s="795"/>
      <c r="G136" s="795"/>
      <c r="H136" s="795"/>
      <c r="I136" s="795"/>
    </row>
    <row r="137" spans="1:35" ht="21.75" hidden="1" customHeight="1">
      <c r="A137" s="795"/>
      <c r="B137" s="795"/>
      <c r="C137" s="795"/>
      <c r="D137" s="795"/>
      <c r="E137" s="795"/>
      <c r="F137" s="795"/>
      <c r="G137" s="795"/>
      <c r="H137" s="795"/>
      <c r="I137" s="795"/>
    </row>
    <row r="138" spans="1:35" ht="21.75" hidden="1" customHeight="1">
      <c r="A138" s="795"/>
      <c r="B138" s="2538"/>
      <c r="C138" s="2538"/>
      <c r="D138" s="2538"/>
      <c r="E138" s="2538"/>
      <c r="F138" s="2538"/>
      <c r="G138" s="2538"/>
      <c r="H138" s="2538"/>
      <c r="I138" s="2539" t="s">
        <v>2312</v>
      </c>
    </row>
    <row r="139" spans="1:35" ht="21.75" hidden="1" customHeight="1">
      <c r="A139" s="795"/>
      <c r="B139" s="2540" t="s">
        <v>2313</v>
      </c>
      <c r="C139" s="795"/>
      <c r="D139" s="795"/>
      <c r="E139" s="795"/>
      <c r="F139" s="795"/>
      <c r="G139" s="795"/>
      <c r="H139" s="795"/>
      <c r="I139" s="795"/>
    </row>
    <row r="140" spans="1:35" ht="21.75" hidden="1" customHeight="1">
      <c r="A140" s="795"/>
      <c r="B140" s="2540"/>
      <c r="C140" s="795"/>
      <c r="D140" s="795"/>
      <c r="E140" s="795"/>
      <c r="F140" s="795"/>
      <c r="G140" s="795"/>
      <c r="H140" s="795"/>
      <c r="I140" s="795"/>
    </row>
    <row r="141" spans="1:35" ht="21.75" hidden="1" customHeight="1">
      <c r="A141" s="795"/>
      <c r="B141" s="2538"/>
      <c r="C141" s="2538"/>
      <c r="D141" s="2538"/>
      <c r="E141" s="2538"/>
      <c r="F141" s="2538"/>
      <c r="G141" s="2538"/>
      <c r="H141" s="2538"/>
      <c r="I141" s="2539" t="s">
        <v>2312</v>
      </c>
    </row>
    <row r="142" spans="1:35" ht="21.75" hidden="1"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2" customWidth="1"/>
    <col min="2" max="2" width="19.25" style="2897"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4" customWidth="1"/>
    <col min="33" max="36" width="9.375" style="2792" customWidth="1"/>
    <col min="37" max="38" width="9.375" style="2716" customWidth="1"/>
    <col min="39" max="16384" width="12" style="2716"/>
  </cols>
  <sheetData>
    <row r="1" spans="1:36" ht="28.5">
      <c r="A1" s="240" t="s">
        <v>2792</v>
      </c>
      <c r="B1" s="241"/>
      <c r="C1" s="245" t="s">
        <v>2793</v>
      </c>
      <c r="D1" s="388">
        <f>SUM(D29:D30,D33:D39)</f>
        <v>1246.4000000000001</v>
      </c>
      <c r="E1" s="2713"/>
      <c r="F1" s="2713"/>
      <c r="G1" s="2713"/>
      <c r="H1" s="2713"/>
      <c r="I1" s="2713"/>
      <c r="J1" s="2713"/>
      <c r="K1" s="1372"/>
      <c r="L1" s="2714" t="s">
        <v>2794</v>
      </c>
      <c r="M1" s="1082">
        <f>SUMPRODUCT((区片价!B5:B9=I2)*(区片价!C3:F3=E2)*(区片价!C5:F9))</f>
        <v>0</v>
      </c>
      <c r="N1" s="1085">
        <f>SUMPRODUCT((因素修正幅度!B5:B9=I2)*(因素修正幅度!C3:F3=E2)*(因素修正幅度!C5:F9))</f>
        <v>0</v>
      </c>
      <c r="O1" s="2715"/>
      <c r="P1" s="2715"/>
      <c r="Q1" s="1372"/>
      <c r="R1" s="1604" t="s">
        <v>2795</v>
      </c>
      <c r="S1" s="1604" t="s">
        <v>2796</v>
      </c>
      <c r="T1" s="1604" t="s">
        <v>2797</v>
      </c>
      <c r="U1" s="1604" t="s">
        <v>2798</v>
      </c>
      <c r="V1" s="1604" t="s">
        <v>2799</v>
      </c>
      <c r="W1" s="1608"/>
      <c r="X1" s="1608"/>
      <c r="Y1" s="1608"/>
      <c r="Z1" s="1608"/>
      <c r="AA1" s="1608"/>
      <c r="AB1" s="1608"/>
      <c r="AC1" s="1609"/>
      <c r="AD1" s="1610"/>
      <c r="AE1" s="1610"/>
      <c r="AF1" s="1610"/>
      <c r="AG1" s="1610"/>
      <c r="AH1" s="1610"/>
      <c r="AI1" s="1610"/>
      <c r="AJ1" s="1611"/>
    </row>
    <row r="2" spans="1:36" ht="15.75">
      <c r="A2" s="245" t="s">
        <v>2800</v>
      </c>
      <c r="B2" s="248" t="e">
        <f ca="1">C26</f>
        <v>#DIV/0!</v>
      </c>
      <c r="C2" s="2717" t="s">
        <v>2801</v>
      </c>
      <c r="D2" s="2718" t="s">
        <v>2802</v>
      </c>
      <c r="E2" s="2719" t="s">
        <v>6</v>
      </c>
      <c r="F2" s="2718" t="s">
        <v>2803</v>
      </c>
      <c r="G2" s="2720" t="str">
        <f>IF(E2="商业",项目基本情况!B37,IF(E2="办公",项目基本情况!C37,IF(E2="住宅",项目基本情况!D37,项目基本情况!E37)))</f>
        <v>七级</v>
      </c>
      <c r="H2" s="2718" t="s">
        <v>2804</v>
      </c>
      <c r="I2" s="2720" t="str">
        <f>IF(E2="商业",项目基本情况!B38,IF(E2="办公",项目基本情况!C38,IF(E2="住宅",项目基本情况!D38,项目基本情况!E38)))</f>
        <v>Ⅶ-昌平园北Ⅰ</v>
      </c>
      <c r="J2" s="2721"/>
      <c r="K2" s="1372"/>
      <c r="L2" s="2722" t="s">
        <v>2805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 ca="1">ROUND($C$5*$C$18*$C$19*$C$20*S2*$C$24,0)</f>
        <v>#DIV/0!</v>
      </c>
      <c r="U2" s="1605"/>
      <c r="V2" s="1604" t="e">
        <f ca="1">ROUND(T2*U2/10000,0)</f>
        <v>#DIV/0!</v>
      </c>
      <c r="W2" s="1608"/>
      <c r="X2" s="1608"/>
      <c r="Y2" s="1608"/>
      <c r="Z2" s="1608"/>
      <c r="AA2" s="1608"/>
      <c r="AB2" s="1608"/>
      <c r="AC2" s="1609"/>
      <c r="AD2" s="1610"/>
      <c r="AE2" s="1610"/>
      <c r="AF2" s="1610"/>
      <c r="AG2" s="1610"/>
      <c r="AH2" s="1610"/>
      <c r="AI2" s="1610"/>
      <c r="AJ2" s="1611"/>
    </row>
    <row r="3" spans="1:36" ht="15.75">
      <c r="A3" s="247" t="s">
        <v>2806</v>
      </c>
      <c r="B3" s="248" t="e">
        <f ca="1">ROUND(B2*10000/D1,0)</f>
        <v>#DIV/0!</v>
      </c>
      <c r="C3" s="2717" t="s">
        <v>2807</v>
      </c>
      <c r="D3" s="2718" t="s">
        <v>2808</v>
      </c>
      <c r="E3" s="2723" t="s">
        <v>3066</v>
      </c>
      <c r="F3" s="2724" t="s">
        <v>2809</v>
      </c>
      <c r="G3" s="916" t="e">
        <f>IF(F3="宗地容积率",'数据-汇总表'!I4,IF(F3="估价对象容积率",'数据-汇总表'!I6,'数据-汇总表'!I7))</f>
        <v>#DIV/0!</v>
      </c>
      <c r="H3" s="198" t="s">
        <v>2810</v>
      </c>
      <c r="I3" s="947"/>
      <c r="J3" s="2721" t="s">
        <v>2811</v>
      </c>
      <c r="K3" s="1372"/>
      <c r="L3" s="2722" t="s">
        <v>2812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ca="1" si="0">ROUND($C$5*$C$18*$C$19*$C$20*S3*$C$24,0)</f>
        <v>#DIV/0!</v>
      </c>
      <c r="U3" s="1605"/>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81"/>
      <c r="B4" s="3182"/>
      <c r="C4" s="3182"/>
      <c r="D4" s="3183"/>
      <c r="E4" s="3183"/>
      <c r="F4" s="3183"/>
      <c r="G4" s="3183"/>
      <c r="H4" s="3183"/>
      <c r="I4" s="3183"/>
      <c r="J4" s="3184"/>
      <c r="K4" s="1372"/>
      <c r="L4" s="2722" t="s">
        <v>2813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ca="1" si="0"/>
        <v>#DIV/0!</v>
      </c>
      <c r="U4" s="1605"/>
      <c r="V4" s="1604" t="e">
        <f t="shared" ca="1" si="1"/>
        <v>#DIV/0!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2814</v>
      </c>
      <c r="C5" s="917">
        <f>ROUND(IF(E2="商业",IF(F16="增加",C6*C7+C16,C6*C7-C16),IF(E2="住宅",IF(F16="增加",C6*C12+C16,C6*C12-C16),IF(F16="增加",C6+C16,C6-C16))),0)</f>
        <v>1465</v>
      </c>
      <c r="D5" s="1789">
        <f>ROUND(IF(E2="商业",IF(F16="增加",C6+C16,C6-C16)),0)</f>
        <v>0</v>
      </c>
      <c r="E5" s="2727"/>
      <c r="F5" s="2727"/>
      <c r="G5" s="2728"/>
      <c r="H5" s="2728"/>
      <c r="I5" s="2728"/>
      <c r="J5" s="2729"/>
      <c r="K5" s="2730"/>
      <c r="L5" s="2722" t="s">
        <v>2815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ca="1" si="0"/>
        <v>#DIV/0!</v>
      </c>
      <c r="U5" s="1605"/>
      <c r="V5" s="1604" t="e">
        <f t="shared" ca="1" si="1"/>
        <v>#DIV/0!</v>
      </c>
      <c r="W5" s="1608"/>
      <c r="X5" s="1608"/>
      <c r="Y5" s="1608"/>
      <c r="Z5" s="1608"/>
      <c r="AA5" s="1608"/>
      <c r="AB5" s="1608"/>
      <c r="AC5" s="2731"/>
      <c r="AD5" s="2732"/>
      <c r="AE5" s="2732"/>
      <c r="AF5" s="2732"/>
      <c r="AG5" s="2732"/>
      <c r="AH5" s="2732"/>
      <c r="AI5" s="2732"/>
      <c r="AJ5" s="2733"/>
    </row>
    <row r="6" spans="1:36" ht="15.75" thickBot="1">
      <c r="A6" s="2735" t="s">
        <v>2816</v>
      </c>
      <c r="B6" s="2736" t="s">
        <v>2817</v>
      </c>
      <c r="C6" s="918">
        <f>SUMIF(L1:L12,G2,M1:M12)</f>
        <v>1540</v>
      </c>
      <c r="D6" s="2737" t="s">
        <v>2818</v>
      </c>
      <c r="E6" s="2738"/>
      <c r="F6" s="2738"/>
      <c r="G6" s="2739"/>
      <c r="H6" s="2739"/>
      <c r="I6" s="2739"/>
      <c r="J6" s="2740"/>
      <c r="K6" s="1844"/>
      <c r="L6" s="2722" t="s">
        <v>2819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ca="1" si="0"/>
        <v>#DIV/0!</v>
      </c>
      <c r="U6" s="1605"/>
      <c r="V6" s="1604" t="e">
        <f t="shared" ca="1" si="1"/>
        <v>#DIV/0!</v>
      </c>
      <c r="W6" s="1608"/>
      <c r="X6" s="1608"/>
      <c r="Y6" s="1608"/>
      <c r="Z6" s="1608"/>
      <c r="AA6" s="1608"/>
      <c r="AB6" s="1608"/>
      <c r="AC6" s="2731"/>
      <c r="AD6" s="2732"/>
      <c r="AE6" s="2732"/>
      <c r="AF6" s="2732"/>
      <c r="AG6" s="2732"/>
      <c r="AH6" s="2732"/>
      <c r="AI6" s="2732"/>
      <c r="AJ6" s="2733"/>
    </row>
    <row r="7" spans="1:36" ht="24">
      <c r="A7" s="3185" t="str">
        <f>IF(E2="商业",IF(C8="不临58条商业街","",2),"")</f>
        <v/>
      </c>
      <c r="B7" s="2741" t="s">
        <v>2820</v>
      </c>
      <c r="C7" s="919">
        <f>IF(C8="不临58条商业街",1,ROUND(1+(1.6*E8+1.2*E9+0.8*E10+0.4*E11)*C9,4))</f>
        <v>1</v>
      </c>
      <c r="D7" s="2742" t="s">
        <v>2821</v>
      </c>
      <c r="E7" s="948"/>
      <c r="F7" s="2743"/>
      <c r="G7" s="2744"/>
      <c r="H7" s="2744"/>
      <c r="I7" s="2744"/>
      <c r="J7" s="2745"/>
      <c r="K7" s="1844"/>
      <c r="L7" s="2722" t="s">
        <v>2822</v>
      </c>
      <c r="M7" s="1083">
        <f>SUMPRODUCT((区片价!B158:B205=I2)*(区片价!C3:F3=E2)*(区片价!C158:F205))</f>
        <v>1540</v>
      </c>
      <c r="N7" s="1085">
        <f>SUMPRODUCT((因素修正幅度!B158:B205=I2)*(因素修正幅度!C3:F3=E2)*(因素修正幅度!C158:F205))</f>
        <v>0.05</v>
      </c>
      <c r="O7" s="1372"/>
      <c r="P7" s="1372"/>
      <c r="Q7" s="1372"/>
      <c r="R7" s="1604">
        <v>6</v>
      </c>
      <c r="S7" s="1604" t="e">
        <f>ROUND(IF(G3&gt;1,IF(R7&lt;7,SUMPRODUCT((B93:B98=R7)*(C92:N92=G2)*(C93:N98)),SUMIF(C92:N92,G2,C100:N100)),IF(R7&lt;7,SUMPRODUCT((B102:B107=R7)*(C92:N92=G2)*(C102:N107)),SUMIF(C92:N92,G2,C109:N109))),4)</f>
        <v>#DIV/0!</v>
      </c>
      <c r="T7" s="1604" t="e">
        <f t="shared" ca="1" si="0"/>
        <v>#DIV/0!</v>
      </c>
      <c r="U7" s="1605"/>
      <c r="V7" s="1604" t="e">
        <f t="shared" ca="1" si="1"/>
        <v>#DIV/0!</v>
      </c>
      <c r="W7" s="1818" t="s">
        <v>2823</v>
      </c>
      <c r="X7" s="1606" t="str">
        <f>G2</f>
        <v>七级</v>
      </c>
      <c r="Y7" s="1606" t="s">
        <v>2824</v>
      </c>
      <c r="Z7" s="1607" t="e">
        <f>G3</f>
        <v>#DIV/0!</v>
      </c>
      <c r="AA7" s="1608"/>
      <c r="AB7" s="1608"/>
      <c r="AC7" s="1609"/>
      <c r="AD7" s="1610"/>
      <c r="AE7" s="1610"/>
      <c r="AF7" s="1610"/>
      <c r="AG7" s="1610"/>
      <c r="AH7" s="1610"/>
      <c r="AI7" s="1610"/>
      <c r="AJ7" s="1611"/>
    </row>
    <row r="8" spans="1:36" ht="25.5">
      <c r="A8" s="3186"/>
      <c r="B8" s="198" t="s">
        <v>2825</v>
      </c>
      <c r="C8" s="2746" t="s">
        <v>3067</v>
      </c>
      <c r="D8" s="920" t="s">
        <v>139</v>
      </c>
      <c r="E8" s="921" t="e">
        <f>ROUND(C11/E7,4)</f>
        <v>#DIV/0!</v>
      </c>
      <c r="F8" s="2747" t="s">
        <v>2826</v>
      </c>
      <c r="G8" s="2748"/>
      <c r="H8" s="2748"/>
      <c r="I8" s="2748"/>
      <c r="J8" s="2749"/>
      <c r="K8" s="1372"/>
      <c r="L8" s="2722" t="s">
        <v>2827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78" t="s">
        <v>2828</v>
      </c>
      <c r="X8" s="3179"/>
      <c r="Y8" s="1612" t="s">
        <v>2829</v>
      </c>
      <c r="Z8" s="1612" t="s">
        <v>2830</v>
      </c>
      <c r="AA8" s="1612" t="s">
        <v>2831</v>
      </c>
      <c r="AB8" s="1612" t="s">
        <v>2832</v>
      </c>
      <c r="AC8" s="1612" t="s">
        <v>2833</v>
      </c>
      <c r="AD8" s="1612" t="s">
        <v>2834</v>
      </c>
      <c r="AE8" s="1612" t="s">
        <v>2835</v>
      </c>
      <c r="AF8" s="1612" t="s">
        <v>2836</v>
      </c>
      <c r="AG8" s="1612" t="s">
        <v>2837</v>
      </c>
      <c r="AH8" s="1612" t="s">
        <v>2838</v>
      </c>
      <c r="AI8" s="1612" t="s">
        <v>2839</v>
      </c>
      <c r="AJ8" s="1612" t="s">
        <v>2840</v>
      </c>
    </row>
    <row r="9" spans="1:36" ht="15">
      <c r="A9" s="3186"/>
      <c r="B9" s="198" t="s">
        <v>2841</v>
      </c>
      <c r="C9" s="922">
        <f>SUMIF(修正!C59:C119,C8,修正!E59:E119)</f>
        <v>0</v>
      </c>
      <c r="D9" s="200" t="s">
        <v>140</v>
      </c>
      <c r="E9" s="200" t="e">
        <f>ROUND(C11/E7,4)</f>
        <v>#DIV/0!</v>
      </c>
      <c r="F9" s="2747" t="s">
        <v>2842</v>
      </c>
      <c r="G9" s="2748"/>
      <c r="H9" s="2748"/>
      <c r="I9" s="2748"/>
      <c r="J9" s="2749"/>
      <c r="K9" s="1372"/>
      <c r="L9" s="2722" t="s">
        <v>2843</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80" t="s">
        <v>2844</v>
      </c>
      <c r="X9" s="1613" t="s">
        <v>2845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86"/>
      <c r="B10" s="198" t="s">
        <v>2846</v>
      </c>
      <c r="C10" s="200">
        <f>SUMIF(修正!C59:C119,C8,修正!F59:F119)</f>
        <v>0</v>
      </c>
      <c r="D10" s="200" t="s">
        <v>141</v>
      </c>
      <c r="E10" s="200" t="e">
        <f>ROUND(C11/E7,4)</f>
        <v>#DIV/0!</v>
      </c>
      <c r="F10" s="2747" t="s">
        <v>2847</v>
      </c>
      <c r="G10" s="2748"/>
      <c r="H10" s="2748"/>
      <c r="I10" s="2748"/>
      <c r="J10" s="2749"/>
      <c r="K10" s="1372"/>
      <c r="L10" s="2722" t="s">
        <v>2848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8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86"/>
      <c r="B11" s="2750" t="s">
        <v>2849</v>
      </c>
      <c r="C11" s="923">
        <f>C10/4</f>
        <v>0</v>
      </c>
      <c r="D11" s="923" t="s">
        <v>142</v>
      </c>
      <c r="E11" s="923" t="e">
        <f>ROUND(C11/E7,4)</f>
        <v>#DIV/0!</v>
      </c>
      <c r="F11" s="2751" t="s">
        <v>2850</v>
      </c>
      <c r="G11" s="2752"/>
      <c r="H11" s="2752"/>
      <c r="I11" s="2752"/>
      <c r="J11" s="2753"/>
      <c r="K11" s="1372"/>
      <c r="L11" s="2722" t="s">
        <v>2851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80" t="s">
        <v>2852</v>
      </c>
      <c r="X11" s="1616" t="s">
        <v>2853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185" t="s">
        <v>2854</v>
      </c>
      <c r="B12" s="2754" t="s">
        <v>2855</v>
      </c>
      <c r="C12" s="919">
        <f>ROUND(C15*D15*E15*F15*G15*H15*I15*J15,4)</f>
        <v>1</v>
      </c>
      <c r="D12" s="2755" t="s">
        <v>2856</v>
      </c>
      <c r="E12" s="2756"/>
      <c r="F12" s="2756"/>
      <c r="G12" s="2757"/>
      <c r="H12" s="2757"/>
      <c r="I12" s="2757"/>
      <c r="J12" s="2758"/>
      <c r="K12" s="1372"/>
      <c r="L12" s="2759" t="s">
        <v>2857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80"/>
      <c r="X12" s="1618" t="s">
        <v>2858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87"/>
      <c r="B13" s="2760" t="s">
        <v>2859</v>
      </c>
      <c r="C13" s="2761" t="s">
        <v>2860</v>
      </c>
      <c r="D13" s="1810" t="s">
        <v>2861</v>
      </c>
      <c r="E13" s="1810" t="s">
        <v>2862</v>
      </c>
      <c r="F13" s="30" t="s">
        <v>2863</v>
      </c>
      <c r="G13" s="2762" t="s">
        <v>2864</v>
      </c>
      <c r="H13" s="2762" t="s">
        <v>2864</v>
      </c>
      <c r="I13" s="2762" t="s">
        <v>2864</v>
      </c>
      <c r="J13" s="2763" t="s">
        <v>2864</v>
      </c>
      <c r="K13" s="1372"/>
      <c r="L13" s="1372"/>
      <c r="M13" s="1372"/>
      <c r="N13" s="1372"/>
      <c r="O13" s="1372"/>
      <c r="P13" s="1372"/>
      <c r="Q13" s="1372"/>
      <c r="R13" s="1604">
        <v>12</v>
      </c>
      <c r="S13" s="1605"/>
      <c r="T13" s="1604">
        <f t="shared" ca="1" si="0"/>
        <v>0</v>
      </c>
      <c r="U13" s="1605"/>
      <c r="V13" s="1604">
        <f t="shared" ca="1" si="1"/>
        <v>0</v>
      </c>
      <c r="W13" s="3180"/>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187"/>
      <c r="B14" s="2764"/>
      <c r="C14" s="2765"/>
      <c r="D14" s="2766"/>
      <c r="E14" s="2766"/>
      <c r="F14" s="2767"/>
      <c r="G14" s="2768" t="s">
        <v>2865</v>
      </c>
      <c r="H14" s="2769"/>
      <c r="I14" s="2770"/>
      <c r="J14" s="2771"/>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88"/>
      <c r="B15" s="2772" t="s">
        <v>2866</v>
      </c>
      <c r="C15" s="229">
        <f>IF(C14="有",1.1,1)</f>
        <v>1</v>
      </c>
      <c r="D15" s="229">
        <f>IF(D14="有",1.1,1)</f>
        <v>1</v>
      </c>
      <c r="E15" s="229">
        <f>IF(E14="有",1.1,1)</f>
        <v>1</v>
      </c>
      <c r="F15" s="229">
        <f>IF(F14="500米范围内",1.2,IF(F14="500-1000米",1.1,1))</f>
        <v>1</v>
      </c>
      <c r="G15" s="949">
        <v>1</v>
      </c>
      <c r="H15" s="949">
        <v>1</v>
      </c>
      <c r="I15" s="949">
        <v>1</v>
      </c>
      <c r="J15" s="950">
        <v>1</v>
      </c>
      <c r="K15" s="1372"/>
      <c r="L15" s="2773" t="s">
        <v>2802</v>
      </c>
      <c r="M15" s="920" t="s">
        <v>2867</v>
      </c>
      <c r="N15" s="920" t="s">
        <v>2868</v>
      </c>
      <c r="O15" s="920" t="s">
        <v>2869</v>
      </c>
      <c r="P15" s="2774" t="s">
        <v>2870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85" t="s">
        <v>2871</v>
      </c>
      <c r="B16" s="2741" t="s">
        <v>2872</v>
      </c>
      <c r="C16" s="1803">
        <f>ROUND(SUM(G17:J17)/C17,0)</f>
        <v>75</v>
      </c>
      <c r="D16" s="2775" t="s">
        <v>2873</v>
      </c>
      <c r="E16" s="2776" t="s">
        <v>3068</v>
      </c>
      <c r="F16" s="2777" t="s">
        <v>3069</v>
      </c>
      <c r="G16" s="2958" t="s">
        <v>3070</v>
      </c>
      <c r="H16" s="2958" t="s">
        <v>3071</v>
      </c>
      <c r="I16" s="2778"/>
      <c r="J16" s="2779"/>
      <c r="K16" s="1372"/>
      <c r="L16" s="2780" t="s">
        <v>2874</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86"/>
      <c r="B17" s="2781" t="s">
        <v>2875</v>
      </c>
      <c r="C17" s="924">
        <f>SUMPRODUCT((修正!A2:A5=E2)*(修正!B1:M1=G2)*(修正!B2:M5))</f>
        <v>1.2</v>
      </c>
      <c r="D17" s="2782" t="s">
        <v>2876</v>
      </c>
      <c r="E17" s="923" t="str">
        <f>IF(OR(G2="八级",G2="九级",G2="十级",G2="十一级",G2="十二级"),"五通一平","七通一平")</f>
        <v>七通一平</v>
      </c>
      <c r="F17" s="924" t="s">
        <v>2877</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2"/>
      <c r="L17" s="2783" t="s">
        <v>2878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4"/>
      <c r="AF17" s="2784"/>
      <c r="AG17" s="2716"/>
      <c r="AH17" s="2716"/>
      <c r="AI17" s="2716"/>
      <c r="AJ17" s="2716"/>
    </row>
    <row r="18" spans="1:37" s="2734" customFormat="1" ht="15.75" thickBot="1">
      <c r="A18" s="2785" t="s">
        <v>808</v>
      </c>
      <c r="B18" s="2786" t="s">
        <v>2879</v>
      </c>
      <c r="C18" s="926">
        <f>SUMIF(修正!C18:C39,E3,修正!E18:E39)</f>
        <v>0.8</v>
      </c>
      <c r="D18" s="2787"/>
      <c r="E18" s="2788"/>
      <c r="F18" s="2789"/>
      <c r="G18" s="2790"/>
      <c r="H18" s="2790"/>
      <c r="I18" s="2790"/>
      <c r="J18" s="2791"/>
      <c r="K18" s="1379"/>
      <c r="O18" s="1377"/>
      <c r="P18" s="1377"/>
      <c r="Q18" s="1378"/>
      <c r="R18" s="1378"/>
      <c r="S18" s="1378"/>
      <c r="T18" s="1373"/>
      <c r="U18" s="1373"/>
      <c r="V18" s="1373"/>
      <c r="W18" s="1372"/>
      <c r="X18" s="1372"/>
      <c r="Y18" s="1372"/>
      <c r="Z18" s="1379"/>
      <c r="AA18" s="1380"/>
      <c r="AB18" s="1380"/>
      <c r="AC18" s="1380"/>
      <c r="AD18" s="1380"/>
      <c r="AE18" s="1374"/>
      <c r="AF18" s="1374"/>
      <c r="AG18" s="2792"/>
      <c r="AH18" s="2792"/>
      <c r="AI18" s="2792"/>
    </row>
    <row r="19" spans="1:37" s="2734" customFormat="1" ht="29.25" thickBot="1">
      <c r="A19" s="2785" t="s">
        <v>809</v>
      </c>
      <c r="B19" s="2786" t="s">
        <v>2880</v>
      </c>
      <c r="C19" s="927">
        <f>ROUND(IF(H19="按公示增长率计算",SUMPRODUCT((地价!A3:A21=YEAR(G19)&amp;"-"&amp;ROUNDUP(MONTH(G19)/3,0))*(地价!X2:AB2=E2)*(地价!X3:AB21)),IF(H19="地价指数",M20/M19,(1+I19)^O19)),4)</f>
        <v>1.2309000000000001</v>
      </c>
      <c r="D19" s="2793" t="s">
        <v>2881</v>
      </c>
      <c r="E19" s="928">
        <v>41640</v>
      </c>
      <c r="F19" s="2793" t="s">
        <v>2882</v>
      </c>
      <c r="G19" s="929">
        <f>'数据-取费表'!B2</f>
        <v>43165</v>
      </c>
      <c r="H19" s="2794" t="s">
        <v>3072</v>
      </c>
      <c r="I19" s="930" t="str">
        <f>IF(H19="季度增幅（自定义）",SUMIF(N21:N24,E2,O21:O24),"")</f>
        <v/>
      </c>
      <c r="J19" s="2791"/>
      <c r="K19" s="1379"/>
      <c r="L19" s="2795" t="s">
        <v>2883</v>
      </c>
      <c r="M19" s="1736">
        <f>ROUND(SUMIF(地价!B2:F2,E2,地价!B21:F21),0)</f>
        <v>230</v>
      </c>
      <c r="N19" s="2796" t="s">
        <v>2884</v>
      </c>
      <c r="O19" s="931">
        <f>ROUNDDOWN(DATEDIF(E19,G19,"M")/3,0)</f>
        <v>16</v>
      </c>
      <c r="P19" s="1376"/>
      <c r="Q19" s="1378"/>
      <c r="R19" s="1378"/>
      <c r="S19" s="1378"/>
      <c r="T19" s="1373"/>
      <c r="U19" s="1373"/>
      <c r="V19" s="1373"/>
      <c r="W19" s="1372"/>
      <c r="X19" s="1372"/>
      <c r="Y19" s="1372"/>
      <c r="Z19" s="1379"/>
      <c r="AA19" s="1380"/>
      <c r="AB19" s="1380"/>
      <c r="AC19" s="1380"/>
      <c r="AD19" s="1380"/>
      <c r="AE19" s="1380"/>
      <c r="AF19" s="2797"/>
      <c r="AG19" s="2798"/>
      <c r="AH19" s="2792"/>
      <c r="AI19" s="2799"/>
      <c r="AJ19" s="2799"/>
      <c r="AK19" s="2799"/>
    </row>
    <row r="20" spans="1:37" s="2734" customFormat="1" ht="27.75" thickBot="1">
      <c r="A20" s="2800" t="s">
        <v>810</v>
      </c>
      <c r="B20" s="2801" t="s">
        <v>2885</v>
      </c>
      <c r="C20" s="932">
        <f ca="1">ROUND(POWER(1+G20,J20-I20)*(POWER(1+G20,I20)-1)/(POWER(1+G20,J20)-1),4)</f>
        <v>0.95899999999999996</v>
      </c>
      <c r="D20" s="2802" t="s">
        <v>2886</v>
      </c>
      <c r="E20" s="1770">
        <f ca="1">存贷款利率!D4/100</f>
        <v>4.3499999999999997E-2</v>
      </c>
      <c r="F20" s="2802" t="s">
        <v>2878</v>
      </c>
      <c r="G20" s="937">
        <f ca="1">SUMIF(M15:P15,E2,M17:P17)</f>
        <v>4.8000000000000001E-2</v>
      </c>
      <c r="H20" s="2802" t="s">
        <v>2887</v>
      </c>
      <c r="I20" s="938">
        <f>SUMIF('数据-取费表'!C6:C15,E2,'数据-取费表'!F6:F15)/COUNTIF('数据-取费表'!C6:C15,E2)</f>
        <v>43.03</v>
      </c>
      <c r="J20" s="939">
        <f>IF(E2="住宅",70,IF(E2="商业",40,50))</f>
        <v>50</v>
      </c>
      <c r="K20" s="1379"/>
      <c r="L20" s="2803" t="s">
        <v>2888</v>
      </c>
      <c r="M20" s="1737">
        <f>ROUND(SUMPRODUCT((地价!A4:A21=YEAR(G19)&amp;"-"&amp;ROUNDUP(MONTH(G19)/3,0))*(地价!B2:F2=E2)*(地价!B4:F21)),0)</f>
        <v>283</v>
      </c>
      <c r="N20" s="2804" t="s">
        <v>2889</v>
      </c>
      <c r="O20" s="2805" t="s">
        <v>2890</v>
      </c>
      <c r="P20" s="2806" t="s">
        <v>2891</v>
      </c>
      <c r="R20" s="1378"/>
      <c r="S20" s="1378"/>
      <c r="T20" s="1373"/>
      <c r="U20" s="1373"/>
      <c r="V20" s="1373"/>
      <c r="W20" s="1372"/>
      <c r="X20" s="1372"/>
      <c r="Y20" s="1372"/>
      <c r="Z20" s="1379"/>
      <c r="AA20" s="1380"/>
      <c r="AB20" s="1380"/>
      <c r="AC20" s="1380"/>
      <c r="AD20" s="1380"/>
      <c r="AE20" s="1380"/>
      <c r="AF20" s="1380"/>
    </row>
    <row r="21" spans="1:37" s="2734" customFormat="1" ht="15">
      <c r="A21" s="2807" t="s">
        <v>811</v>
      </c>
      <c r="B21" s="2959" t="s">
        <v>3073</v>
      </c>
      <c r="C21" s="940" t="e">
        <f>IF(B21="容积率修正",IF(G3&lt;=10,D22,J22),C23)</f>
        <v>#DIV/0!</v>
      </c>
      <c r="D21" s="2808"/>
      <c r="E21" s="2808"/>
      <c r="F21" s="2808"/>
      <c r="G21" s="2808"/>
      <c r="H21" s="2808"/>
      <c r="I21" s="2808"/>
      <c r="J21" s="2809"/>
      <c r="K21" s="1379"/>
      <c r="N21" s="2810" t="s">
        <v>2892</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4" customFormat="1" ht="14.25">
      <c r="A22" s="2660" t="s">
        <v>2893</v>
      </c>
      <c r="B22" s="2811" t="s">
        <v>2894</v>
      </c>
      <c r="C22" s="1812" t="s">
        <v>2895</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10" t="s">
        <v>2896</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0" t="s">
        <v>2897</v>
      </c>
      <c r="B23" s="2812" t="s">
        <v>2898</v>
      </c>
      <c r="C23" s="1016" t="e">
        <f>ROUND(IF(G3&gt;1,IF(I3&lt;7,SUMPRODUCT((B93:B98=I3)*(C92:N92=G2)*(C93:N98)),SUMIF(C92:N92,G2,C100:N100)),IF(I3&lt;7,SUMPRODUCT((B102:B107=I3)*(C92:N92=G2)*(C102:N107)),SUMIF(C92:N92,G2,C109:N109))),4)</f>
        <v>#DIV/0!</v>
      </c>
      <c r="D23" s="2769"/>
      <c r="E23" s="2769"/>
      <c r="F23" s="2813"/>
      <c r="G23" s="2814"/>
      <c r="H23" s="2815"/>
      <c r="I23" s="2816"/>
      <c r="J23" s="2817"/>
      <c r="K23" s="1372"/>
      <c r="N23" s="2810" t="s">
        <v>2899</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2"/>
    </row>
    <row r="24" spans="1:37" s="2734" customFormat="1" ht="15.75" thickBot="1">
      <c r="A24" s="2800" t="s">
        <v>812</v>
      </c>
      <c r="B24" s="2786" t="s">
        <v>2900</v>
      </c>
      <c r="C24" s="927">
        <f>SUMIF(A45:A88,E2,B45:B88)</f>
        <v>1</v>
      </c>
      <c r="D24" s="2789"/>
      <c r="E24" s="2818"/>
      <c r="F24" s="2818"/>
      <c r="G24" s="2818"/>
      <c r="H24" s="2818"/>
      <c r="I24" s="2818"/>
      <c r="J24" s="2819"/>
      <c r="K24" s="1379"/>
      <c r="N24" s="2820" t="s">
        <v>2901</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0" t="s">
        <v>813</v>
      </c>
      <c r="B25" s="2821" t="s">
        <v>2902</v>
      </c>
      <c r="C25" s="933"/>
      <c r="D25" s="2744"/>
      <c r="E25" s="2744"/>
      <c r="F25" s="2822"/>
      <c r="G25" s="2744"/>
      <c r="H25" s="2744"/>
      <c r="I25" s="2744"/>
      <c r="J25" s="2745"/>
      <c r="K25" s="1372"/>
      <c r="N25" s="2823" t="s">
        <v>2903</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4"/>
      <c r="B26" s="2811" t="s">
        <v>2904</v>
      </c>
      <c r="C26" s="206" t="e">
        <f ca="1">E29+SUM(E33:E39)</f>
        <v>#DIV/0!</v>
      </c>
      <c r="D26" s="2825"/>
      <c r="E26" s="2769"/>
      <c r="F26" s="2826"/>
      <c r="G26" s="2769"/>
      <c r="H26" s="2769"/>
      <c r="I26" s="2769"/>
      <c r="J26" s="2827"/>
      <c r="K26" s="1372"/>
      <c r="R26" s="1378"/>
      <c r="S26" s="1378"/>
      <c r="T26" s="1373"/>
      <c r="U26" s="1373"/>
      <c r="V26" s="1373"/>
      <c r="W26" s="1372"/>
      <c r="X26" s="1372"/>
      <c r="Y26" s="1372"/>
      <c r="Z26" s="1379"/>
      <c r="AA26" s="1380"/>
      <c r="AB26" s="1380"/>
      <c r="AC26" s="1380"/>
      <c r="AD26" s="1380"/>
    </row>
    <row r="27" spans="1:37" ht="15.75" thickBot="1">
      <c r="A27" s="2824"/>
      <c r="B27" s="2828" t="s">
        <v>2905</v>
      </c>
      <c r="C27" s="934" t="e">
        <f ca="1">E30+SUM(I33:I39)</f>
        <v>#DIV/0!</v>
      </c>
      <c r="D27" s="2829"/>
      <c r="E27" s="2830"/>
      <c r="F27" s="2831"/>
      <c r="G27" s="2830"/>
      <c r="H27" s="2830"/>
      <c r="I27" s="2830"/>
      <c r="J27" s="283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3"/>
      <c r="B28" s="2834" t="s">
        <v>2906</v>
      </c>
      <c r="C28" s="2835" t="s">
        <v>2907</v>
      </c>
      <c r="D28" s="2835" t="s">
        <v>2908</v>
      </c>
      <c r="E28" s="2836" t="s">
        <v>2909</v>
      </c>
      <c r="F28" s="2837"/>
      <c r="G28" s="2757"/>
      <c r="H28" s="2757"/>
      <c r="I28" s="2757"/>
      <c r="J28" s="275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8"/>
      <c r="B29" s="2839" t="s">
        <v>2910</v>
      </c>
      <c r="C29" s="206" t="e">
        <f ca="1">ROUND(C5*C18*C19*C20*C21*C24,0)</f>
        <v>#DIV/0!</v>
      </c>
      <c r="D29" s="2840">
        <f>'数据-汇总表'!E3</f>
        <v>1246.4000000000001</v>
      </c>
      <c r="E29" s="945" t="e">
        <f ca="1">ROUND(C29*D29/10000,0)</f>
        <v>#DIV/0!</v>
      </c>
      <c r="F29" s="2841" t="s">
        <v>2911</v>
      </c>
      <c r="G29" s="2842"/>
      <c r="H29" s="2842"/>
      <c r="I29" s="2842"/>
      <c r="J29" s="2843"/>
      <c r="K29" s="1372"/>
      <c r="L29" s="1372"/>
      <c r="M29" s="1372"/>
      <c r="N29" s="1372"/>
      <c r="O29" s="1377"/>
      <c r="P29" s="1377"/>
      <c r="Q29" s="1378"/>
      <c r="R29" s="1378"/>
      <c r="S29" s="1378"/>
      <c r="T29" s="1373"/>
      <c r="U29" s="1373"/>
      <c r="V29" s="1373"/>
      <c r="W29" s="1372"/>
      <c r="X29" s="1372"/>
      <c r="Y29" s="1372"/>
      <c r="Z29" s="1379"/>
      <c r="AA29" s="1380"/>
      <c r="AB29" s="1380"/>
      <c r="AC29" s="1380"/>
      <c r="AD29" s="1380"/>
      <c r="AE29" s="2784"/>
      <c r="AF29" s="2784"/>
      <c r="AG29" s="2716"/>
      <c r="AH29" s="2716"/>
      <c r="AI29" s="2716"/>
      <c r="AJ29" s="2716"/>
    </row>
    <row r="30" spans="1:37" ht="25.5" thickBot="1">
      <c r="A30" s="2844"/>
      <c r="B30" s="2845" t="s">
        <v>2912</v>
      </c>
      <c r="C30" s="229" t="e">
        <f ca="1">ROUND(IF(E2="工业",C29*M39,C29*M38),0)</f>
        <v>#DIV/0!</v>
      </c>
      <c r="D30" s="2846"/>
      <c r="E30" s="945" t="e">
        <f ca="1">ROUND(C30*D30/10000,0)</f>
        <v>#DIV/0!</v>
      </c>
      <c r="F30" s="2847" t="s">
        <v>2913</v>
      </c>
      <c r="G30" s="2848"/>
      <c r="H30" s="2848"/>
      <c r="I30" s="2848"/>
      <c r="J30" s="2849"/>
      <c r="K30" s="1372"/>
      <c r="L30" s="1372"/>
      <c r="M30" s="1372"/>
      <c r="N30" s="1372"/>
      <c r="O30" s="1377"/>
      <c r="P30" s="1377"/>
      <c r="Q30" s="1378"/>
      <c r="R30" s="1378"/>
      <c r="S30" s="1378"/>
      <c r="T30" s="1373"/>
      <c r="U30" s="1373"/>
      <c r="V30" s="1373"/>
      <c r="W30" s="1372"/>
      <c r="X30" s="1372"/>
      <c r="Y30" s="1372"/>
      <c r="Z30" s="1379"/>
      <c r="AA30" s="1380"/>
      <c r="AB30" s="1380"/>
      <c r="AC30" s="1380"/>
      <c r="AD30" s="1380"/>
      <c r="AE30" s="2784"/>
      <c r="AF30" s="2784"/>
      <c r="AG30" s="2716"/>
      <c r="AH30" s="2716"/>
      <c r="AI30" s="2716"/>
      <c r="AJ30" s="2716"/>
    </row>
    <row r="31" spans="1:37" ht="14.25">
      <c r="A31" s="2850"/>
      <c r="B31" s="2851" t="s">
        <v>2914</v>
      </c>
      <c r="C31" s="2852" t="s">
        <v>2915</v>
      </c>
      <c r="D31" s="2757"/>
      <c r="E31" s="2852"/>
      <c r="F31" s="2852"/>
      <c r="G31" s="2755" t="s">
        <v>2916</v>
      </c>
      <c r="H31" s="2757"/>
      <c r="I31" s="2853"/>
      <c r="J31" s="2758"/>
      <c r="K31" s="1372"/>
      <c r="L31" s="1372"/>
      <c r="M31" s="1372"/>
      <c r="N31" s="1372"/>
      <c r="O31" s="1377"/>
      <c r="P31" s="1377"/>
      <c r="Q31" s="1378"/>
      <c r="R31" s="1378"/>
      <c r="S31" s="1378"/>
      <c r="T31" s="1373"/>
      <c r="U31" s="1373"/>
      <c r="V31" s="1373"/>
      <c r="W31" s="1372"/>
      <c r="X31" s="1372"/>
      <c r="Y31" s="1372"/>
      <c r="Z31" s="1379"/>
      <c r="AA31" s="1380"/>
      <c r="AB31" s="1380"/>
      <c r="AC31" s="1380"/>
      <c r="AD31" s="1380"/>
      <c r="AE31" s="2784"/>
      <c r="AF31" s="2784"/>
      <c r="AG31" s="2716"/>
      <c r="AH31" s="2716"/>
      <c r="AI31" s="2716"/>
      <c r="AJ31" s="2716"/>
    </row>
    <row r="32" spans="1:37" ht="24">
      <c r="A32" s="2838"/>
      <c r="B32" s="2854"/>
      <c r="C32" s="501" t="s">
        <v>2907</v>
      </c>
      <c r="D32" s="498" t="s">
        <v>2908</v>
      </c>
      <c r="E32" s="498" t="s">
        <v>2909</v>
      </c>
      <c r="F32" s="388" t="s">
        <v>2917</v>
      </c>
      <c r="G32" s="2855" t="s">
        <v>2907</v>
      </c>
      <c r="H32" s="2855" t="s">
        <v>2908</v>
      </c>
      <c r="I32" s="2855" t="s">
        <v>2909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4"/>
      <c r="AF32" s="2784"/>
      <c r="AG32" s="2716"/>
      <c r="AH32" s="2716"/>
      <c r="AI32" s="2716"/>
      <c r="AJ32" s="2716"/>
    </row>
    <row r="33" spans="1:37" ht="36" customHeight="1">
      <c r="A33" s="3195" t="s">
        <v>2918</v>
      </c>
      <c r="B33" s="2856" t="s">
        <v>2919</v>
      </c>
      <c r="C33" s="206">
        <f ca="1">ROUND(D5*C19*C20*C24*F33,0)</f>
        <v>0</v>
      </c>
      <c r="D33" s="2840"/>
      <c r="E33" s="200">
        <f ca="1">ROUND(C33*D33/10000,0)</f>
        <v>0</v>
      </c>
      <c r="F33" s="200">
        <f>SUMIF(修正!A45:A56,G2,修正!B45:B56)</f>
        <v>0.7</v>
      </c>
      <c r="G33" s="200">
        <f t="shared" ref="G33:G39" ca="1" si="6">ROUND(IF(E2="工业",C33*$M$39,C33*$M$38),0)</f>
        <v>0</v>
      </c>
      <c r="H33" s="200">
        <f>D33</f>
        <v>0</v>
      </c>
      <c r="I33" s="200">
        <f ca="1">ROUND(G33*H33/10000,0)</f>
        <v>0</v>
      </c>
      <c r="J33" s="285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96"/>
      <c r="B34" s="2761" t="s">
        <v>2920</v>
      </c>
      <c r="C34" s="206">
        <f ca="1">ROUND(D5*C19*C20*C24*F34,0)</f>
        <v>0</v>
      </c>
      <c r="D34" s="2840"/>
      <c r="E34" s="200">
        <f t="shared" ref="E34:E39" ca="1" si="7">ROUND(C34*D34/10000,0)</f>
        <v>0</v>
      </c>
      <c r="F34" s="200">
        <f>SUMIF(修正!A45:A56,G2,修正!C45:C56)</f>
        <v>0.4</v>
      </c>
      <c r="G34" s="200">
        <f t="shared" ca="1" si="6"/>
        <v>0</v>
      </c>
      <c r="H34" s="200">
        <f t="shared" ref="H34:H39" si="8">D34</f>
        <v>0</v>
      </c>
      <c r="I34" s="200">
        <f t="shared" ref="I34:I39" ca="1" si="9">ROUND(G34*H34/10000,0)</f>
        <v>0</v>
      </c>
      <c r="J34" s="285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96"/>
      <c r="B35" s="2761" t="s">
        <v>2921</v>
      </c>
      <c r="C35" s="206">
        <f ca="1">ROUND(D5*C19*C20*C24*F35,0)</f>
        <v>0</v>
      </c>
      <c r="D35" s="2840"/>
      <c r="E35" s="200">
        <f t="shared" ca="1" si="7"/>
        <v>0</v>
      </c>
      <c r="F35" s="200">
        <f>SUMIF(修正!A45:A56,G2,修正!D45:D56)</f>
        <v>0.28000000000000003</v>
      </c>
      <c r="G35" s="200">
        <f t="shared" ca="1" si="6"/>
        <v>0</v>
      </c>
      <c r="H35" s="200">
        <f t="shared" si="8"/>
        <v>0</v>
      </c>
      <c r="I35" s="200">
        <f t="shared" ca="1" si="9"/>
        <v>0</v>
      </c>
      <c r="J35" s="2857"/>
      <c r="K35" s="1372"/>
      <c r="L35" s="1372"/>
      <c r="M35" s="1372"/>
      <c r="N35" s="1372"/>
      <c r="O35" s="1372"/>
      <c r="P35" s="1372"/>
      <c r="Q35" s="1372"/>
      <c r="R35" s="1372"/>
      <c r="S35" s="1372"/>
      <c r="T35" s="1372"/>
      <c r="U35" s="1372"/>
      <c r="V35" s="1372"/>
      <c r="W35" s="1372"/>
      <c r="X35" s="1372"/>
      <c r="Y35" s="1372"/>
      <c r="Z35" s="1373"/>
    </row>
    <row r="36" spans="1:37" ht="13.5" thickBot="1">
      <c r="A36" s="3197"/>
      <c r="B36" s="2761" t="s">
        <v>2922</v>
      </c>
      <c r="C36" s="206">
        <f ca="1">ROUND(D5*C19*C20*C24*F36,0)</f>
        <v>0</v>
      </c>
      <c r="D36" s="2840"/>
      <c r="E36" s="200">
        <f t="shared" ca="1" si="7"/>
        <v>0</v>
      </c>
      <c r="F36" s="200">
        <f>SUMIF(修正!A45:A56,G2,修正!E45:E56)</f>
        <v>0.25</v>
      </c>
      <c r="G36" s="200">
        <f t="shared" ca="1" si="6"/>
        <v>0</v>
      </c>
      <c r="H36" s="200">
        <f t="shared" si="8"/>
        <v>0</v>
      </c>
      <c r="I36" s="200">
        <f t="shared" ca="1" si="9"/>
        <v>0</v>
      </c>
      <c r="J36" s="2857"/>
      <c r="K36" s="1372"/>
      <c r="L36" s="2715"/>
      <c r="M36" s="2715"/>
      <c r="N36" s="1372"/>
      <c r="O36" s="1372"/>
      <c r="P36" s="1372"/>
      <c r="Q36" s="1372"/>
      <c r="R36" s="1372"/>
      <c r="S36" s="1372"/>
      <c r="T36" s="1372"/>
      <c r="U36" s="1372"/>
      <c r="V36" s="1372"/>
      <c r="W36" s="1372"/>
      <c r="X36" s="1372"/>
      <c r="Y36" s="1372"/>
      <c r="Z36" s="1373"/>
    </row>
    <row r="37" spans="1:37">
      <c r="A37" s="2858"/>
      <c r="B37" s="2761" t="s">
        <v>2923</v>
      </c>
      <c r="C37" s="200">
        <f ca="1">ROUND(C5*C19*C20*C24*F37,0)</f>
        <v>432</v>
      </c>
      <c r="D37" s="2840"/>
      <c r="E37" s="200">
        <f t="shared" ca="1" si="7"/>
        <v>0</v>
      </c>
      <c r="F37" s="206">
        <f>SUMIF(修正!A45:A56,G2,修正!F45:F56)</f>
        <v>0.25</v>
      </c>
      <c r="G37" s="200">
        <f t="shared" ca="1" si="6"/>
        <v>108</v>
      </c>
      <c r="H37" s="200">
        <f t="shared" si="8"/>
        <v>0</v>
      </c>
      <c r="I37" s="200">
        <f t="shared" ca="1" si="9"/>
        <v>0</v>
      </c>
      <c r="J37" s="2857"/>
      <c r="K37" s="1372"/>
      <c r="L37" s="2859" t="s">
        <v>2924</v>
      </c>
      <c r="M37" s="2860"/>
      <c r="N37" s="1372"/>
      <c r="O37" s="1372"/>
      <c r="P37" s="1372"/>
      <c r="Q37" s="1372"/>
      <c r="R37" s="1372"/>
      <c r="S37" s="1372"/>
      <c r="T37" s="1372"/>
      <c r="U37" s="1372"/>
      <c r="V37" s="1372"/>
      <c r="W37" s="1372"/>
      <c r="X37" s="1372"/>
      <c r="Y37" s="1372"/>
      <c r="Z37" s="1373"/>
    </row>
    <row r="38" spans="1:37">
      <c r="A38" s="2858"/>
      <c r="B38" s="2761" t="s">
        <v>2925</v>
      </c>
      <c r="C38" s="200">
        <f ca="1">ROUND(C5*C19*C20*C24*F38,0)</f>
        <v>432</v>
      </c>
      <c r="D38" s="2840"/>
      <c r="E38" s="200">
        <f t="shared" ca="1" si="7"/>
        <v>0</v>
      </c>
      <c r="F38" s="206">
        <f>SUMIF(修正!A45:A56,G2,修正!G45:G56)</f>
        <v>0.25</v>
      </c>
      <c r="G38" s="200">
        <f t="shared" ca="1" si="6"/>
        <v>108</v>
      </c>
      <c r="H38" s="200">
        <f t="shared" si="8"/>
        <v>0</v>
      </c>
      <c r="I38" s="200">
        <f t="shared" ca="1" si="9"/>
        <v>0</v>
      </c>
      <c r="J38" s="2857"/>
      <c r="K38" s="1372"/>
      <c r="L38" s="1889" t="s">
        <v>2926</v>
      </c>
      <c r="M38" s="2861">
        <v>0.25</v>
      </c>
      <c r="N38" s="1372"/>
      <c r="O38" s="1372"/>
      <c r="P38" s="1372"/>
      <c r="Q38" s="1372"/>
      <c r="R38" s="1372"/>
      <c r="S38" s="1372"/>
      <c r="T38" s="1372"/>
      <c r="U38" s="1372"/>
      <c r="V38" s="1372"/>
      <c r="W38" s="1372"/>
      <c r="X38" s="1372"/>
      <c r="Y38" s="1372"/>
      <c r="Z38" s="1373"/>
    </row>
    <row r="39" spans="1:37" ht="13.5" thickBot="1">
      <c r="A39" s="2844"/>
      <c r="B39" s="2862" t="s">
        <v>2927</v>
      </c>
      <c r="C39" s="229">
        <f ca="1">ROUND(C5*C19*C20*C24*F39,0)</f>
        <v>346</v>
      </c>
      <c r="D39" s="2846"/>
      <c r="E39" s="229">
        <f t="shared" ca="1" si="7"/>
        <v>0</v>
      </c>
      <c r="F39" s="935">
        <f>SUMIF(修正!A45:A56,G2,修正!H45:H56)</f>
        <v>0.2</v>
      </c>
      <c r="G39" s="229" t="e">
        <f t="shared" si="6"/>
        <v>#DIV/0!</v>
      </c>
      <c r="H39" s="229">
        <f t="shared" si="8"/>
        <v>0</v>
      </c>
      <c r="I39" s="229" t="e">
        <f t="shared" si="9"/>
        <v>#DIV/0!</v>
      </c>
      <c r="J39" s="2863"/>
      <c r="K39" s="1372"/>
      <c r="L39" s="2864" t="s">
        <v>2870</v>
      </c>
      <c r="M39" s="286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6"/>
      <c r="Z41" s="1373"/>
      <c r="AA41" s="1373"/>
      <c r="AB41" s="1373"/>
      <c r="AC41" s="1373"/>
      <c r="AD41" s="1373"/>
      <c r="AE41" s="1373"/>
      <c r="AF41" s="1373"/>
      <c r="AG41" s="1373"/>
      <c r="AH41" s="1373"/>
      <c r="AI41" s="1373"/>
      <c r="AJ41" s="1373"/>
    </row>
    <row r="42" spans="1:37" s="1372" customFormat="1">
      <c r="A42" s="1373"/>
      <c r="B42" s="2866"/>
      <c r="Z42" s="1373"/>
      <c r="AA42" s="1373"/>
      <c r="AB42" s="1373"/>
      <c r="AC42" s="1373"/>
      <c r="AD42" s="1373"/>
      <c r="AE42" s="1373"/>
      <c r="AF42" s="1373"/>
      <c r="AG42" s="1373"/>
      <c r="AH42" s="1373"/>
      <c r="AI42" s="1373"/>
      <c r="AJ42" s="1373"/>
    </row>
    <row r="43" spans="1:37" s="1372" customFormat="1">
      <c r="A43" s="1373"/>
      <c r="B43" s="2866"/>
      <c r="Z43" s="1373"/>
      <c r="AA43" s="1373"/>
      <c r="AB43" s="1373"/>
      <c r="AC43" s="1373"/>
      <c r="AD43" s="1373"/>
      <c r="AE43" s="1373"/>
      <c r="AF43" s="1373"/>
      <c r="AG43" s="1373"/>
      <c r="AH43" s="1373"/>
      <c r="AI43" s="1373"/>
      <c r="AJ43" s="1373"/>
    </row>
    <row r="44" spans="1:37" s="1372" customFormat="1">
      <c r="A44" s="1373"/>
      <c r="B44" s="2866"/>
      <c r="Z44" s="1373"/>
      <c r="AA44" s="1373"/>
      <c r="AB44" s="1373"/>
      <c r="AC44" s="1373"/>
      <c r="AD44" s="1373"/>
      <c r="AE44" s="1373"/>
      <c r="AF44" s="1373"/>
      <c r="AG44" s="1373"/>
      <c r="AH44" s="1373"/>
      <c r="AI44" s="1373"/>
      <c r="AJ44" s="1373"/>
    </row>
    <row r="45" spans="1:37" s="1372" customFormat="1" ht="15.75" thickBot="1">
      <c r="A45" s="2867" t="s">
        <v>2928</v>
      </c>
      <c r="B45" s="2868"/>
      <c r="C45" s="7"/>
      <c r="D45" s="7"/>
      <c r="E45" s="7"/>
      <c r="F45" s="6"/>
      <c r="G45" s="6"/>
      <c r="H45" s="6"/>
      <c r="I45" s="7"/>
      <c r="J45" s="7"/>
      <c r="K45" s="7"/>
      <c r="L45" s="7"/>
      <c r="M45" s="7"/>
      <c r="N45" s="2784"/>
      <c r="Z45" s="1373"/>
      <c r="AA45" s="1373"/>
      <c r="AB45" s="1373"/>
      <c r="AC45" s="1373"/>
      <c r="AD45" s="1373"/>
      <c r="AE45" s="1373"/>
      <c r="AF45" s="1373"/>
      <c r="AG45" s="1373"/>
      <c r="AH45" s="1373"/>
      <c r="AI45" s="1373"/>
      <c r="AJ45" s="1373"/>
    </row>
    <row r="46" spans="1:37" s="1372" customFormat="1" ht="15">
      <c r="A46" s="2869" t="s">
        <v>2929</v>
      </c>
      <c r="B46" s="2870">
        <f>1+E48</f>
        <v>1</v>
      </c>
      <c r="C46" s="2871"/>
      <c r="D46" s="814"/>
      <c r="E46" s="815"/>
      <c r="F46" s="2872"/>
      <c r="G46" s="6"/>
      <c r="H46" s="7"/>
      <c r="I46" s="7"/>
      <c r="J46" s="7"/>
      <c r="K46" s="7"/>
      <c r="L46" s="7"/>
      <c r="M46" s="7"/>
      <c r="N46" s="2784"/>
      <c r="Z46" s="1373"/>
      <c r="AA46" s="1373"/>
      <c r="AB46" s="1373"/>
      <c r="AC46" s="1373"/>
      <c r="AD46" s="1373"/>
      <c r="AE46" s="1373"/>
      <c r="AF46" s="1373"/>
      <c r="AG46" s="1373"/>
      <c r="AH46" s="1373"/>
      <c r="AI46" s="1373"/>
      <c r="AJ46" s="1373"/>
    </row>
    <row r="47" spans="1:37" s="1372" customFormat="1" ht="24.75">
      <c r="A47" s="2873" t="s">
        <v>2930</v>
      </c>
      <c r="B47" s="1811" t="s">
        <v>2931</v>
      </c>
      <c r="C47" s="1811" t="s">
        <v>2932</v>
      </c>
      <c r="D47" s="1811" t="s">
        <v>2933</v>
      </c>
      <c r="E47" s="819" t="s">
        <v>2934</v>
      </c>
      <c r="F47" s="2874" t="s">
        <v>2935</v>
      </c>
      <c r="G47" s="1811" t="s">
        <v>754</v>
      </c>
      <c r="H47" s="2875" t="s">
        <v>2936</v>
      </c>
      <c r="I47" s="1811" t="s">
        <v>2937</v>
      </c>
      <c r="J47" s="603" t="s">
        <v>2585</v>
      </c>
      <c r="K47" s="603" t="s">
        <v>2586</v>
      </c>
      <c r="L47" s="603" t="s">
        <v>2587</v>
      </c>
      <c r="M47" s="603" t="s">
        <v>2588</v>
      </c>
      <c r="N47" s="603" t="s">
        <v>2589</v>
      </c>
      <c r="AA47" s="1373"/>
      <c r="AB47" s="1373"/>
      <c r="AC47" s="1373"/>
      <c r="AD47" s="1373"/>
      <c r="AE47" s="1373"/>
      <c r="AF47" s="1373"/>
      <c r="AG47" s="1373"/>
      <c r="AH47" s="1373"/>
      <c r="AI47" s="1373"/>
      <c r="AJ47" s="1373"/>
      <c r="AK47" s="1373"/>
    </row>
    <row r="48" spans="1:37" s="1372" customFormat="1" ht="24.75">
      <c r="A48" s="2873" t="s">
        <v>2938</v>
      </c>
      <c r="B48" s="2876">
        <f>估价对象房地状况!C4</f>
        <v>0</v>
      </c>
      <c r="C48" s="2766"/>
      <c r="D48" s="1288">
        <f t="shared" ref="D48:D56" si="10">SUMIF($J$47:$N$47,C48,J48:N48)</f>
        <v>0</v>
      </c>
      <c r="E48" s="821">
        <f>ROUND(SUM(D48:D56),4)</f>
        <v>0</v>
      </c>
      <c r="F48" s="2497"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3" t="s">
        <v>2939</v>
      </c>
      <c r="B49" s="2877">
        <f>估价对象房地状况!C18</f>
        <v>0</v>
      </c>
      <c r="C49" s="2766"/>
      <c r="D49" s="1288">
        <f t="shared" si="10"/>
        <v>0</v>
      </c>
      <c r="E49" s="822"/>
      <c r="F49" s="2497"/>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3" t="s">
        <v>2940</v>
      </c>
      <c r="B50" s="2877">
        <f>估价对象房地状况!C19</f>
        <v>0</v>
      </c>
      <c r="C50" s="2766"/>
      <c r="D50" s="1288">
        <f t="shared" si="10"/>
        <v>0</v>
      </c>
      <c r="E50" s="822"/>
      <c r="F50" s="2497"/>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3" t="s">
        <v>2941</v>
      </c>
      <c r="B51" s="2878" t="s">
        <v>2942</v>
      </c>
      <c r="C51" s="2766"/>
      <c r="D51" s="1288">
        <f t="shared" si="10"/>
        <v>0</v>
      </c>
      <c r="E51" s="822"/>
      <c r="F51" s="2497"/>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3" t="s">
        <v>2943</v>
      </c>
      <c r="B52" s="2877">
        <f>估价对象房地状况!C24</f>
        <v>0</v>
      </c>
      <c r="C52" s="2766"/>
      <c r="D52" s="1288">
        <f t="shared" si="10"/>
        <v>0</v>
      </c>
      <c r="E52" s="822"/>
      <c r="F52" s="2497"/>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3" t="s">
        <v>2944</v>
      </c>
      <c r="B53" s="2879" t="s">
        <v>2945</v>
      </c>
      <c r="C53" s="2766"/>
      <c r="D53" s="1288">
        <f t="shared" si="10"/>
        <v>0</v>
      </c>
      <c r="E53" s="822"/>
      <c r="F53" s="2497"/>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0" t="s">
        <v>2946</v>
      </c>
      <c r="B54" s="1727">
        <f>估价对象房地状况!C21</f>
        <v>0</v>
      </c>
      <c r="C54" s="2766"/>
      <c r="D54" s="1288">
        <f t="shared" si="10"/>
        <v>0</v>
      </c>
      <c r="E54" s="822"/>
      <c r="F54" s="2497"/>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0" t="s">
        <v>2947</v>
      </c>
      <c r="B55" s="2877">
        <f>估价对象房地状况!C22</f>
        <v>0</v>
      </c>
      <c r="C55" s="2766"/>
      <c r="D55" s="1288">
        <f t="shared" si="10"/>
        <v>0</v>
      </c>
      <c r="E55" s="822"/>
      <c r="F55" s="2497"/>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1" t="s">
        <v>2948</v>
      </c>
      <c r="B56" s="2882">
        <f>估价对象房地状况!C20</f>
        <v>0</v>
      </c>
      <c r="C56" s="2766"/>
      <c r="D56" s="1288">
        <f t="shared" si="10"/>
        <v>0</v>
      </c>
      <c r="E56" s="825"/>
      <c r="F56" s="2497"/>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69" t="s">
        <v>2949</v>
      </c>
      <c r="B57" s="2870">
        <f>1+E59</f>
        <v>1</v>
      </c>
      <c r="C57" s="814"/>
      <c r="D57" s="814"/>
      <c r="E57" s="815"/>
      <c r="F57" s="287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3" t="s">
        <v>2930</v>
      </c>
      <c r="B58" s="1811"/>
      <c r="C58" s="1811" t="s">
        <v>2932</v>
      </c>
      <c r="D58" s="1811" t="s">
        <v>2933</v>
      </c>
      <c r="E58" s="819" t="s">
        <v>2934</v>
      </c>
      <c r="F58" s="2874" t="s">
        <v>2950</v>
      </c>
      <c r="G58" s="1811" t="s">
        <v>754</v>
      </c>
      <c r="H58" s="2875" t="s">
        <v>2936</v>
      </c>
      <c r="I58" s="1811" t="s">
        <v>2937</v>
      </c>
      <c r="J58" s="603" t="s">
        <v>2585</v>
      </c>
      <c r="K58" s="603" t="s">
        <v>2586</v>
      </c>
      <c r="L58" s="603" t="s">
        <v>2587</v>
      </c>
      <c r="M58" s="603" t="s">
        <v>2588</v>
      </c>
      <c r="N58" s="603" t="s">
        <v>2589</v>
      </c>
      <c r="AA58" s="1373"/>
      <c r="AB58" s="1373"/>
      <c r="AC58" s="1373"/>
      <c r="AD58" s="1373"/>
      <c r="AE58" s="1373"/>
      <c r="AF58" s="1373"/>
      <c r="AG58" s="1373"/>
      <c r="AH58" s="1373"/>
      <c r="AI58" s="1373"/>
      <c r="AJ58" s="1373"/>
      <c r="AK58" s="1373"/>
    </row>
    <row r="59" spans="1:37" s="1372" customFormat="1" ht="24">
      <c r="A59" s="2873" t="s">
        <v>2951</v>
      </c>
      <c r="B59" s="2876">
        <f>估价对象房地状况!C17</f>
        <v>0</v>
      </c>
      <c r="C59" s="2766"/>
      <c r="D59" s="1288">
        <f t="shared" ref="D59:D67" si="15">SUMIF($J$58:$N$58,C59,J59:N59)</f>
        <v>0</v>
      </c>
      <c r="E59" s="821">
        <f>ROUND(SUM(D59:D67),4)</f>
        <v>0</v>
      </c>
      <c r="F59" s="2497"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3" t="s">
        <v>2939</v>
      </c>
      <c r="B60" s="2877">
        <f>估价对象房地状况!C18</f>
        <v>0</v>
      </c>
      <c r="C60" s="2766"/>
      <c r="D60" s="1288">
        <f t="shared" si="15"/>
        <v>0</v>
      </c>
      <c r="E60" s="822"/>
      <c r="F60" s="2497"/>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3" t="s">
        <v>2940</v>
      </c>
      <c r="B61" s="2877">
        <f>估价对象房地状况!C19</f>
        <v>0</v>
      </c>
      <c r="C61" s="2766"/>
      <c r="D61" s="1288">
        <f t="shared" si="15"/>
        <v>0</v>
      </c>
      <c r="E61" s="822"/>
      <c r="F61" s="2497"/>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3" t="s">
        <v>2941</v>
      </c>
      <c r="B62" s="2878" t="s">
        <v>2942</v>
      </c>
      <c r="C62" s="2766"/>
      <c r="D62" s="1288">
        <f t="shared" si="15"/>
        <v>0</v>
      </c>
      <c r="E62" s="822"/>
      <c r="F62" s="2497"/>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3" t="s">
        <v>2943</v>
      </c>
      <c r="B63" s="2877">
        <f>估价对象房地状况!C24</f>
        <v>0</v>
      </c>
      <c r="C63" s="2766"/>
      <c r="D63" s="1288">
        <f t="shared" si="15"/>
        <v>0</v>
      </c>
      <c r="E63" s="822"/>
      <c r="F63" s="2497"/>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3" t="s">
        <v>2944</v>
      </c>
      <c r="B64" s="2879" t="s">
        <v>2945</v>
      </c>
      <c r="C64" s="2766"/>
      <c r="D64" s="1288">
        <f t="shared" si="15"/>
        <v>0</v>
      </c>
      <c r="E64" s="822"/>
      <c r="F64" s="2497"/>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3" t="s">
        <v>2946</v>
      </c>
      <c r="B65" s="1727">
        <f>估价对象房地状况!C21</f>
        <v>0</v>
      </c>
      <c r="C65" s="2766"/>
      <c r="D65" s="1288">
        <f t="shared" si="15"/>
        <v>0</v>
      </c>
      <c r="E65" s="822"/>
      <c r="F65" s="2497"/>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3" t="s">
        <v>2947</v>
      </c>
      <c r="B66" s="1727">
        <f>估价对象房地状况!C22</f>
        <v>0</v>
      </c>
      <c r="C66" s="2766"/>
      <c r="D66" s="1288">
        <f t="shared" si="15"/>
        <v>0</v>
      </c>
      <c r="E66" s="822"/>
      <c r="F66" s="2497"/>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1" t="s">
        <v>2948</v>
      </c>
      <c r="B67" s="2883">
        <f>估价对象房地状况!C20</f>
        <v>0</v>
      </c>
      <c r="C67" s="2766"/>
      <c r="D67" s="1288">
        <f t="shared" si="15"/>
        <v>0</v>
      </c>
      <c r="E67" s="825"/>
      <c r="F67" s="2497"/>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69" t="s">
        <v>2952</v>
      </c>
      <c r="B68" s="2870">
        <f>1+E70</f>
        <v>1</v>
      </c>
      <c r="C68" s="814"/>
      <c r="D68" s="814"/>
      <c r="E68" s="815"/>
      <c r="F68" s="287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3" t="s">
        <v>2930</v>
      </c>
      <c r="B69" s="1811"/>
      <c r="C69" s="1811" t="s">
        <v>2932</v>
      </c>
      <c r="D69" s="1811" t="s">
        <v>2933</v>
      </c>
      <c r="E69" s="819" t="s">
        <v>2934</v>
      </c>
      <c r="F69" s="2874" t="s">
        <v>2950</v>
      </c>
      <c r="G69" s="1811" t="s">
        <v>754</v>
      </c>
      <c r="H69" s="2875" t="s">
        <v>2936</v>
      </c>
      <c r="I69" s="1811" t="s">
        <v>2937</v>
      </c>
      <c r="J69" s="603" t="s">
        <v>2585</v>
      </c>
      <c r="K69" s="603" t="s">
        <v>2586</v>
      </c>
      <c r="L69" s="603" t="s">
        <v>2587</v>
      </c>
      <c r="M69" s="603" t="s">
        <v>2588</v>
      </c>
      <c r="N69" s="603" t="s">
        <v>2589</v>
      </c>
      <c r="AA69" s="1373"/>
      <c r="AB69" s="1373"/>
      <c r="AC69" s="1373"/>
      <c r="AD69" s="1373"/>
      <c r="AE69" s="1373"/>
      <c r="AF69" s="1373"/>
      <c r="AG69" s="1373"/>
      <c r="AH69" s="1373"/>
      <c r="AI69" s="1373"/>
      <c r="AJ69" s="1373"/>
      <c r="AK69" s="1373"/>
    </row>
    <row r="70" spans="1:37" s="1372" customFormat="1" ht="24">
      <c r="A70" s="2873" t="s">
        <v>2953</v>
      </c>
      <c r="B70" s="2876">
        <f>估价对象房地状况!C15</f>
        <v>0</v>
      </c>
      <c r="C70" s="2766"/>
      <c r="D70" s="1288">
        <f t="shared" ref="D70:D78" si="20">SUMIF($J$69:$N$69,C70,J70:N70)</f>
        <v>0</v>
      </c>
      <c r="E70" s="821">
        <f>ROUND(SUM(D70:D78),4)</f>
        <v>0</v>
      </c>
      <c r="F70" s="2497"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3" t="s">
        <v>2939</v>
      </c>
      <c r="B71" s="2877">
        <f>估价对象房地状况!C18</f>
        <v>0</v>
      </c>
      <c r="C71" s="2766"/>
      <c r="D71" s="1288">
        <f t="shared" si="20"/>
        <v>0</v>
      </c>
      <c r="E71" s="826"/>
      <c r="F71" s="2497"/>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3" t="s">
        <v>2940</v>
      </c>
      <c r="B72" s="2877">
        <f>估价对象房地状况!C19</f>
        <v>0</v>
      </c>
      <c r="C72" s="2766"/>
      <c r="D72" s="1288">
        <f t="shared" si="20"/>
        <v>0</v>
      </c>
      <c r="E72" s="826"/>
      <c r="F72" s="2497"/>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3" t="s">
        <v>2954</v>
      </c>
      <c r="B73" s="2877">
        <f>估价对象房地状况!C24</f>
        <v>0</v>
      </c>
      <c r="C73" s="2766"/>
      <c r="D73" s="1288">
        <f t="shared" si="20"/>
        <v>0</v>
      </c>
      <c r="E73" s="826"/>
      <c r="F73" s="2497"/>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3" t="s">
        <v>2946</v>
      </c>
      <c r="B74" s="1727">
        <f>估价对象房地状况!C21</f>
        <v>0</v>
      </c>
      <c r="C74" s="2766"/>
      <c r="D74" s="1288">
        <f t="shared" si="20"/>
        <v>0</v>
      </c>
      <c r="E74" s="826"/>
      <c r="F74" s="2497"/>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3" t="s">
        <v>2947</v>
      </c>
      <c r="B75" s="1727">
        <f>估价对象房地状况!C22</f>
        <v>0</v>
      </c>
      <c r="C75" s="2766"/>
      <c r="D75" s="1288">
        <f t="shared" si="20"/>
        <v>0</v>
      </c>
      <c r="E75" s="826"/>
      <c r="F75" s="2497"/>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5" customFormat="1" ht="24">
      <c r="A76" s="2873" t="s">
        <v>2944</v>
      </c>
      <c r="B76" s="2879" t="s">
        <v>2945</v>
      </c>
      <c r="C76" s="2766"/>
      <c r="D76" s="1288">
        <f t="shared" si="20"/>
        <v>0</v>
      </c>
      <c r="E76" s="826"/>
      <c r="F76" s="2497"/>
      <c r="G76" s="1286"/>
      <c r="H76" s="1290" t="str">
        <f t="shared" si="21"/>
        <v>——</v>
      </c>
      <c r="I76" s="820">
        <v>0.05</v>
      </c>
      <c r="J76" s="1287">
        <f t="shared" si="22"/>
        <v>0</v>
      </c>
      <c r="K76" s="1287">
        <f t="shared" si="23"/>
        <v>0</v>
      </c>
      <c r="L76" s="1287">
        <v>0</v>
      </c>
      <c r="M76" s="1287">
        <f t="shared" si="24"/>
        <v>0</v>
      </c>
      <c r="N76" s="1287">
        <f t="shared" si="24"/>
        <v>0</v>
      </c>
      <c r="AA76" s="2884"/>
      <c r="AB76" s="1373"/>
      <c r="AC76" s="1373"/>
      <c r="AD76" s="1373"/>
      <c r="AE76" s="1373"/>
      <c r="AF76" s="1373"/>
      <c r="AG76" s="1373"/>
      <c r="AH76" s="2884"/>
      <c r="AI76" s="2884"/>
      <c r="AJ76" s="2884"/>
      <c r="AK76" s="2884"/>
    </row>
    <row r="77" spans="1:37" ht="24">
      <c r="A77" s="2873" t="s">
        <v>2948</v>
      </c>
      <c r="B77" s="2876">
        <f>估价对象房地状况!C20</f>
        <v>0</v>
      </c>
      <c r="C77" s="2766"/>
      <c r="D77" s="1288">
        <f t="shared" si="20"/>
        <v>0</v>
      </c>
      <c r="E77" s="826"/>
      <c r="F77" s="2497"/>
      <c r="G77" s="1286"/>
      <c r="H77" s="1290" t="str">
        <f t="shared" si="21"/>
        <v>——</v>
      </c>
      <c r="I77" s="820">
        <v>0.15</v>
      </c>
      <c r="J77" s="1287">
        <f t="shared" si="22"/>
        <v>0</v>
      </c>
      <c r="K77" s="1287">
        <f t="shared" si="23"/>
        <v>0</v>
      </c>
      <c r="L77" s="1287">
        <v>0</v>
      </c>
      <c r="M77" s="1287">
        <f t="shared" si="24"/>
        <v>0</v>
      </c>
      <c r="N77" s="1287">
        <f t="shared" si="24"/>
        <v>0</v>
      </c>
      <c r="Z77" s="2716"/>
      <c r="AA77" s="2792"/>
      <c r="AG77" s="1374"/>
      <c r="AK77" s="2792"/>
    </row>
    <row r="78" spans="1:37" ht="24.75" thickBot="1">
      <c r="A78" s="2881" t="s">
        <v>2955</v>
      </c>
      <c r="B78" s="2885"/>
      <c r="C78" s="2766"/>
      <c r="D78" s="1288">
        <f t="shared" si="20"/>
        <v>0</v>
      </c>
      <c r="E78" s="827"/>
      <c r="F78" s="2497"/>
      <c r="G78" s="1286"/>
      <c r="H78" s="1290" t="str">
        <f t="shared" si="21"/>
        <v>——</v>
      </c>
      <c r="I78" s="824">
        <v>0.04</v>
      </c>
      <c r="J78" s="1287">
        <f t="shared" si="22"/>
        <v>0</v>
      </c>
      <c r="K78" s="1287">
        <f t="shared" si="23"/>
        <v>0</v>
      </c>
      <c r="L78" s="1287">
        <v>0</v>
      </c>
      <c r="M78" s="1287">
        <f t="shared" si="24"/>
        <v>0</v>
      </c>
      <c r="N78" s="1287">
        <f t="shared" si="24"/>
        <v>0</v>
      </c>
      <c r="Z78" s="2716"/>
      <c r="AA78" s="2792"/>
      <c r="AG78" s="1374"/>
      <c r="AK78" s="2792"/>
    </row>
    <row r="79" spans="1:37" ht="15">
      <c r="A79" s="2869" t="s">
        <v>2956</v>
      </c>
      <c r="B79" s="2870">
        <f>1+E81</f>
        <v>1</v>
      </c>
      <c r="C79" s="814"/>
      <c r="D79" s="814"/>
      <c r="E79" s="815"/>
      <c r="F79" s="2872"/>
      <c r="G79" s="6"/>
      <c r="H79" s="6"/>
      <c r="I79" s="6"/>
      <c r="J79" s="7"/>
      <c r="K79" s="7"/>
      <c r="L79" s="7"/>
      <c r="M79" s="7"/>
      <c r="N79" s="7"/>
      <c r="Z79" s="2716"/>
      <c r="AA79" s="2792"/>
      <c r="AG79" s="1374"/>
      <c r="AK79" s="2792"/>
    </row>
    <row r="80" spans="1:37" ht="24.75">
      <c r="A80" s="2873" t="s">
        <v>2930</v>
      </c>
      <c r="B80" s="1811"/>
      <c r="C80" s="1811" t="s">
        <v>2932</v>
      </c>
      <c r="D80" s="1811" t="s">
        <v>2933</v>
      </c>
      <c r="E80" s="819" t="s">
        <v>2934</v>
      </c>
      <c r="F80" s="2874" t="s">
        <v>2950</v>
      </c>
      <c r="G80" s="1811" t="s">
        <v>754</v>
      </c>
      <c r="H80" s="2875" t="s">
        <v>2936</v>
      </c>
      <c r="I80" s="1811" t="s">
        <v>2937</v>
      </c>
      <c r="J80" s="603" t="s">
        <v>2585</v>
      </c>
      <c r="K80" s="603" t="s">
        <v>2586</v>
      </c>
      <c r="L80" s="603" t="s">
        <v>2587</v>
      </c>
      <c r="M80" s="603" t="s">
        <v>2588</v>
      </c>
      <c r="N80" s="603" t="s">
        <v>2589</v>
      </c>
      <c r="Z80" s="2716"/>
      <c r="AA80" s="2792"/>
      <c r="AG80" s="1374"/>
      <c r="AK80" s="2792"/>
    </row>
    <row r="81" spans="1:37" ht="38.25">
      <c r="A81" s="2873" t="s">
        <v>2957</v>
      </c>
      <c r="B81" s="2877" t="str">
        <f>估价对象房地状况!G15</f>
        <v>估价对象位于中关村兴业创业园，园区建设成熟度较好，产业集聚程度较好</v>
      </c>
      <c r="C81" s="2766"/>
      <c r="D81" s="1288">
        <f t="shared" ref="D81:D88" si="25">SUMIF($J$80:$N$80,C81,J81:N81)</f>
        <v>0</v>
      </c>
      <c r="E81" s="821">
        <f>ROUND(SUM(D81:D88),4)</f>
        <v>0</v>
      </c>
      <c r="F81" s="2497">
        <f>IF(E2="工业",SUMIF(L1:L12,G2,N1:N12),"——")</f>
        <v>0.05</v>
      </c>
      <c r="G81" s="1286"/>
      <c r="H81" s="1290">
        <f t="shared" ref="H81:H88" si="26">IFERROR(ROUNDDOWN($F$81*I81/2,4),"——")</f>
        <v>6.4999999999999997E-3</v>
      </c>
      <c r="I81" s="820">
        <v>0.26</v>
      </c>
      <c r="J81" s="1287">
        <f t="shared" ref="J81:J88" si="27">K81+$G81</f>
        <v>0</v>
      </c>
      <c r="K81" s="1287">
        <f t="shared" ref="K81:K88" si="28">$L81+$G81</f>
        <v>0</v>
      </c>
      <c r="L81" s="1287">
        <v>0</v>
      </c>
      <c r="M81" s="1287">
        <f t="shared" ref="M81:N88" si="29">L81-$G81</f>
        <v>0</v>
      </c>
      <c r="N81" s="1287">
        <f t="shared" si="29"/>
        <v>0</v>
      </c>
      <c r="Z81" s="2716"/>
      <c r="AA81" s="2792"/>
      <c r="AG81" s="1374"/>
      <c r="AK81" s="2792"/>
    </row>
    <row r="82" spans="1:37" ht="51">
      <c r="A82" s="2873" t="s">
        <v>2939</v>
      </c>
      <c r="B82" s="2877" t="str">
        <f>估价对象房地状况!G16</f>
        <v>估价对象周边道路状况较好、公共交通通达情况一般、停车便捷程度一般，综合评价交通便捷度一般</v>
      </c>
      <c r="C82" s="2766"/>
      <c r="D82" s="1288">
        <f t="shared" si="25"/>
        <v>0</v>
      </c>
      <c r="E82" s="826"/>
      <c r="F82" s="2497"/>
      <c r="G82" s="1286"/>
      <c r="H82" s="1290">
        <f t="shared" si="26"/>
        <v>8.2000000000000007E-3</v>
      </c>
      <c r="I82" s="820">
        <v>0.33</v>
      </c>
      <c r="J82" s="1287">
        <f t="shared" si="27"/>
        <v>0</v>
      </c>
      <c r="K82" s="1287">
        <f t="shared" si="28"/>
        <v>0</v>
      </c>
      <c r="L82" s="1287">
        <v>0</v>
      </c>
      <c r="M82" s="1287">
        <f t="shared" si="29"/>
        <v>0</v>
      </c>
      <c r="N82" s="1287">
        <f t="shared" si="29"/>
        <v>0</v>
      </c>
      <c r="Z82" s="2716"/>
      <c r="AA82" s="2792"/>
      <c r="AG82" s="1374"/>
      <c r="AK82" s="2792"/>
    </row>
    <row r="83" spans="1:37" ht="24">
      <c r="A83" s="2873" t="s">
        <v>2940</v>
      </c>
      <c r="B83" s="2877" t="str">
        <f>估价对象房地状况!G17</f>
        <v>较好</v>
      </c>
      <c r="C83" s="2766"/>
      <c r="D83" s="1288">
        <f t="shared" si="25"/>
        <v>0</v>
      </c>
      <c r="E83" s="826"/>
      <c r="F83" s="2497"/>
      <c r="G83" s="1286"/>
      <c r="H83" s="1290">
        <f t="shared" si="26"/>
        <v>1.1999999999999999E-3</v>
      </c>
      <c r="I83" s="820">
        <v>0.05</v>
      </c>
      <c r="J83" s="1287">
        <f t="shared" si="27"/>
        <v>0</v>
      </c>
      <c r="K83" s="1287">
        <f t="shared" si="28"/>
        <v>0</v>
      </c>
      <c r="L83" s="1287">
        <v>0</v>
      </c>
      <c r="M83" s="1287">
        <f t="shared" si="29"/>
        <v>0</v>
      </c>
      <c r="N83" s="1287">
        <f t="shared" si="29"/>
        <v>0</v>
      </c>
      <c r="Z83" s="2716"/>
      <c r="AA83" s="2792"/>
      <c r="AG83" s="1374"/>
      <c r="AK83" s="2792"/>
    </row>
    <row r="84" spans="1:37" ht="14.25">
      <c r="A84" s="2873" t="s">
        <v>2954</v>
      </c>
      <c r="B84" s="2877" t="str">
        <f>估价对象房地状况!G22</f>
        <v>支路</v>
      </c>
      <c r="C84" s="2766"/>
      <c r="D84" s="1288">
        <f t="shared" si="25"/>
        <v>0</v>
      </c>
      <c r="E84" s="826"/>
      <c r="F84" s="2497"/>
      <c r="G84" s="1286"/>
      <c r="H84" s="1290">
        <f t="shared" si="26"/>
        <v>1E-3</v>
      </c>
      <c r="I84" s="820">
        <v>0.04</v>
      </c>
      <c r="J84" s="1287">
        <f t="shared" si="27"/>
        <v>0</v>
      </c>
      <c r="K84" s="1287">
        <f t="shared" si="28"/>
        <v>0</v>
      </c>
      <c r="L84" s="1287">
        <v>0</v>
      </c>
      <c r="M84" s="1287">
        <f t="shared" si="29"/>
        <v>0</v>
      </c>
      <c r="N84" s="1287">
        <f t="shared" si="29"/>
        <v>0</v>
      </c>
      <c r="Z84" s="2716"/>
      <c r="AA84" s="2792"/>
      <c r="AG84" s="1374"/>
      <c r="AK84" s="2792"/>
    </row>
    <row r="85" spans="1:37" ht="76.5">
      <c r="A85" s="2873" t="s">
        <v>2946</v>
      </c>
      <c r="B85" s="1727" t="str">
        <f>估价对象房地状况!G19</f>
        <v>估价对象所在区域公共配套设施有农村商业银行、上海浦东发展银行、世纪华联、容中超市、中国石油大学附属中学、昌平五中等，齐备情况较好</v>
      </c>
      <c r="C85" s="2766"/>
      <c r="D85" s="1288">
        <f t="shared" si="25"/>
        <v>0</v>
      </c>
      <c r="E85" s="826"/>
      <c r="F85" s="2497"/>
      <c r="G85" s="1286"/>
      <c r="H85" s="1290">
        <f t="shared" si="26"/>
        <v>1.5E-3</v>
      </c>
      <c r="I85" s="820">
        <v>0.06</v>
      </c>
      <c r="J85" s="1287">
        <f t="shared" si="27"/>
        <v>0</v>
      </c>
      <c r="K85" s="1287">
        <f t="shared" si="28"/>
        <v>0</v>
      </c>
      <c r="L85" s="1287">
        <v>0</v>
      </c>
      <c r="M85" s="1287">
        <f t="shared" si="29"/>
        <v>0</v>
      </c>
      <c r="N85" s="1287">
        <f t="shared" si="29"/>
        <v>0</v>
      </c>
      <c r="Z85" s="2716"/>
      <c r="AA85" s="2792"/>
      <c r="AG85" s="1374"/>
      <c r="AK85" s="2792"/>
    </row>
    <row r="86" spans="1:37" ht="25.5">
      <c r="A86" s="2873" t="s">
        <v>2947</v>
      </c>
      <c r="B86" s="1727" t="str">
        <f>估价对象房地状况!G20</f>
        <v>估价对象所在区域基础设施水平七通</v>
      </c>
      <c r="C86" s="2766"/>
      <c r="D86" s="1288">
        <f t="shared" si="25"/>
        <v>0</v>
      </c>
      <c r="E86" s="826"/>
      <c r="F86" s="2497"/>
      <c r="G86" s="1286"/>
      <c r="H86" s="1290">
        <f t="shared" si="26"/>
        <v>3.7000000000000002E-3</v>
      </c>
      <c r="I86" s="820">
        <v>0.15</v>
      </c>
      <c r="J86" s="1287">
        <f t="shared" si="27"/>
        <v>0</v>
      </c>
      <c r="K86" s="1287">
        <f t="shared" si="28"/>
        <v>0</v>
      </c>
      <c r="L86" s="1287">
        <v>0</v>
      </c>
      <c r="M86" s="1287">
        <f t="shared" si="29"/>
        <v>0</v>
      </c>
      <c r="N86" s="1287">
        <f t="shared" si="29"/>
        <v>0</v>
      </c>
      <c r="Z86" s="2716"/>
      <c r="AA86" s="2792"/>
      <c r="AG86" s="1374"/>
      <c r="AK86" s="2792"/>
    </row>
    <row r="87" spans="1:37" ht="24">
      <c r="A87" s="2873" t="s">
        <v>2944</v>
      </c>
      <c r="B87" s="2879" t="s">
        <v>2958</v>
      </c>
      <c r="C87" s="2766"/>
      <c r="D87" s="1288">
        <f t="shared" si="25"/>
        <v>0</v>
      </c>
      <c r="E87" s="826"/>
      <c r="F87" s="2497"/>
      <c r="G87" s="1286"/>
      <c r="H87" s="1290">
        <f t="shared" si="26"/>
        <v>1.1999999999999999E-3</v>
      </c>
      <c r="I87" s="820">
        <v>0.05</v>
      </c>
      <c r="J87" s="1287">
        <f t="shared" si="27"/>
        <v>0</v>
      </c>
      <c r="K87" s="1287">
        <f t="shared" si="28"/>
        <v>0</v>
      </c>
      <c r="L87" s="1287">
        <v>0</v>
      </c>
      <c r="M87" s="1287">
        <f t="shared" si="29"/>
        <v>0</v>
      </c>
      <c r="N87" s="1287">
        <f t="shared" si="29"/>
        <v>0</v>
      </c>
      <c r="Z87" s="2716"/>
      <c r="AA87" s="2792"/>
      <c r="AG87" s="1374"/>
      <c r="AK87" s="2792"/>
    </row>
    <row r="88" spans="1:37" ht="51.75" thickBot="1">
      <c r="A88" s="2881" t="s">
        <v>2959</v>
      </c>
      <c r="B88" s="2886" t="str">
        <f>估价对象房地状况!G18</f>
        <v>该园区内是否有污染型企业，绿化情况，卫生条件，整体环境状况判断，较好</v>
      </c>
      <c r="C88" s="2766"/>
      <c r="D88" s="1288">
        <f t="shared" si="25"/>
        <v>0</v>
      </c>
      <c r="E88" s="827"/>
      <c r="F88" s="2497"/>
      <c r="G88" s="1286"/>
      <c r="H88" s="1290">
        <f t="shared" si="26"/>
        <v>1.5E-3</v>
      </c>
      <c r="I88" s="824">
        <v>0.06</v>
      </c>
      <c r="J88" s="1287">
        <f t="shared" si="27"/>
        <v>0</v>
      </c>
      <c r="K88" s="1287">
        <f t="shared" si="28"/>
        <v>0</v>
      </c>
      <c r="L88" s="1287">
        <v>0</v>
      </c>
      <c r="M88" s="1287">
        <f t="shared" si="29"/>
        <v>0</v>
      </c>
      <c r="N88" s="1287">
        <f t="shared" si="29"/>
        <v>0</v>
      </c>
      <c r="Z88" s="2716"/>
      <c r="AA88" s="2792"/>
      <c r="AG88" s="1374"/>
      <c r="AK88" s="2792"/>
    </row>
    <row r="90" spans="1:37">
      <c r="A90" s="3189" t="s">
        <v>2960</v>
      </c>
      <c r="B90" s="3189"/>
      <c r="C90" s="3189"/>
      <c r="D90" s="3189"/>
      <c r="E90" s="3189"/>
      <c r="F90" s="3189"/>
      <c r="G90" s="3189"/>
      <c r="H90" s="3189"/>
      <c r="I90" s="3189"/>
      <c r="J90" s="3189"/>
      <c r="K90" s="2887"/>
      <c r="L90" s="2887"/>
      <c r="M90" s="2887"/>
      <c r="N90" s="2887"/>
    </row>
    <row r="91" spans="1:37">
      <c r="A91" s="3191" t="s">
        <v>2961</v>
      </c>
      <c r="B91" s="3191" t="s">
        <v>2962</v>
      </c>
      <c r="C91" s="2841" t="s">
        <v>2963</v>
      </c>
      <c r="D91" s="2842"/>
      <c r="E91" s="2842"/>
      <c r="F91" s="2842"/>
      <c r="G91" s="2842"/>
      <c r="H91" s="2842"/>
      <c r="I91" s="2842"/>
      <c r="J91" s="2888"/>
      <c r="K91" s="2889"/>
      <c r="L91" s="2889"/>
      <c r="M91" s="2889"/>
      <c r="N91" s="2889"/>
    </row>
    <row r="92" spans="1:37">
      <c r="A92" s="3191"/>
      <c r="B92" s="3191"/>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192"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193"/>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193"/>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193"/>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193"/>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193"/>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193"/>
      <c r="B99" s="2890" t="s">
        <v>2845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194"/>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192" t="s">
        <v>2965</v>
      </c>
      <c r="B101" s="2894" t="s">
        <v>2966</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193"/>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193"/>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193"/>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193"/>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193"/>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193"/>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193"/>
      <c r="B108" s="3151"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194"/>
      <c r="B109" s="3152"/>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190" t="s">
        <v>2968</v>
      </c>
      <c r="B110" s="3190"/>
      <c r="C110" s="3190"/>
      <c r="D110" s="3190"/>
      <c r="E110" s="3190"/>
      <c r="F110" s="3190"/>
      <c r="G110" s="3190"/>
      <c r="H110" s="3190"/>
      <c r="I110" s="3190"/>
      <c r="J110" s="3190"/>
      <c r="K110" s="2896"/>
      <c r="L110" s="2896"/>
      <c r="M110" s="2896"/>
      <c r="N110" s="2896"/>
    </row>
    <row r="112" spans="1:14" ht="13.5" thickBot="1"/>
    <row r="113" spans="1:13" ht="25.5" thickBot="1">
      <c r="A113" s="903" t="s">
        <v>2969</v>
      </c>
      <c r="B113" s="1289" t="e">
        <f>G3</f>
        <v>#DIV/0!</v>
      </c>
      <c r="C113" s="904" t="s">
        <v>2970</v>
      </c>
      <c r="D113" s="905" t="e">
        <f>SUMPRODUCT((A115:A118=F113)*(B114:M114=H113)*B115:M118)</f>
        <v>#DIV/0!</v>
      </c>
      <c r="E113" s="2720" t="s">
        <v>2802</v>
      </c>
      <c r="F113" s="2898" t="str">
        <f>E2</f>
        <v>工业</v>
      </c>
      <c r="G113" s="2720" t="s">
        <v>2803</v>
      </c>
      <c r="H113" s="2898" t="str">
        <f>G2</f>
        <v>七级</v>
      </c>
      <c r="I113" s="2720"/>
      <c r="J113" s="2899"/>
      <c r="K113" s="2899"/>
      <c r="L113" s="2899"/>
      <c r="M113" s="2899"/>
    </row>
    <row r="114" spans="1:13">
      <c r="A114" s="908"/>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5" t="str">
        <f>项目基本情况!B1</f>
        <v>北京市昌平区超前路37号院20号楼1至4层101号房地产抵押价值预评估</v>
      </c>
      <c r="C37" s="2995"/>
      <c r="D37" s="2995"/>
      <c r="E37" s="2995"/>
      <c r="F37" s="2995"/>
      <c r="G37" s="2995"/>
      <c r="H37" s="2995"/>
      <c r="I37" s="2995"/>
    </row>
    <row r="38" spans="1:9">
      <c r="A38" s="1019"/>
      <c r="B38" s="1019"/>
    </row>
    <row r="39" spans="1:9">
      <c r="A39" s="1017" t="s">
        <v>818</v>
      </c>
      <c r="B39" s="1017" t="s">
        <v>820</v>
      </c>
    </row>
    <row r="40" spans="1:9">
      <c r="A40" s="1017"/>
      <c r="B40" s="1944" t="str">
        <f>项目基本情况!B5</f>
        <v>北京厦诚科技有限公司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康正预评字2018-1-0123号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1">
        <f>MATCH(B1,'数据-取费表'!A6:A16,0)+5</f>
        <v>7</v>
      </c>
    </row>
    <row r="2" spans="1:9" s="244" customFormat="1" ht="18" customHeight="1">
      <c r="A2" s="245" t="s">
        <v>2315</v>
      </c>
      <c r="B2" s="246">
        <f ca="1">IF(D2="——",C52,C52-E2)</f>
        <v>2196</v>
      </c>
      <c r="C2" s="243" t="s">
        <v>2316</v>
      </c>
      <c r="D2" s="2960" t="s">
        <v>70</v>
      </c>
      <c r="E2" s="1442" t="e">
        <f ca="1">SUMIF(INDIRECT("'"&amp;G2&amp;"'"&amp;"!A:A"),"承租人权益价值",INDIRECT("'"&amp;G2&amp;"'"&amp;"!c:c"))</f>
        <v>#REF!</v>
      </c>
      <c r="F2" s="2544" t="s">
        <v>2316</v>
      </c>
      <c r="G2" s="2545"/>
    </row>
    <row r="3" spans="1:9" s="244" customFormat="1" ht="18" customHeight="1" thickBot="1">
      <c r="A3" s="247" t="s">
        <v>2317</v>
      </c>
      <c r="B3" s="248">
        <f ca="1">ROUND(B2*10000/(IF(B1="",'数据-汇总表'!E3,INDIRECT("'数据-取费表'!k"&amp;$G$1))),0)</f>
        <v>17619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1309.4000000000001</v>
      </c>
      <c r="D5" s="255" t="s">
        <v>2322</v>
      </c>
      <c r="E5" s="256" t="s">
        <v>2323</v>
      </c>
      <c r="F5" s="256" t="s">
        <v>2324</v>
      </c>
      <c r="G5" s="257"/>
    </row>
    <row r="6" spans="1:9" s="258" customFormat="1" ht="13.5" customHeight="1">
      <c r="A6" s="952" t="s">
        <v>2325</v>
      </c>
      <c r="B6" s="259" t="s">
        <v>2326</v>
      </c>
      <c r="C6" s="260">
        <f>基准地价修正!D29</f>
        <v>1246.4000000000001</v>
      </c>
      <c r="D6" s="261"/>
      <c r="E6" s="262"/>
      <c r="F6" s="262"/>
      <c r="G6" s="263"/>
    </row>
    <row r="7" spans="1:9" s="258" customFormat="1" ht="13.5" customHeight="1">
      <c r="A7" s="952" t="s">
        <v>2327</v>
      </c>
      <c r="B7" s="259" t="s">
        <v>2328</v>
      </c>
      <c r="C7" s="264">
        <f>ROUND(C6*F7,0)</f>
        <v>38</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25</v>
      </c>
      <c r="D8" s="266"/>
      <c r="E8" s="264"/>
      <c r="F8" s="265"/>
      <c r="G8" s="2546" t="s">
        <v>3074</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160</v>
      </c>
      <c r="F9" s="265"/>
      <c r="G9" s="2547" t="s">
        <v>3075</v>
      </c>
      <c r="H9" s="1392"/>
      <c r="I9" s="2548" t="s">
        <v>2332</v>
      </c>
    </row>
    <row r="10" spans="1:9" s="258" customFormat="1" ht="13.5" customHeight="1">
      <c r="A10" s="953" t="s">
        <v>801</v>
      </c>
      <c r="B10" s="268" t="s">
        <v>2333</v>
      </c>
      <c r="C10" s="269">
        <f ca="1">ROUND(D10*E10/10000,0)</f>
        <v>25</v>
      </c>
      <c r="D10" s="1035">
        <f ca="1">IF(B1="",'数据-汇总表'!E6,IF(INDIRECT("'数据-取费表'!c"&amp;$G$1)="住宅",INDIRECT("'数据-取费表'!s"&amp;$G$1),INDIRECT("'数据-取费表'!k"&amp;$G$1)+INDIRECT("'数据-取费表'!s"&amp;$G$1)))</f>
        <v>1246.4000000000001</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1246.4000000000001</v>
      </c>
      <c r="E19" s="255">
        <f>'数据-取费表'!B31</f>
        <v>200</v>
      </c>
      <c r="F19" s="275"/>
      <c r="G19" s="2546" t="s">
        <v>3076</v>
      </c>
    </row>
    <row r="20" spans="1:7" s="258" customFormat="1" ht="13.5" customHeight="1">
      <c r="A20" s="299" t="s">
        <v>2346</v>
      </c>
      <c r="B20" s="254" t="s">
        <v>2347</v>
      </c>
      <c r="C20" s="276">
        <f>ROUND((C5+C19)*F20,0)</f>
        <v>39</v>
      </c>
      <c r="D20" s="276"/>
      <c r="E20" s="276"/>
      <c r="F20" s="277">
        <f>'数据-取费表'!B37</f>
        <v>0.03</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6">
        <f ca="1">ROUND(SUM(C23:C25),0)</f>
        <v>58</v>
      </c>
      <c r="D22" s="279">
        <f ca="1">C26</f>
        <v>6.9999999999999999E-4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7">
        <f ca="1">ROUND(IF('数据-取费表'!B22&lt;=1,C5*F22*'数据-取费表'!B23,C5*(POWER((1+F22),'数据-取费表'!B23)-1)),0)</f>
        <v>57</v>
      </c>
      <c r="D23" s="282"/>
      <c r="E23" s="282"/>
      <c r="F23" s="283"/>
      <c r="G23" s="284" t="s">
        <v>2357</v>
      </c>
    </row>
    <row r="24" spans="1:7" s="258" customFormat="1" ht="13.5" customHeight="1">
      <c r="A24" s="954" t="s">
        <v>2358</v>
      </c>
      <c r="B24" s="259" t="s">
        <v>2359</v>
      </c>
      <c r="C24" s="1357">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7">
        <f ca="1">ROUND(IF('数据-取费表'!B22&lt;=1,C20*F22*'数据-取费表'!B23/2,C20*(POWER((1+F22),'数据-取费表'!B23/2)-1)),0)</f>
        <v>1</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135</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ROUND((C5+C19+C20)*F27*'数据-取费表'!B21/'数据-取费表'!B20,0)</f>
        <v>135</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1687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424</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374</v>
      </c>
      <c r="D34" s="261"/>
      <c r="E34" s="264"/>
      <c r="F34" s="301">
        <f ca="1">IF('数据-取费表'!B24=0,1,IF(B1="",'数据-取费表'!N16,INDIRECT("'数据-取费表'!n"&amp;$G$1)))</f>
        <v>1</v>
      </c>
      <c r="G34" s="263" t="s">
        <v>2379</v>
      </c>
    </row>
    <row r="35" spans="1:7" ht="13.5" customHeight="1">
      <c r="A35" s="954" t="s">
        <v>796</v>
      </c>
      <c r="B35" s="259" t="s">
        <v>2380</v>
      </c>
      <c r="C35" s="264">
        <f ca="1">ROUND(C34*F35,0)</f>
        <v>19</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25</v>
      </c>
      <c r="D37" s="261">
        <f ca="1">D19</f>
        <v>1246.4000000000001</v>
      </c>
      <c r="E37" s="293">
        <f>'数据-取费表'!B35</f>
        <v>200</v>
      </c>
      <c r="F37" s="303"/>
      <c r="G37" s="305" t="s">
        <v>2385</v>
      </c>
    </row>
    <row r="38" spans="1:7" ht="13.5" customHeight="1">
      <c r="A38" s="954" t="s">
        <v>799</v>
      </c>
      <c r="B38" s="259" t="s">
        <v>2386</v>
      </c>
      <c r="C38" s="264">
        <f ca="1">ROUND(C34*F38,0)</f>
        <v>6</v>
      </c>
      <c r="D38" s="264"/>
      <c r="E38" s="264"/>
      <c r="F38" s="303">
        <f>'数据-取费表'!B36</f>
        <v>1.4999999999999999E-2</v>
      </c>
      <c r="G38" s="263" t="s">
        <v>2381</v>
      </c>
    </row>
    <row r="39" spans="1:7" s="258" customFormat="1" ht="13.5" customHeight="1">
      <c r="A39" s="299" t="s">
        <v>2387</v>
      </c>
      <c r="B39" s="254" t="s">
        <v>2388</v>
      </c>
      <c r="C39" s="276">
        <f ca="1">ROUND(C33*F20,0)</f>
        <v>13</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9</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9</v>
      </c>
      <c r="D42" s="282"/>
      <c r="E42" s="282"/>
      <c r="F42" s="283"/>
      <c r="G42" s="3198" t="s">
        <v>2397</v>
      </c>
    </row>
    <row r="43" spans="1:7" ht="13.5" customHeight="1">
      <c r="A43" s="954" t="s">
        <v>792</v>
      </c>
      <c r="B43" s="259" t="s">
        <v>2398</v>
      </c>
      <c r="C43" s="282">
        <f ca="1">ROUND(IF('数据-取费表'!B22&lt;=1,C39*F22*'数据-取费表'!B21/2,C39*(POWER((1+F22),'数据-取费表'!B21/2)-1)),0)</f>
        <v>0</v>
      </c>
      <c r="D43" s="282"/>
      <c r="E43" s="282"/>
      <c r="F43" s="283"/>
      <c r="G43" s="3199"/>
    </row>
    <row r="44" spans="1:7" ht="13.5" customHeight="1">
      <c r="A44" s="954" t="s">
        <v>793</v>
      </c>
      <c r="B44" s="259" t="s">
        <v>2399</v>
      </c>
      <c r="C44" s="282">
        <f ca="1">ROUND(IF('数据-取费表'!B22&lt;=1,C40*F22*'数据-取费表'!B21/2,C40*(POWER((1+F22),'数据-取费表'!B21/2)-1)),4)</f>
        <v>6.9999999999999999E-4</v>
      </c>
      <c r="D44" s="282"/>
      <c r="E44" s="282"/>
      <c r="F44" s="283"/>
      <c r="G44" s="3200"/>
    </row>
    <row r="45" spans="1:7" s="258" customFormat="1" ht="13.5" customHeight="1">
      <c r="A45" s="299" t="s">
        <v>2400</v>
      </c>
      <c r="B45" s="288" t="s">
        <v>2366</v>
      </c>
      <c r="C45" s="289">
        <f ca="1">C46</f>
        <v>44</v>
      </c>
      <c r="D45" s="279">
        <f ca="1">C47</f>
        <v>3.0000000000000001E-3</v>
      </c>
      <c r="E45" s="280" t="s">
        <v>2392</v>
      </c>
      <c r="F45" s="290"/>
      <c r="G45" s="291" t="s">
        <v>2401</v>
      </c>
    </row>
    <row r="46" spans="1:7" s="258" customFormat="1" ht="13.5" customHeight="1">
      <c r="A46" s="954" t="s">
        <v>791</v>
      </c>
      <c r="B46" s="292" t="s">
        <v>2402</v>
      </c>
      <c r="C46" s="293">
        <f ca="1">ROUND((C33+C39)*F27,0)</f>
        <v>44</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30">
        <f>ROUND(F30/(1+'数据-取费表'!C42),4)</f>
        <v>5.2400000000000002E-2</v>
      </c>
      <c r="D48" s="280" t="s">
        <v>2392</v>
      </c>
      <c r="E48" s="276"/>
      <c r="F48" s="281"/>
      <c r="G48" s="278" t="s">
        <v>2405</v>
      </c>
    </row>
    <row r="49" spans="1:7" ht="16.5" customHeight="1">
      <c r="A49" s="299" t="s">
        <v>2371</v>
      </c>
      <c r="B49" s="254" t="s">
        <v>2406</v>
      </c>
      <c r="C49" s="276">
        <f ca="1">ROUND((C33+C39+C41+C45)/(1-C40-D41-D45-C48),0)</f>
        <v>536</v>
      </c>
      <c r="D49" s="276"/>
      <c r="E49" s="276"/>
      <c r="F49" s="308"/>
      <c r="G49" s="278" t="s">
        <v>2407</v>
      </c>
    </row>
    <row r="50" spans="1:7" s="302" customFormat="1" ht="24">
      <c r="A50" s="299" t="s">
        <v>2408</v>
      </c>
      <c r="B50" s="254" t="s">
        <v>2409</v>
      </c>
      <c r="C50" s="276"/>
      <c r="D50" s="276"/>
      <c r="E50" s="276"/>
      <c r="F50" s="308">
        <f>IF('数据-取费表'!B24=0,'数据-取费表'!N16,1)</f>
        <v>0.95</v>
      </c>
      <c r="G50" s="291" t="s">
        <v>2410</v>
      </c>
    </row>
    <row r="51" spans="1:7" ht="16.5" customHeight="1">
      <c r="A51" s="299" t="s">
        <v>2411</v>
      </c>
      <c r="B51" s="254" t="s">
        <v>2412</v>
      </c>
      <c r="C51" s="276">
        <f ca="1">ROUND(C49*F50,0)</f>
        <v>509</v>
      </c>
      <c r="D51" s="276"/>
      <c r="E51" s="276"/>
      <c r="F51" s="308"/>
      <c r="G51" s="278" t="s">
        <v>2413</v>
      </c>
    </row>
    <row r="52" spans="1:7" s="252" customFormat="1" ht="16.5" thickBot="1">
      <c r="A52" s="309" t="s">
        <v>2414</v>
      </c>
      <c r="B52" s="310"/>
      <c r="C52" s="311">
        <f ca="1">C31+C51</f>
        <v>2196</v>
      </c>
      <c r="D52" s="310"/>
      <c r="E52" s="310"/>
      <c r="F52" s="310"/>
      <c r="G52" s="312"/>
    </row>
    <row r="55" spans="1:7" ht="15">
      <c r="B55" s="314" t="s">
        <v>2415</v>
      </c>
      <c r="C55" s="315"/>
    </row>
    <row r="56" spans="1:7">
      <c r="B56" s="317" t="s">
        <v>1513</v>
      </c>
      <c r="C56" s="319">
        <f ca="1">1-C57</f>
        <v>0.76800000000000002</v>
      </c>
    </row>
    <row r="57" spans="1:7">
      <c r="B57" s="317" t="s">
        <v>1514</v>
      </c>
      <c r="C57" s="318">
        <f ca="1">ROUND(C51/C52,3)</f>
        <v>0.23200000000000001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49" t="s">
        <v>2416</v>
      </c>
      <c r="D1" s="242"/>
      <c r="E1" s="242"/>
      <c r="F1" s="242"/>
      <c r="G1" s="1381">
        <f>MATCH(B1,'数据-取费表'!A6:A16,0)+5</f>
        <v>7</v>
      </c>
      <c r="H1" s="1284" t="str">
        <f>IF(ISERROR(FIND("住宅",B1)),"非住宅","住宅")</f>
        <v>非住宅</v>
      </c>
    </row>
    <row r="2" spans="1:8" s="244" customFormat="1" ht="18" customHeight="1">
      <c r="A2" s="245" t="s">
        <v>2315</v>
      </c>
      <c r="B2" s="246">
        <f ca="1">ROUND(IF(D2="——",C52/10000,C52/10000-E2),0)</f>
        <v>572</v>
      </c>
      <c r="C2" s="243" t="s">
        <v>2316</v>
      </c>
      <c r="D2" s="2543" t="s">
        <v>70</v>
      </c>
      <c r="E2" s="1442" t="e">
        <f ca="1">SUMIF(INDIRECT("'"&amp;G2&amp;"'"&amp;"!A:A"),"承租人权益价值",INDIRECT("'"&amp;G2&amp;"'"&amp;"!c:c"))</f>
        <v>#REF!</v>
      </c>
      <c r="F2" s="2544" t="s">
        <v>2316</v>
      </c>
      <c r="G2" s="2545"/>
    </row>
    <row r="3" spans="1:8" s="244" customFormat="1" ht="18" customHeight="1" thickBot="1">
      <c r="A3" s="247" t="s">
        <v>2317</v>
      </c>
      <c r="B3" s="248">
        <f ca="1">ROUND(B2*10000/(IF(B1="",'数据-汇总表'!E3,INDIRECT("'数据-取费表'!k"&amp;$G$1))),0)</f>
        <v>4589</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249280</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249280</v>
      </c>
      <c r="D8" s="266"/>
      <c r="E8" s="264"/>
      <c r="F8" s="265"/>
      <c r="G8" s="2546"/>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2333</v>
      </c>
      <c r="C10" s="269">
        <f ca="1">ROUND(D10*E10,0)</f>
        <v>249280</v>
      </c>
      <c r="D10" s="1035">
        <f ca="1">IF(B1="",'数据-汇总表'!E6,IF(INDIRECT("'数据-取费表'!c"&amp;$G$1)="住宅",INDIRECT("'数据-取费表'!s"&amp;$G$1),INDIRECT("'数据-取费表'!k"&amp;$G$1)+INDIRECT("'数据-取费表'!s"&amp;$G$1)))</f>
        <v>1246.4000000000001</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249280</v>
      </c>
      <c r="D19" s="1039">
        <f ca="1">D9+D10</f>
        <v>1246.4000000000001</v>
      </c>
      <c r="E19" s="255">
        <f>'数据-取费表'!B31</f>
        <v>200</v>
      </c>
      <c r="F19" s="275"/>
      <c r="G19" s="2546"/>
    </row>
    <row r="20" spans="1:7" s="258" customFormat="1" ht="13.5" customHeight="1">
      <c r="A20" s="299" t="s">
        <v>2427</v>
      </c>
      <c r="B20" s="254" t="s">
        <v>2428</v>
      </c>
      <c r="C20" s="276">
        <f ca="1">ROUND((C5+C19)*F20,0)</f>
        <v>14957</v>
      </c>
      <c r="D20" s="276"/>
      <c r="E20" s="276"/>
      <c r="F20" s="277">
        <f>'数据-取费表'!B37</f>
        <v>0.03</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82">
        <f ca="1">ROUND(SUM(C23:C25),0)</f>
        <v>22013</v>
      </c>
      <c r="D22" s="279">
        <f ca="1">C26</f>
        <v>6.9999999999999999E-4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3">
        <f ca="1">ROUND(IF('数据-取费表'!B22&lt;=1,C5*F22*'数据-取费表'!B22,C5*(POWER((1+F22),'数据-取费表'!B22)-1)),0)</f>
        <v>10844</v>
      </c>
      <c r="D23" s="282"/>
      <c r="E23" s="282"/>
      <c r="F23" s="283"/>
      <c r="G23" s="284" t="s">
        <v>2437</v>
      </c>
    </row>
    <row r="24" spans="1:7" s="258" customFormat="1" ht="13.5" customHeight="1">
      <c r="A24" s="954" t="s">
        <v>2327</v>
      </c>
      <c r="B24" s="259" t="s">
        <v>2438</v>
      </c>
      <c r="C24" s="1383">
        <f ca="1">ROUND(IF('数据-取费表'!B22&lt;=1,C19*F22*('数据-取费表'!B19/2+'数据-取费表'!B20),C19*(POWER((1+F22),('数据-取费表'!B19/2+'数据-取费表'!B20))-1)),0)</f>
        <v>10844</v>
      </c>
      <c r="D24" s="282"/>
      <c r="E24" s="282"/>
      <c r="F24" s="283"/>
      <c r="G24" s="284" t="s">
        <v>2439</v>
      </c>
    </row>
    <row r="25" spans="1:7" s="258" customFormat="1" ht="24">
      <c r="A25" s="954" t="s">
        <v>2329</v>
      </c>
      <c r="B25" s="259" t="s">
        <v>2440</v>
      </c>
      <c r="C25" s="1383">
        <f ca="1">ROUND(IF('数据-取费表'!B22&lt;=1,C20*F22*'数据-取费表'!B22/2,C20*(POWER((1+F22),'数据-取费表'!B22/2)-1)),0)</f>
        <v>325</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51352</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ROUND((C5+C19+C20)*F27,0)</f>
        <v>51352</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642173</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4231528</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3739200</v>
      </c>
      <c r="D34" s="261"/>
      <c r="E34" s="264"/>
      <c r="F34" s="301"/>
      <c r="G34" s="263"/>
    </row>
    <row r="35" spans="1:7" ht="13.5" customHeight="1">
      <c r="A35" s="954" t="s">
        <v>796</v>
      </c>
      <c r="B35" s="259" t="s">
        <v>2380</v>
      </c>
      <c r="C35" s="264">
        <f ca="1">ROUND(C34*F35,0)</f>
        <v>186960</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249280</v>
      </c>
      <c r="D37" s="261">
        <f ca="1">D19</f>
        <v>1246.4000000000001</v>
      </c>
      <c r="E37" s="293">
        <f>'数据-取费表'!B35</f>
        <v>200</v>
      </c>
      <c r="F37" s="303"/>
      <c r="G37" s="305"/>
    </row>
    <row r="38" spans="1:7" ht="13.5" customHeight="1">
      <c r="A38" s="954" t="s">
        <v>799</v>
      </c>
      <c r="B38" s="259" t="s">
        <v>2386</v>
      </c>
      <c r="C38" s="264">
        <f ca="1">ROUND(C34*F38,0)</f>
        <v>56088</v>
      </c>
      <c r="D38" s="264"/>
      <c r="E38" s="264"/>
      <c r="F38" s="303">
        <f>'数据-取费表'!B36</f>
        <v>1.4999999999999999E-2</v>
      </c>
      <c r="G38" s="263" t="s">
        <v>2381</v>
      </c>
    </row>
    <row r="39" spans="1:7" s="258" customFormat="1" ht="13.5" customHeight="1">
      <c r="A39" s="299" t="s">
        <v>2387</v>
      </c>
      <c r="B39" s="254" t="s">
        <v>2388</v>
      </c>
      <c r="C39" s="276">
        <f ca="1">ROUND(C33*F20,0)</f>
        <v>126946</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94797</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92036</v>
      </c>
      <c r="D42" s="282"/>
      <c r="E42" s="282"/>
      <c r="F42" s="283"/>
      <c r="G42" s="3198" t="s">
        <v>2444</v>
      </c>
    </row>
    <row r="43" spans="1:7" ht="13.5" customHeight="1">
      <c r="A43" s="954" t="s">
        <v>792</v>
      </c>
      <c r="B43" s="259" t="s">
        <v>2398</v>
      </c>
      <c r="C43" s="282">
        <f ca="1">ROUND(IF('数据-取费表'!B22&lt;=1,C39*F22*'数据-取费表'!B20/2,C39*(POWER((1+F22),'数据-取费表'!B20/2)-1)),0)</f>
        <v>2761</v>
      </c>
      <c r="D43" s="282"/>
      <c r="E43" s="282"/>
      <c r="F43" s="283"/>
      <c r="G43" s="3199"/>
    </row>
    <row r="44" spans="1:7" ht="13.5" customHeight="1">
      <c r="A44" s="954" t="s">
        <v>793</v>
      </c>
      <c r="B44" s="259" t="s">
        <v>2399</v>
      </c>
      <c r="C44" s="282">
        <f ca="1">ROUND(IF('数据-取费表'!B22&lt;=1,C40*F22*'数据-取费表'!B20/2,C40*(POWER((1+F22),'数据-取费表'!B20/2)-1)),4)</f>
        <v>6.9999999999999999E-4</v>
      </c>
      <c r="D44" s="282"/>
      <c r="E44" s="282"/>
      <c r="F44" s="283"/>
      <c r="G44" s="3200"/>
    </row>
    <row r="45" spans="1:7" s="258" customFormat="1" ht="13.5" customHeight="1">
      <c r="A45" s="299" t="s">
        <v>2400</v>
      </c>
      <c r="B45" s="288" t="s">
        <v>2366</v>
      </c>
      <c r="C45" s="289">
        <f ca="1">C46</f>
        <v>435847</v>
      </c>
      <c r="D45" s="279">
        <f ca="1">C47</f>
        <v>3.0000000000000001E-3</v>
      </c>
      <c r="E45" s="280" t="s">
        <v>2392</v>
      </c>
      <c r="F45" s="290"/>
      <c r="G45" s="291" t="s">
        <v>2401</v>
      </c>
    </row>
    <row r="46" spans="1:7" s="258" customFormat="1" ht="13.5" customHeight="1">
      <c r="A46" s="954" t="s">
        <v>791</v>
      </c>
      <c r="B46" s="292" t="s">
        <v>2402</v>
      </c>
      <c r="C46" s="293">
        <f ca="1">ROUND((C33+C39)*F27,0)</f>
        <v>435847</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5349730</v>
      </c>
      <c r="D49" s="276"/>
      <c r="E49" s="276"/>
      <c r="F49" s="308"/>
      <c r="G49" s="278" t="s">
        <v>2407</v>
      </c>
    </row>
    <row r="50" spans="1:7" s="302" customFormat="1">
      <c r="A50" s="299" t="s">
        <v>2408</v>
      </c>
      <c r="B50" s="254" t="s">
        <v>2409</v>
      </c>
      <c r="C50" s="276"/>
      <c r="D50" s="276"/>
      <c r="E50" s="276"/>
      <c r="F50" s="308">
        <f>IF('数据-取费表'!B24=0,'数据-取费表'!N16,1)</f>
        <v>0.95</v>
      </c>
      <c r="G50" s="291"/>
    </row>
    <row r="51" spans="1:7" ht="16.5" customHeight="1">
      <c r="A51" s="299" t="s">
        <v>2411</v>
      </c>
      <c r="B51" s="254" t="s">
        <v>2446</v>
      </c>
      <c r="C51" s="276">
        <f ca="1">ROUND(C49*F50,0)</f>
        <v>5082244</v>
      </c>
      <c r="D51" s="276"/>
      <c r="E51" s="276"/>
      <c r="F51" s="308"/>
      <c r="G51" s="278" t="s">
        <v>2413</v>
      </c>
    </row>
    <row r="52" spans="1:7" s="252" customFormat="1" ht="16.5" thickBot="1">
      <c r="A52" s="309" t="s">
        <v>2414</v>
      </c>
      <c r="B52" s="310"/>
      <c r="C52" s="311">
        <f ca="1">C31+C51</f>
        <v>5724417</v>
      </c>
      <c r="D52" s="310"/>
      <c r="E52" s="310"/>
      <c r="F52" s="310"/>
      <c r="G52" s="312"/>
    </row>
    <row r="55" spans="1:7" ht="15">
      <c r="B55" s="314" t="s">
        <v>2415</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3"/>
      <c r="C1" s="1584"/>
      <c r="D1" s="1582"/>
      <c r="E1" s="320"/>
      <c r="F1" s="320"/>
      <c r="G1" s="1583"/>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0" t="s">
        <v>2453</v>
      </c>
      <c r="D5" s="2550" t="s">
        <v>2454</v>
      </c>
      <c r="E5" s="2550" t="s">
        <v>2455</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1246.4000000000001</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1246.4000000000001</v>
      </c>
      <c r="E17" s="24">
        <f>'数据-取费表'!B32</f>
        <v>0</v>
      </c>
      <c r="F17" s="981"/>
      <c r="G17" s="140" t="s">
        <v>2479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2"/>
      <c r="H18" s="1579"/>
      <c r="I18" s="2553"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2483</v>
      </c>
      <c r="C20" s="24">
        <f ca="1">ROUND(D20*E20/10000,0)</f>
        <v>25</v>
      </c>
      <c r="D20" s="1036">
        <f ca="1">IF(C1="",'数据-汇总表'!E6,IF(INDIRECT("'数据-取费表'!c"&amp;$K$1)="住宅",INDIRECT("'数据-取费表'!s"&amp;$K$1),INDIRECT("'数据-取费表'!k"&amp;$K$1)+INDIRECT("'数据-取费表'!s"&amp;$K$1)))</f>
        <v>1246.4000000000001</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0.03</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0.03</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59">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0">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82"/>
      <c r="I27" s="982"/>
      <c r="J27" s="982"/>
      <c r="K27" s="983"/>
    </row>
    <row r="28" spans="1:33" s="333" customFormat="1" ht="13.5" customHeight="1">
      <c r="A28" s="964" t="s">
        <v>2497</v>
      </c>
      <c r="B28" s="2555" t="s">
        <v>2498</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56" t="s">
        <v>2502</v>
      </c>
      <c r="B31" s="1008" t="s">
        <v>2503</v>
      </c>
      <c r="C31" s="1009">
        <f>ROUND(C4*F31/(1+'数据-取费表'!C42),0)</f>
        <v>0</v>
      </c>
      <c r="D31" s="1010"/>
      <c r="E31" s="1011"/>
      <c r="F31" s="1012">
        <f>'数据-取费表'!B41</f>
        <v>5.5000000000000007E-2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5" zoomScale="90" zoomScaleNormal="90" workbookViewId="0">
      <selection activeCell="I41" sqref="I41"/>
    </sheetView>
  </sheetViews>
  <sheetFormatPr defaultRowHeight="14.25"/>
  <cols>
    <col min="1" max="1" width="10.5" style="403" customWidth="1"/>
    <col min="2" max="2" width="15.75" style="403" customWidth="1"/>
    <col min="3" max="3" width="26.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5" t="s">
        <v>2690</v>
      </c>
      <c r="C1" s="1622" t="s">
        <v>2518</v>
      </c>
      <c r="D1" s="1623" t="s">
        <v>3058</v>
      </c>
      <c r="E1" s="1632"/>
      <c r="F1" s="2580" t="s">
        <v>3111</v>
      </c>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f>IF(C2="——",ROUND(C43*D3/10000,0),ROUND(C43*D3/10000,0)-D2)</f>
        <v>2561</v>
      </c>
      <c r="C2" s="2582" t="s">
        <v>70</v>
      </c>
      <c r="D2" s="1126" t="e">
        <f ca="1">SUMIF(INDIRECT("'"&amp;F2&amp;"'"&amp;"!A:A"),"承租人权益价值",INDIRECT("'"&amp;F2&amp;"'"&amp;"!c:c"))</f>
        <v>#REF!</v>
      </c>
      <c r="E2" s="2583" t="s">
        <v>2316</v>
      </c>
      <c r="F2" s="2584"/>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2317</v>
      </c>
      <c r="B3" s="609">
        <f>IF(C2="——",C43,ROUND(B2*10000/D3,0))</f>
        <v>20545</v>
      </c>
      <c r="C3" s="400" t="s">
        <v>2632</v>
      </c>
      <c r="D3" s="399">
        <f>IF(D1="",'数据-汇总表'!E3,SUMIF('数据-汇总表'!$C19:$C33,D1,'数据-汇总表'!$E19:$E33))</f>
        <v>1246.4000000000001</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4" t="s">
        <v>2634</v>
      </c>
      <c r="D4" s="3215"/>
      <c r="E4" s="3216" t="s">
        <v>2635</v>
      </c>
      <c r="F4" s="3217"/>
      <c r="G4" s="3214" t="s">
        <v>2636</v>
      </c>
      <c r="H4" s="3215"/>
      <c r="I4" s="3214" t="s">
        <v>2637</v>
      </c>
      <c r="J4" s="3215"/>
      <c r="K4" s="610" t="s">
        <v>2638</v>
      </c>
      <c r="L4" s="1132"/>
      <c r="M4" s="1133"/>
      <c r="N4" s="1133"/>
      <c r="O4" s="1133"/>
      <c r="P4" s="3218" t="s">
        <v>2639</v>
      </c>
      <c r="Q4" s="3219"/>
      <c r="R4" s="3224" t="s">
        <v>2635</v>
      </c>
      <c r="S4" s="3225"/>
      <c r="T4" s="3224" t="s">
        <v>2636</v>
      </c>
      <c r="U4" s="3225"/>
      <c r="V4" s="3230" t="s">
        <v>2637</v>
      </c>
      <c r="W4" s="3230"/>
      <c r="X4" s="1815"/>
      <c r="Y4" s="3224" t="s">
        <v>2639</v>
      </c>
      <c r="Z4" s="3225"/>
      <c r="AA4" s="3211" t="s">
        <v>2635</v>
      </c>
      <c r="AB4" s="3212" t="s">
        <v>2636</v>
      </c>
      <c r="AC4" s="3211" t="s">
        <v>2637</v>
      </c>
    </row>
    <row r="5" spans="1:29" ht="15">
      <c r="A5" s="404"/>
      <c r="B5" s="405"/>
      <c r="C5" s="3238" t="s">
        <v>3112</v>
      </c>
      <c r="D5" s="3239"/>
      <c r="E5" s="3233" t="s">
        <v>3113</v>
      </c>
      <c r="F5" s="3234"/>
      <c r="G5" s="3233" t="s">
        <v>3113</v>
      </c>
      <c r="H5" s="3234"/>
      <c r="I5" s="3238" t="s">
        <v>3114</v>
      </c>
      <c r="J5" s="3239"/>
      <c r="K5" s="610"/>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31" t="s">
        <v>2534</v>
      </c>
      <c r="D6" s="3232"/>
      <c r="E6" s="3240" t="s">
        <v>2534</v>
      </c>
      <c r="F6" s="3241"/>
      <c r="G6" s="3231" t="s">
        <v>2534</v>
      </c>
      <c r="H6" s="3232"/>
      <c r="I6" s="3231" t="s">
        <v>2534</v>
      </c>
      <c r="J6" s="3232"/>
      <c r="K6" s="610" t="s">
        <v>2535</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2536</v>
      </c>
      <c r="B7" s="409"/>
      <c r="C7" s="410">
        <f>'数据-取费表'!B2</f>
        <v>43165</v>
      </c>
      <c r="D7" s="411">
        <v>100</v>
      </c>
      <c r="E7" s="412">
        <v>43164</v>
      </c>
      <c r="F7" s="413">
        <f>SUMIF(52:52,YEAR(E7)&amp;"-"&amp;MONTH(E7),53:53)</f>
        <v>100</v>
      </c>
      <c r="G7" s="412">
        <v>43166</v>
      </c>
      <c r="H7" s="411">
        <f>SUMIF(52:52,YEAR(G7)&amp;"-"&amp;MONTH(G7),53:53)</f>
        <v>100</v>
      </c>
      <c r="I7" s="412">
        <v>43164</v>
      </c>
      <c r="J7" s="411">
        <f>SUMIF(52:52,YEAR(I7)&amp;"-"&amp;MONTH(I7),53:53)</f>
        <v>100</v>
      </c>
      <c r="K7" s="611"/>
      <c r="L7" s="1134"/>
      <c r="M7" s="1135"/>
      <c r="N7" s="1135"/>
      <c r="O7" s="1135"/>
      <c r="P7" s="3235" t="s">
        <v>2537</v>
      </c>
      <c r="Q7" s="3237"/>
      <c r="R7" s="770" t="s">
        <v>17</v>
      </c>
      <c r="S7" s="771">
        <f t="shared" ref="S7:S15" si="0">F7</f>
        <v>100</v>
      </c>
      <c r="T7" s="770" t="s">
        <v>17</v>
      </c>
      <c r="U7" s="771">
        <f t="shared" ref="U7:U15" si="1">H7</f>
        <v>100</v>
      </c>
      <c r="V7" s="770" t="s">
        <v>17</v>
      </c>
      <c r="W7" s="771">
        <f t="shared" ref="W7:W15" si="2">J7</f>
        <v>100</v>
      </c>
      <c r="X7" s="772"/>
      <c r="Y7" s="3235" t="s">
        <v>2537</v>
      </c>
      <c r="Z7" s="3236"/>
      <c r="AA7" s="773">
        <f>D7/F7</f>
        <v>1</v>
      </c>
      <c r="AB7" s="773">
        <f>D7/H7</f>
        <v>1</v>
      </c>
      <c r="AC7" s="773">
        <f>D7/J7</f>
        <v>1</v>
      </c>
    </row>
    <row r="8" spans="1:29" s="117" customFormat="1" ht="15.75" thickBot="1">
      <c r="A8" s="408" t="s">
        <v>2538</v>
      </c>
      <c r="B8" s="409"/>
      <c r="C8" s="414" t="s">
        <v>2539</v>
      </c>
      <c r="D8" s="411">
        <v>100</v>
      </c>
      <c r="E8" s="414" t="s">
        <v>2539</v>
      </c>
      <c r="F8" s="413">
        <f>SUMIF(55:55,E8,56:56)-SUMIF(55:55,C8,56:56)+100</f>
        <v>100</v>
      </c>
      <c r="G8" s="414" t="s">
        <v>2539</v>
      </c>
      <c r="H8" s="411">
        <f>SUMIF(55:55,G8,56:56)-SUMIF(55:55,C8,56:56)+100</f>
        <v>100</v>
      </c>
      <c r="I8" s="414" t="s">
        <v>2539</v>
      </c>
      <c r="J8" s="411">
        <f>SUMIF(55:55,I8,56:56)-SUMIF(55:55,C8,56:56)+100</f>
        <v>100</v>
      </c>
      <c r="K8" s="611"/>
      <c r="L8" s="1134"/>
      <c r="M8" s="1135"/>
      <c r="N8" s="1135"/>
      <c r="O8" s="1135"/>
      <c r="P8" s="3235" t="s">
        <v>2540</v>
      </c>
      <c r="Q8" s="3236"/>
      <c r="R8" s="770" t="s">
        <v>17</v>
      </c>
      <c r="S8" s="771">
        <f t="shared" si="0"/>
        <v>100</v>
      </c>
      <c r="T8" s="770" t="s">
        <v>17</v>
      </c>
      <c r="U8" s="771">
        <f t="shared" si="1"/>
        <v>100</v>
      </c>
      <c r="V8" s="770" t="s">
        <v>17</v>
      </c>
      <c r="W8" s="771">
        <f t="shared" si="2"/>
        <v>100</v>
      </c>
      <c r="X8" s="772"/>
      <c r="Y8" s="3235" t="s">
        <v>2540</v>
      </c>
      <c r="Z8" s="3236"/>
      <c r="AA8" s="773">
        <f t="shared" ref="AA8:AA40" si="3">D8/F8</f>
        <v>1</v>
      </c>
      <c r="AB8" s="773">
        <f t="shared" ref="AB8:AB40" si="4">D8/H8</f>
        <v>1</v>
      </c>
      <c r="AC8" s="773">
        <f t="shared" ref="AC8:AC40" si="5">D8/J8</f>
        <v>1</v>
      </c>
    </row>
    <row r="9" spans="1:29" s="117" customFormat="1">
      <c r="A9" s="415" t="s">
        <v>2541</v>
      </c>
      <c r="B9" s="71" t="s">
        <v>2542</v>
      </c>
      <c r="C9" s="2985" t="s">
        <v>3115</v>
      </c>
      <c r="D9" s="135">
        <v>100</v>
      </c>
      <c r="E9" s="419" t="s">
        <v>6</v>
      </c>
      <c r="F9" s="135">
        <f>SUMIF(57:57,E9,58:58)-SUMIF(57:57,C9,58:58)+100</f>
        <v>100</v>
      </c>
      <c r="G9" s="419" t="s">
        <v>6</v>
      </c>
      <c r="H9" s="135">
        <f>SUMIF(57:57,G9,58:58)-SUMIF(57:57,C9,58:58)+100</f>
        <v>100</v>
      </c>
      <c r="I9" s="419" t="s">
        <v>6</v>
      </c>
      <c r="J9" s="135">
        <f>SUMIF(57:57,I9,58:58)-SUMIF(57:57,C9,58:58)+100</f>
        <v>100</v>
      </c>
      <c r="K9" s="611"/>
      <c r="L9" s="1134"/>
      <c r="M9" s="1135"/>
      <c r="N9" s="1135"/>
      <c r="O9" s="1136"/>
      <c r="P9" s="3201" t="s">
        <v>2543</v>
      </c>
      <c r="Q9" s="1797" t="str">
        <f t="shared" ref="Q9:Q15" si="6">B9</f>
        <v>用途</v>
      </c>
      <c r="R9" s="770" t="s">
        <v>17</v>
      </c>
      <c r="S9" s="771">
        <f t="shared" si="0"/>
        <v>100</v>
      </c>
      <c r="T9" s="770" t="s">
        <v>17</v>
      </c>
      <c r="U9" s="771">
        <f t="shared" si="1"/>
        <v>100</v>
      </c>
      <c r="V9" s="770" t="s">
        <v>17</v>
      </c>
      <c r="W9" s="771">
        <f t="shared" si="2"/>
        <v>100</v>
      </c>
      <c r="X9" s="772"/>
      <c r="Y9" s="3039" t="s">
        <v>2544</v>
      </c>
      <c r="Z9" s="55" t="str">
        <f t="shared" ref="Z9:Z15" si="7">Q9</f>
        <v>用途</v>
      </c>
      <c r="AA9" s="773">
        <f t="shared" si="3"/>
        <v>1</v>
      </c>
      <c r="AB9" s="773">
        <f t="shared" si="4"/>
        <v>1</v>
      </c>
      <c r="AC9" s="773">
        <f t="shared" si="5"/>
        <v>1</v>
      </c>
    </row>
    <row r="10" spans="1:29" s="427" customFormat="1" ht="27.75" thickBot="1">
      <c r="A10" s="421"/>
      <c r="B10" s="422" t="s">
        <v>2545</v>
      </c>
      <c r="C10" s="423" t="s">
        <v>3116</v>
      </c>
      <c r="D10" s="136">
        <v>100</v>
      </c>
      <c r="E10" s="423" t="s">
        <v>3116</v>
      </c>
      <c r="F10" s="136">
        <f>SUMIF(59:59,E10,60:60)-SUMIF(59:59,C10,60:60)+100</f>
        <v>100</v>
      </c>
      <c r="G10" s="423" t="s">
        <v>3116</v>
      </c>
      <c r="H10" s="136">
        <f>SUMIF(59:59,G10,60:60)-SUMIF(59:59,C10,60:60)+100</f>
        <v>100</v>
      </c>
      <c r="I10" s="423" t="s">
        <v>3116</v>
      </c>
      <c r="J10" s="136">
        <f>SUMIF(59:59,I10,60:60)-SUMIF(59:59,C10,60:60)+100</f>
        <v>100</v>
      </c>
      <c r="K10" s="612">
        <v>1</v>
      </c>
      <c r="L10" s="1137"/>
      <c r="M10" s="1138"/>
      <c r="N10" s="1138"/>
      <c r="O10" s="1139"/>
      <c r="P10" s="3201"/>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hidden="1">
      <c r="A11" s="428"/>
      <c r="B11" s="422" t="s">
        <v>2546</v>
      </c>
      <c r="C11" s="429">
        <v>1</v>
      </c>
      <c r="D11" s="136">
        <v>100</v>
      </c>
      <c r="E11" s="429">
        <v>1</v>
      </c>
      <c r="F11" s="136">
        <f>LOOKUP(E11,62:62,63:63)-LOOKUP(C11,62:62,63:63)+100</f>
        <v>100</v>
      </c>
      <c r="G11" s="429">
        <v>1</v>
      </c>
      <c r="H11" s="136">
        <f>LOOKUP(G11,62:62,63:63)-LOOKUP(C11,62:62,63:63)+100</f>
        <v>100</v>
      </c>
      <c r="I11" s="429">
        <v>1</v>
      </c>
      <c r="J11" s="136">
        <f>LOOKUP(I11,62:62,63:63)-LOOKUP(C11,62:62,63:63)+100</f>
        <v>100</v>
      </c>
      <c r="K11" s="612">
        <v>0</v>
      </c>
      <c r="L11" s="1140"/>
      <c r="M11" s="1133"/>
      <c r="N11" s="1133"/>
      <c r="O11" s="1141"/>
      <c r="P11" s="3201"/>
      <c r="Q11" s="1797"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29" s="117" customFormat="1" ht="15" hidden="1">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4"/>
      <c r="M12" s="1135"/>
      <c r="N12" s="1135"/>
      <c r="O12" s="1136"/>
      <c r="P12" s="3201"/>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hidden="1">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2"/>
      <c r="M13" s="1133"/>
      <c r="N13" s="1133"/>
      <c r="O13" s="1141"/>
      <c r="P13" s="3201"/>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hidden="1"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2"/>
      <c r="M14" s="1133"/>
      <c r="N14" s="1133"/>
      <c r="O14" s="1141"/>
      <c r="P14" s="3201"/>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42.75">
      <c r="A15" s="440" t="s">
        <v>2547</v>
      </c>
      <c r="B15" s="69" t="s">
        <v>2691</v>
      </c>
      <c r="C15" s="2689" t="str">
        <f>估价对象房地状况!G3</f>
        <v>估价对象位于中关村兴业创业园，园区建设成熟度较好，产业集聚程度较好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2"/>
      <c r="M15" s="1133"/>
      <c r="N15" s="1133"/>
      <c r="O15" s="1141"/>
      <c r="P15" s="3206" t="s">
        <v>2548</v>
      </c>
      <c r="Q15" s="1812" t="str">
        <f t="shared" si="6"/>
        <v>产业集聚程度</v>
      </c>
      <c r="R15" s="774" t="s">
        <v>17</v>
      </c>
      <c r="S15" s="775">
        <f t="shared" si="0"/>
        <v>100</v>
      </c>
      <c r="T15" s="774" t="s">
        <v>17</v>
      </c>
      <c r="U15" s="775">
        <f t="shared" si="1"/>
        <v>100</v>
      </c>
      <c r="V15" s="774" t="s">
        <v>17</v>
      </c>
      <c r="W15" s="775">
        <f t="shared" si="2"/>
        <v>100</v>
      </c>
      <c r="X15" s="1815"/>
      <c r="Y15" s="3206" t="s">
        <v>2548</v>
      </c>
      <c r="Z15" s="1816" t="str">
        <f t="shared" si="7"/>
        <v>产业集聚程度</v>
      </c>
      <c r="AA15" s="1813">
        <f t="shared" si="3"/>
        <v>1</v>
      </c>
      <c r="AB15" s="1813">
        <f t="shared" si="4"/>
        <v>1</v>
      </c>
      <c r="AC15" s="1813">
        <f t="shared" si="5"/>
        <v>1</v>
      </c>
    </row>
    <row r="16" spans="1:29" ht="15">
      <c r="A16" s="428"/>
      <c r="B16" s="446"/>
      <c r="C16" s="447" t="s">
        <v>3117</v>
      </c>
      <c r="D16" s="448"/>
      <c r="E16" s="447" t="s">
        <v>3117</v>
      </c>
      <c r="F16" s="449"/>
      <c r="G16" s="447" t="s">
        <v>3117</v>
      </c>
      <c r="H16" s="450"/>
      <c r="I16" s="447" t="s">
        <v>3117</v>
      </c>
      <c r="J16" s="448"/>
      <c r="K16" s="615"/>
      <c r="L16" s="1142"/>
      <c r="M16" s="1133"/>
      <c r="N16" s="1133"/>
      <c r="O16" s="1141"/>
      <c r="P16" s="3207"/>
      <c r="Q16" s="1812"/>
      <c r="R16" s="774"/>
      <c r="S16" s="775"/>
      <c r="T16" s="774"/>
      <c r="U16" s="775"/>
      <c r="V16" s="774"/>
      <c r="W16" s="775"/>
      <c r="X16" s="1815"/>
      <c r="Y16" s="3207"/>
      <c r="Z16" s="1816"/>
      <c r="AA16" s="1813">
        <v>1</v>
      </c>
      <c r="AB16" s="1813">
        <v>1</v>
      </c>
      <c r="AC16" s="1813">
        <v>1</v>
      </c>
    </row>
    <row r="17" spans="1:29" ht="57">
      <c r="A17" s="428"/>
      <c r="B17" s="451" t="s">
        <v>2089</v>
      </c>
      <c r="C17" s="2603" t="str">
        <f>估价对象房地状况!G4</f>
        <v>估价对象周边道路状况较好、公共交通通达情况一般、停车便捷程度一般，综合评价交通便捷度一般</v>
      </c>
      <c r="D17" s="450">
        <v>100</v>
      </c>
      <c r="E17" s="452"/>
      <c r="F17" s="453">
        <f>SUMIF(72:72,E18,73:73)-SUMIF(72:72,C18,73:73)+100</f>
        <v>101</v>
      </c>
      <c r="G17" s="454"/>
      <c r="H17" s="455">
        <f>SUMIF(72:72,G18,73:73)-SUMIF(72:72,C18,73:73)+100</f>
        <v>101</v>
      </c>
      <c r="I17" s="452"/>
      <c r="J17" s="455">
        <f>SUMIF(72:72,I18,73:73)-SUMIF(72:72,C18,73:73)+100</f>
        <v>100</v>
      </c>
      <c r="K17" s="614">
        <v>1</v>
      </c>
      <c r="L17" s="1142"/>
      <c r="M17" s="1133"/>
      <c r="N17" s="1133"/>
      <c r="O17" s="1141"/>
      <c r="P17" s="3207"/>
      <c r="Q17" s="1812" t="str">
        <f>B17</f>
        <v>交通便捷度</v>
      </c>
      <c r="R17" s="774" t="s">
        <v>17</v>
      </c>
      <c r="S17" s="775">
        <f>F17</f>
        <v>101</v>
      </c>
      <c r="T17" s="774" t="s">
        <v>17</v>
      </c>
      <c r="U17" s="775">
        <f>H17</f>
        <v>101</v>
      </c>
      <c r="V17" s="774" t="s">
        <v>17</v>
      </c>
      <c r="W17" s="775">
        <f>J17</f>
        <v>100</v>
      </c>
      <c r="X17" s="1815"/>
      <c r="Y17" s="3207"/>
      <c r="Z17" s="1816" t="str">
        <f>Q17</f>
        <v>交通便捷度</v>
      </c>
      <c r="AA17" s="1813">
        <f t="shared" si="3"/>
        <v>0.99009900990099009</v>
      </c>
      <c r="AB17" s="1813">
        <f t="shared" si="4"/>
        <v>0.99009900990099009</v>
      </c>
      <c r="AC17" s="1813">
        <f t="shared" si="5"/>
        <v>1</v>
      </c>
    </row>
    <row r="18" spans="1:29" ht="15">
      <c r="A18" s="428"/>
      <c r="B18" s="456"/>
      <c r="C18" s="2604" t="s">
        <v>3118</v>
      </c>
      <c r="D18" s="450"/>
      <c r="E18" s="2604" t="s">
        <v>3117</v>
      </c>
      <c r="F18" s="453"/>
      <c r="G18" s="2604" t="s">
        <v>3117</v>
      </c>
      <c r="H18" s="448"/>
      <c r="I18" s="2604" t="s">
        <v>3118</v>
      </c>
      <c r="J18" s="448"/>
      <c r="K18" s="615"/>
      <c r="L18" s="1142"/>
      <c r="M18" s="1133"/>
      <c r="N18" s="1133"/>
      <c r="O18" s="1141"/>
      <c r="P18" s="3207"/>
      <c r="Q18" s="1812"/>
      <c r="R18" s="774"/>
      <c r="S18" s="775"/>
      <c r="T18" s="774"/>
      <c r="U18" s="775"/>
      <c r="V18" s="774"/>
      <c r="W18" s="775"/>
      <c r="X18" s="1815"/>
      <c r="Y18" s="3207"/>
      <c r="Z18" s="1816"/>
      <c r="AA18" s="1813">
        <v>1</v>
      </c>
      <c r="AB18" s="1813">
        <v>1</v>
      </c>
      <c r="AC18" s="1813">
        <v>1</v>
      </c>
    </row>
    <row r="19" spans="1:29" ht="84.75" customHeight="1">
      <c r="A19" s="428"/>
      <c r="B19" s="451" t="s">
        <v>2676</v>
      </c>
      <c r="C19" s="2603" t="str">
        <f>估价对象房地状况!G5</f>
        <v>估价对象所在区域公共配套设施有农村商业银行、上海浦东发展银行、世纪华联、容中超市、中国石油大学附属中学、昌平五中等，齐备情况较好</v>
      </c>
      <c r="D19" s="455">
        <v>100</v>
      </c>
      <c r="E19" s="457"/>
      <c r="F19" s="458">
        <f>SUMIF(74:74,E20,75:75)-SUMIF(74:74,C20,75:75)+100</f>
        <v>100</v>
      </c>
      <c r="G19" s="459"/>
      <c r="H19" s="450">
        <f>SUMIF(74:74,G20,75:75)-SUMIF(74:74,C20,75:75)+100</f>
        <v>100</v>
      </c>
      <c r="I19" s="457"/>
      <c r="J19" s="450">
        <f>SUMIF(74:74,I20,75:75)-SUMIF(74:74,C20,75:75)+100</f>
        <v>100</v>
      </c>
      <c r="K19" s="614">
        <v>2</v>
      </c>
      <c r="L19" s="1142"/>
      <c r="M19" s="1133"/>
      <c r="N19" s="1133"/>
      <c r="O19" s="1141"/>
      <c r="P19" s="3207"/>
      <c r="Q19" s="1812" t="str">
        <f>B19</f>
        <v>公共配套设施</v>
      </c>
      <c r="R19" s="774" t="s">
        <v>17</v>
      </c>
      <c r="S19" s="775">
        <f>F19</f>
        <v>100</v>
      </c>
      <c r="T19" s="774" t="s">
        <v>17</v>
      </c>
      <c r="U19" s="775">
        <f>H19</f>
        <v>100</v>
      </c>
      <c r="V19" s="774" t="s">
        <v>17</v>
      </c>
      <c r="W19" s="775">
        <f>J19</f>
        <v>100</v>
      </c>
      <c r="X19" s="1815"/>
      <c r="Y19" s="3207"/>
      <c r="Z19" s="1816" t="str">
        <f>Q19</f>
        <v>公共配套设施</v>
      </c>
      <c r="AA19" s="1813">
        <f t="shared" si="3"/>
        <v>1</v>
      </c>
      <c r="AB19" s="1813">
        <f t="shared" si="4"/>
        <v>1</v>
      </c>
      <c r="AC19" s="1813">
        <f t="shared" si="5"/>
        <v>1</v>
      </c>
    </row>
    <row r="20" spans="1:29" ht="15">
      <c r="A20" s="428"/>
      <c r="B20" s="456"/>
      <c r="C20" s="447" t="s">
        <v>3117</v>
      </c>
      <c r="D20" s="448"/>
      <c r="E20" s="447" t="s">
        <v>3117</v>
      </c>
      <c r="F20" s="449"/>
      <c r="G20" s="447" t="s">
        <v>3117</v>
      </c>
      <c r="H20" s="448"/>
      <c r="I20" s="447" t="s">
        <v>3117</v>
      </c>
      <c r="J20" s="448"/>
      <c r="K20" s="615"/>
      <c r="L20" s="1142"/>
      <c r="M20" s="1133"/>
      <c r="N20" s="1133"/>
      <c r="O20" s="1141"/>
      <c r="P20" s="3207"/>
      <c r="Q20" s="1812"/>
      <c r="R20" s="774"/>
      <c r="S20" s="775"/>
      <c r="T20" s="774"/>
      <c r="U20" s="775"/>
      <c r="V20" s="774"/>
      <c r="W20" s="775"/>
      <c r="X20" s="1815"/>
      <c r="Y20" s="3207"/>
      <c r="Z20" s="1816"/>
      <c r="AA20" s="1813">
        <v>1</v>
      </c>
      <c r="AB20" s="1813">
        <v>1</v>
      </c>
      <c r="AC20" s="1813">
        <v>1</v>
      </c>
    </row>
    <row r="21" spans="1:29" ht="28.5">
      <c r="A21" s="428"/>
      <c r="B21" s="1386" t="s">
        <v>2677</v>
      </c>
      <c r="C21" s="2603"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4">
        <v>1</v>
      </c>
      <c r="L21" s="1142"/>
      <c r="M21" s="1133"/>
      <c r="N21" s="1133"/>
      <c r="O21" s="1141"/>
      <c r="P21" s="3207"/>
      <c r="Q21" s="1812" t="str">
        <f>B21</f>
        <v>基础设施水平</v>
      </c>
      <c r="R21" s="774" t="s">
        <v>17</v>
      </c>
      <c r="S21" s="775">
        <f>F21</f>
        <v>100</v>
      </c>
      <c r="T21" s="774" t="s">
        <v>17</v>
      </c>
      <c r="U21" s="775">
        <f>H21</f>
        <v>100</v>
      </c>
      <c r="V21" s="774" t="s">
        <v>17</v>
      </c>
      <c r="W21" s="775">
        <f>J21</f>
        <v>100</v>
      </c>
      <c r="X21" s="1815"/>
      <c r="Y21" s="3207"/>
      <c r="Z21" s="1816" t="str">
        <f>Q21</f>
        <v>基础设施水平</v>
      </c>
      <c r="AA21" s="1813">
        <f t="shared" ref="AA21" si="8">D21/F21</f>
        <v>1</v>
      </c>
      <c r="AB21" s="1813">
        <f t="shared" ref="AB21" si="9">D21/H21</f>
        <v>1</v>
      </c>
      <c r="AC21" s="1813">
        <f t="shared" ref="AC21" si="10">D21/J21</f>
        <v>1</v>
      </c>
    </row>
    <row r="22" spans="1:29" ht="15">
      <c r="A22" s="428"/>
      <c r="B22" s="1386"/>
      <c r="C22" s="2604" t="s">
        <v>3119</v>
      </c>
      <c r="D22" s="448"/>
      <c r="E22" s="2604" t="s">
        <v>3119</v>
      </c>
      <c r="F22" s="449"/>
      <c r="G22" s="2604" t="s">
        <v>3119</v>
      </c>
      <c r="H22" s="448"/>
      <c r="I22" s="2604" t="s">
        <v>3119</v>
      </c>
      <c r="J22" s="448"/>
      <c r="K22" s="1385"/>
      <c r="L22" s="1142"/>
      <c r="M22" s="1133"/>
      <c r="N22" s="1133"/>
      <c r="O22" s="1141"/>
      <c r="P22" s="3207"/>
      <c r="Q22" s="1812"/>
      <c r="R22" s="774"/>
      <c r="S22" s="775"/>
      <c r="T22" s="774"/>
      <c r="U22" s="775"/>
      <c r="V22" s="774"/>
      <c r="W22" s="775"/>
      <c r="X22" s="1815"/>
      <c r="Y22" s="3207"/>
      <c r="Z22" s="1816"/>
      <c r="AA22" s="1813">
        <v>1</v>
      </c>
      <c r="AB22" s="1813">
        <v>1</v>
      </c>
      <c r="AC22" s="1813">
        <v>1</v>
      </c>
    </row>
    <row r="23" spans="1:29" ht="42.75">
      <c r="A23" s="428"/>
      <c r="B23" s="451" t="s">
        <v>2678</v>
      </c>
      <c r="C23" s="2603" t="str">
        <f>估价对象房地状况!G7</f>
        <v>该园区内是否有污染型企业，绿化情况，卫生条件，整体环境状况判断，较好</v>
      </c>
      <c r="D23" s="450">
        <v>100</v>
      </c>
      <c r="E23" s="452"/>
      <c r="F23" s="453">
        <f>SUMIF(78:78,E24,79:79)-SUMIF(78:78,C24,79:79)+100</f>
        <v>100</v>
      </c>
      <c r="G23" s="454"/>
      <c r="H23" s="450">
        <f>SUMIF(78:78,G24,79:79)-SUMIF(78:78,C24,79:79)+100</f>
        <v>100</v>
      </c>
      <c r="I23" s="452"/>
      <c r="J23" s="450">
        <f>SUMIF(78:78,I24,79:79)-SUMIF(78:78,C24,79:79)+100</f>
        <v>100</v>
      </c>
      <c r="K23" s="614">
        <v>2</v>
      </c>
      <c r="L23" s="1142"/>
      <c r="M23" s="1133"/>
      <c r="N23" s="1133"/>
      <c r="O23" s="1141"/>
      <c r="P23" s="3207"/>
      <c r="Q23" s="1812" t="str">
        <f>B23</f>
        <v>环境质量</v>
      </c>
      <c r="R23" s="774" t="s">
        <v>17</v>
      </c>
      <c r="S23" s="775">
        <f>F23</f>
        <v>100</v>
      </c>
      <c r="T23" s="774" t="s">
        <v>17</v>
      </c>
      <c r="U23" s="775">
        <f>H23</f>
        <v>100</v>
      </c>
      <c r="V23" s="774" t="s">
        <v>17</v>
      </c>
      <c r="W23" s="775">
        <f>J23</f>
        <v>100</v>
      </c>
      <c r="X23" s="1815"/>
      <c r="Y23" s="3207"/>
      <c r="Z23" s="1816" t="str">
        <f>Q23</f>
        <v>环境质量</v>
      </c>
      <c r="AA23" s="1813">
        <f t="shared" si="3"/>
        <v>1</v>
      </c>
      <c r="AB23" s="1813">
        <f t="shared" si="4"/>
        <v>1</v>
      </c>
      <c r="AC23" s="1813">
        <f t="shared" si="5"/>
        <v>1</v>
      </c>
    </row>
    <row r="24" spans="1:29" ht="15.75" thickBot="1">
      <c r="A24" s="428"/>
      <c r="B24" s="1386"/>
      <c r="C24" s="447" t="s">
        <v>3117</v>
      </c>
      <c r="D24" s="448"/>
      <c r="E24" s="447" t="s">
        <v>3117</v>
      </c>
      <c r="F24" s="449"/>
      <c r="G24" s="447" t="s">
        <v>3117</v>
      </c>
      <c r="H24" s="448"/>
      <c r="I24" s="447" t="s">
        <v>3117</v>
      </c>
      <c r="J24" s="448"/>
      <c r="K24" s="615"/>
      <c r="L24" s="1142"/>
      <c r="M24" s="1133"/>
      <c r="N24" s="1133"/>
      <c r="O24" s="1141"/>
      <c r="P24" s="3207"/>
      <c r="Q24" s="1812"/>
      <c r="R24" s="774"/>
      <c r="S24" s="775"/>
      <c r="T24" s="774"/>
      <c r="U24" s="775"/>
      <c r="V24" s="774"/>
      <c r="W24" s="775"/>
      <c r="X24" s="1815"/>
      <c r="Y24" s="3207"/>
      <c r="Z24" s="1816"/>
      <c r="AA24" s="1813">
        <v>1</v>
      </c>
      <c r="AB24" s="1813">
        <v>1</v>
      </c>
      <c r="AC24" s="1813">
        <v>1</v>
      </c>
    </row>
    <row r="25" spans="1:29" ht="15" hidden="1">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7"/>
      <c r="Q25" s="1812">
        <f>B25</f>
        <v>111</v>
      </c>
      <c r="R25" s="774" t="s">
        <v>17</v>
      </c>
      <c r="S25" s="775">
        <f>F25</f>
        <v>100</v>
      </c>
      <c r="T25" s="774" t="s">
        <v>17</v>
      </c>
      <c r="U25" s="775">
        <f>H25</f>
        <v>100</v>
      </c>
      <c r="V25" s="774" t="s">
        <v>17</v>
      </c>
      <c r="W25" s="775">
        <f>J25</f>
        <v>100</v>
      </c>
      <c r="X25" s="1815"/>
      <c r="Y25" s="3207"/>
      <c r="Z25" s="1816">
        <f>Q25</f>
        <v>111</v>
      </c>
      <c r="AA25" s="1813">
        <f t="shared" si="3"/>
        <v>1</v>
      </c>
      <c r="AB25" s="1813">
        <f t="shared" si="4"/>
        <v>1</v>
      </c>
      <c r="AC25" s="1813">
        <f t="shared" si="5"/>
        <v>1</v>
      </c>
    </row>
    <row r="26" spans="1:29" ht="15" hidden="1">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7"/>
      <c r="Q26" s="1812">
        <f t="shared" ref="Q26:Q40" si="11">B26</f>
        <v>111</v>
      </c>
      <c r="R26" s="774" t="s">
        <v>17</v>
      </c>
      <c r="S26" s="775">
        <f>F26</f>
        <v>100</v>
      </c>
      <c r="T26" s="774" t="s">
        <v>17</v>
      </c>
      <c r="U26" s="775">
        <f>H26</f>
        <v>100</v>
      </c>
      <c r="V26" s="774" t="s">
        <v>17</v>
      </c>
      <c r="W26" s="775">
        <f>J26</f>
        <v>100</v>
      </c>
      <c r="X26" s="1815"/>
      <c r="Y26" s="3207"/>
      <c r="Z26" s="1816">
        <f>Q26</f>
        <v>111</v>
      </c>
      <c r="AA26" s="1813">
        <f t="shared" si="3"/>
        <v>1</v>
      </c>
      <c r="AB26" s="1813">
        <f t="shared" si="4"/>
        <v>1</v>
      </c>
      <c r="AC26" s="1813">
        <f t="shared" si="5"/>
        <v>1</v>
      </c>
    </row>
    <row r="27" spans="1:29" s="117" customFormat="1" ht="15" hidden="1">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7"/>
      <c r="Q27" s="1797">
        <f t="shared" si="11"/>
        <v>111</v>
      </c>
      <c r="R27" s="770" t="s">
        <v>17</v>
      </c>
      <c r="S27" s="771">
        <f>F27</f>
        <v>100</v>
      </c>
      <c r="T27" s="770" t="s">
        <v>17</v>
      </c>
      <c r="U27" s="771">
        <f>H27</f>
        <v>100</v>
      </c>
      <c r="V27" s="770" t="s">
        <v>17</v>
      </c>
      <c r="W27" s="771">
        <f>J27</f>
        <v>100</v>
      </c>
      <c r="X27" s="772"/>
      <c r="Y27" s="3207"/>
      <c r="Z27" s="55">
        <f>Q27</f>
        <v>111</v>
      </c>
      <c r="AA27" s="1813">
        <f>D27/F27</f>
        <v>1</v>
      </c>
      <c r="AB27" s="1813">
        <f>D27/H27</f>
        <v>1</v>
      </c>
      <c r="AC27" s="1813">
        <f>D27/J27</f>
        <v>1</v>
      </c>
    </row>
    <row r="28" spans="1:29" ht="15.75" hidden="1"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7"/>
      <c r="Q28" s="1812">
        <f t="shared" si="11"/>
        <v>111</v>
      </c>
      <c r="R28" s="774" t="s">
        <v>17</v>
      </c>
      <c r="S28" s="775">
        <f t="shared" ref="S28:S40" si="12">F28</f>
        <v>100</v>
      </c>
      <c r="T28" s="774" t="s">
        <v>17</v>
      </c>
      <c r="U28" s="775">
        <f t="shared" ref="U28:U40" si="13">H28</f>
        <v>100</v>
      </c>
      <c r="V28" s="774" t="s">
        <v>17</v>
      </c>
      <c r="W28" s="775">
        <f t="shared" ref="W28:W40" si="14">J28</f>
        <v>100</v>
      </c>
      <c r="X28" s="1815"/>
      <c r="Y28" s="3207"/>
      <c r="Z28" s="1816">
        <f t="shared" ref="Z28:Z40" si="15">Q28</f>
        <v>111</v>
      </c>
      <c r="AA28" s="1813">
        <f t="shared" si="3"/>
        <v>1</v>
      </c>
      <c r="AB28" s="1813">
        <f t="shared" si="4"/>
        <v>1</v>
      </c>
      <c r="AC28" s="1813">
        <f t="shared" si="5"/>
        <v>1</v>
      </c>
    </row>
    <row r="29" spans="1:29" ht="15">
      <c r="A29" s="466" t="s">
        <v>2551</v>
      </c>
      <c r="B29" s="71" t="s">
        <v>2681</v>
      </c>
      <c r="C29" s="2675" t="s">
        <v>3120</v>
      </c>
      <c r="D29" s="467">
        <v>100</v>
      </c>
      <c r="E29" s="2675" t="s">
        <v>3120</v>
      </c>
      <c r="F29" s="461">
        <f>SUMIF(88:88,E29,89:89)-SUMIF(88:88,C29,89:89)+100</f>
        <v>100</v>
      </c>
      <c r="G29" s="2675" t="s">
        <v>3120</v>
      </c>
      <c r="H29" s="435">
        <f>SUMIF(88:88,G29,89:89)-SUMIF(88:88,C29,89:89)+100</f>
        <v>100</v>
      </c>
      <c r="I29" s="2675" t="s">
        <v>3120</v>
      </c>
      <c r="J29" s="467">
        <f>SUMIF(88:88,I29,89:89)-SUMIF(88:88,C29,89:89)+100</f>
        <v>100</v>
      </c>
      <c r="K29" s="612">
        <v>2</v>
      </c>
      <c r="L29" s="1142"/>
      <c r="M29" s="1133"/>
      <c r="N29" s="1133"/>
      <c r="O29" s="1141"/>
      <c r="P29" s="3208" t="s">
        <v>2553</v>
      </c>
      <c r="Q29" s="1812" t="str">
        <f t="shared" si="11"/>
        <v>建筑类型</v>
      </c>
      <c r="R29" s="774" t="s">
        <v>17</v>
      </c>
      <c r="S29" s="775">
        <f t="shared" si="12"/>
        <v>100</v>
      </c>
      <c r="T29" s="774" t="s">
        <v>17</v>
      </c>
      <c r="U29" s="775">
        <f t="shared" si="13"/>
        <v>100</v>
      </c>
      <c r="V29" s="774" t="s">
        <v>17</v>
      </c>
      <c r="W29" s="775">
        <f t="shared" si="14"/>
        <v>100</v>
      </c>
      <c r="X29" s="1815"/>
      <c r="Y29" s="3209" t="s">
        <v>2553</v>
      </c>
      <c r="Z29" s="1816" t="str">
        <f t="shared" si="15"/>
        <v>建筑类型</v>
      </c>
      <c r="AA29" s="1813">
        <f t="shared" si="3"/>
        <v>1</v>
      </c>
      <c r="AB29" s="1813">
        <f t="shared" si="4"/>
        <v>1</v>
      </c>
      <c r="AC29" s="1813">
        <f t="shared" si="5"/>
        <v>1</v>
      </c>
    </row>
    <row r="30" spans="1:29" s="471" customFormat="1" ht="15">
      <c r="A30" s="468"/>
      <c r="B30" s="422" t="s">
        <v>2554</v>
      </c>
      <c r="C30" s="469">
        <f>'数据-汇总表'!E3</f>
        <v>1246.4000000000001</v>
      </c>
      <c r="D30" s="136">
        <v>100</v>
      </c>
      <c r="E30" s="430">
        <v>2251</v>
      </c>
      <c r="F30" s="425">
        <f>LOOKUP(E30,91:91,92:92)-LOOKUP(C30,91:91,92:92)+100</f>
        <v>96</v>
      </c>
      <c r="G30" s="429">
        <v>1500</v>
      </c>
      <c r="H30" s="136">
        <f>LOOKUP(G30,91:91,92:92)-LOOKUP(C30,91:91,92:92)+100</f>
        <v>98</v>
      </c>
      <c r="I30" s="429">
        <v>200</v>
      </c>
      <c r="J30" s="136">
        <f>LOOKUP(I30,91:91,92:92)-LOOKUP(C30,91:91,92:92)+100</f>
        <v>102</v>
      </c>
      <c r="K30" s="613"/>
      <c r="L30" s="1140"/>
      <c r="M30" s="1143"/>
      <c r="N30" s="1143"/>
      <c r="O30" s="1144"/>
      <c r="P30" s="3209"/>
      <c r="Q30" s="776" t="str">
        <f t="shared" si="11"/>
        <v>项目建筑规模</v>
      </c>
      <c r="R30" s="777" t="s">
        <v>17</v>
      </c>
      <c r="S30" s="778">
        <f t="shared" si="12"/>
        <v>96</v>
      </c>
      <c r="T30" s="777" t="s">
        <v>17</v>
      </c>
      <c r="U30" s="778">
        <f t="shared" si="13"/>
        <v>98</v>
      </c>
      <c r="V30" s="777" t="s">
        <v>17</v>
      </c>
      <c r="W30" s="778">
        <f t="shared" si="14"/>
        <v>102</v>
      </c>
      <c r="X30" s="779"/>
      <c r="Y30" s="3209"/>
      <c r="Z30" s="780" t="str">
        <f t="shared" si="15"/>
        <v>项目建筑规模</v>
      </c>
      <c r="AA30" s="1813">
        <f t="shared" si="3"/>
        <v>1.0416666666666667</v>
      </c>
      <c r="AB30" s="1813">
        <f t="shared" si="4"/>
        <v>1.0204081632653061</v>
      </c>
      <c r="AC30" s="1813">
        <f t="shared" si="5"/>
        <v>0.98039215686274506</v>
      </c>
    </row>
    <row r="31" spans="1:29" ht="15">
      <c r="A31" s="472"/>
      <c r="B31" s="422" t="s">
        <v>2555</v>
      </c>
      <c r="C31" s="460" t="s">
        <v>3078</v>
      </c>
      <c r="D31" s="435">
        <v>100</v>
      </c>
      <c r="E31" s="460" t="s">
        <v>3078</v>
      </c>
      <c r="F31" s="461">
        <f>SUMIF(93:93,E31,94:94)-SUMIF(93:93,C31,94:94)+100</f>
        <v>100</v>
      </c>
      <c r="G31" s="460" t="s">
        <v>3078</v>
      </c>
      <c r="H31" s="435">
        <f>SUMIF(93:93,G31,94:94)-SUMIF(93:93,C31,94:94)+100</f>
        <v>100</v>
      </c>
      <c r="I31" s="460" t="s">
        <v>3078</v>
      </c>
      <c r="J31" s="435">
        <f>SUMIF(93:93,I31,94:94)-SUMIF(93:93,C31,94:94)+100</f>
        <v>100</v>
      </c>
      <c r="K31" s="612">
        <v>2</v>
      </c>
      <c r="L31" s="1142"/>
      <c r="M31" s="1133"/>
      <c r="N31" s="1133"/>
      <c r="O31" s="1141"/>
      <c r="P31" s="3209"/>
      <c r="Q31" s="1812" t="str">
        <f t="shared" si="11"/>
        <v>建筑结构</v>
      </c>
      <c r="R31" s="774" t="s">
        <v>17</v>
      </c>
      <c r="S31" s="775">
        <f t="shared" si="12"/>
        <v>100</v>
      </c>
      <c r="T31" s="774" t="s">
        <v>17</v>
      </c>
      <c r="U31" s="775">
        <f t="shared" si="13"/>
        <v>100</v>
      </c>
      <c r="V31" s="774" t="s">
        <v>17</v>
      </c>
      <c r="W31" s="775">
        <f t="shared" si="14"/>
        <v>100</v>
      </c>
      <c r="X31" s="1815"/>
      <c r="Y31" s="3209"/>
      <c r="Z31" s="1816" t="str">
        <f t="shared" si="15"/>
        <v>建筑结构</v>
      </c>
      <c r="AA31" s="1813">
        <f t="shared" si="3"/>
        <v>1</v>
      </c>
      <c r="AB31" s="1813">
        <f t="shared" si="4"/>
        <v>1</v>
      </c>
      <c r="AC31" s="1813">
        <f t="shared" si="5"/>
        <v>1</v>
      </c>
    </row>
    <row r="32" spans="1:29" ht="15">
      <c r="A32" s="472"/>
      <c r="B32" s="422" t="s">
        <v>2649</v>
      </c>
      <c r="C32" s="460" t="s">
        <v>3125</v>
      </c>
      <c r="D32" s="435">
        <v>100</v>
      </c>
      <c r="E32" s="460" t="s">
        <v>3125</v>
      </c>
      <c r="F32" s="461">
        <f>SUMIF(95:95,E32,96:96)-SUMIF(95:95,C32,96:96)+100</f>
        <v>100</v>
      </c>
      <c r="G32" s="460" t="s">
        <v>3125</v>
      </c>
      <c r="H32" s="435">
        <f>SUMIF(95:95,G32,96:96)-SUMIF(95:95,C32,96:96)+100</f>
        <v>100</v>
      </c>
      <c r="I32" s="460" t="s">
        <v>3125</v>
      </c>
      <c r="J32" s="435">
        <f>SUMIF(95:95,I32,96:96)-SUMIF(95:95,C32,96:96)+100</f>
        <v>100</v>
      </c>
      <c r="K32" s="612">
        <v>1</v>
      </c>
      <c r="L32" s="1142"/>
      <c r="M32" s="1133"/>
      <c r="N32" s="1133"/>
      <c r="O32" s="1141"/>
      <c r="P32" s="3209"/>
      <c r="Q32" s="1812" t="str">
        <f t="shared" si="11"/>
        <v>公共部分装修</v>
      </c>
      <c r="R32" s="774" t="s">
        <v>17</v>
      </c>
      <c r="S32" s="775">
        <f t="shared" si="12"/>
        <v>100</v>
      </c>
      <c r="T32" s="774" t="s">
        <v>17</v>
      </c>
      <c r="U32" s="775">
        <f t="shared" si="13"/>
        <v>100</v>
      </c>
      <c r="V32" s="774" t="s">
        <v>17</v>
      </c>
      <c r="W32" s="775">
        <f t="shared" si="14"/>
        <v>100</v>
      </c>
      <c r="X32" s="1815"/>
      <c r="Y32" s="3209"/>
      <c r="Z32" s="1816" t="str">
        <f t="shared" si="15"/>
        <v>公共部分装修</v>
      </c>
      <c r="AA32" s="1813">
        <f t="shared" si="3"/>
        <v>1</v>
      </c>
      <c r="AB32" s="1813">
        <f t="shared" si="4"/>
        <v>1</v>
      </c>
      <c r="AC32" s="1813">
        <f t="shared" si="5"/>
        <v>1</v>
      </c>
    </row>
    <row r="33" spans="1:29" ht="15">
      <c r="A33" s="472"/>
      <c r="B33" s="422" t="s">
        <v>2650</v>
      </c>
      <c r="C33" s="2989">
        <f>'数据-取费表'!N6</f>
        <v>0.95</v>
      </c>
      <c r="D33" s="435">
        <v>100</v>
      </c>
      <c r="E33" s="474">
        <f>ROUND(1-(1-0%)*(2018-2012)/60,2)</f>
        <v>0.9</v>
      </c>
      <c r="F33" s="461">
        <f>LOOKUP(E33,98:98,99:99)-LOOKUP(C33,98:98,99:99)+100</f>
        <v>100</v>
      </c>
      <c r="G33" s="474">
        <f>ROUND(1-(1-0%)*(2018-2012)/60,2)</f>
        <v>0.9</v>
      </c>
      <c r="H33" s="461">
        <f>LOOKUP(G33,98:98,99:99)-LOOKUP(C33,98:98,99:99)+100</f>
        <v>100</v>
      </c>
      <c r="I33" s="474">
        <f>C33</f>
        <v>0.95</v>
      </c>
      <c r="J33" s="435">
        <f>LOOKUP(I33,98:98,99:99)-LOOKUP(C33,98:98,99:99)+100</f>
        <v>100</v>
      </c>
      <c r="K33" s="612">
        <v>1</v>
      </c>
      <c r="L33" s="1142"/>
      <c r="M33" s="1133"/>
      <c r="N33" s="1133"/>
      <c r="O33" s="1141"/>
      <c r="P33" s="3209"/>
      <c r="Q33" s="1812" t="str">
        <f t="shared" si="11"/>
        <v>成新度</v>
      </c>
      <c r="R33" s="774" t="s">
        <v>17</v>
      </c>
      <c r="S33" s="775">
        <f t="shared" si="12"/>
        <v>100</v>
      </c>
      <c r="T33" s="774" t="s">
        <v>17</v>
      </c>
      <c r="U33" s="775">
        <f t="shared" si="13"/>
        <v>100</v>
      </c>
      <c r="V33" s="774" t="s">
        <v>17</v>
      </c>
      <c r="W33" s="775">
        <f t="shared" si="14"/>
        <v>100</v>
      </c>
      <c r="X33" s="1815"/>
      <c r="Y33" s="3209"/>
      <c r="Z33" s="1816" t="str">
        <f t="shared" si="15"/>
        <v>成新度</v>
      </c>
      <c r="AA33" s="1813">
        <f t="shared" si="3"/>
        <v>1</v>
      </c>
      <c r="AB33" s="1813">
        <f t="shared" si="4"/>
        <v>1</v>
      </c>
      <c r="AC33" s="1813">
        <f t="shared" si="5"/>
        <v>1</v>
      </c>
    </row>
    <row r="34" spans="1:29" s="117" customFormat="1" ht="15">
      <c r="A34" s="473"/>
      <c r="B34" s="422" t="s">
        <v>2683</v>
      </c>
      <c r="C34" s="460" t="s">
        <v>3131</v>
      </c>
      <c r="D34" s="136">
        <v>100</v>
      </c>
      <c r="E34" s="460" t="s">
        <v>3131</v>
      </c>
      <c r="F34" s="461">
        <f>SUMIF(100:100,E34,101:101)-SUMIF(100:100,C34,101:101)+100</f>
        <v>100</v>
      </c>
      <c r="G34" s="460" t="s">
        <v>3131</v>
      </c>
      <c r="H34" s="435">
        <f>SUMIF(100:100,G34,101:101)-SUMIF(100:100,C34,101:101)+100</f>
        <v>100</v>
      </c>
      <c r="I34" s="460" t="s">
        <v>3131</v>
      </c>
      <c r="J34" s="435">
        <f>SUMIF(100:100,I34,101:101)-SUMIF(100:100,C34,101:101)+100</f>
        <v>100</v>
      </c>
      <c r="K34" s="612">
        <v>2</v>
      </c>
      <c r="L34" s="1134"/>
      <c r="M34" s="1135"/>
      <c r="N34" s="1135"/>
      <c r="O34" s="1136"/>
      <c r="P34" s="3209"/>
      <c r="Q34" s="1797"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2651</v>
      </c>
      <c r="C35" s="460" t="s">
        <v>3134</v>
      </c>
      <c r="D35" s="435">
        <v>100</v>
      </c>
      <c r="E35" s="460" t="s">
        <v>3134</v>
      </c>
      <c r="F35" s="461">
        <f>SUMIF(102:102,E35,103:103)-SUMIF(102:102,C35,103:103)+100</f>
        <v>100</v>
      </c>
      <c r="G35" s="460" t="s">
        <v>3134</v>
      </c>
      <c r="H35" s="435">
        <f>SUMIF(102:102,G35,103:103)-SUMIF(102:102,C35,103:103)+100</f>
        <v>100</v>
      </c>
      <c r="I35" s="460" t="s">
        <v>3134</v>
      </c>
      <c r="J35" s="435">
        <f>SUMIF(102:102,I35,103:103)-SUMIF(102:102,C35,103:103)+100</f>
        <v>100</v>
      </c>
      <c r="K35" s="612">
        <v>1</v>
      </c>
      <c r="L35" s="1142"/>
      <c r="M35" s="1133"/>
      <c r="N35" s="1133"/>
      <c r="O35" s="1141"/>
      <c r="P35" s="3209" t="s">
        <v>2553</v>
      </c>
      <c r="Q35" s="1812" t="str">
        <f t="shared" si="11"/>
        <v>市政基础设施</v>
      </c>
      <c r="R35" s="774" t="s">
        <v>17</v>
      </c>
      <c r="S35" s="775">
        <f t="shared" si="12"/>
        <v>100</v>
      </c>
      <c r="T35" s="774" t="s">
        <v>17</v>
      </c>
      <c r="U35" s="775">
        <f t="shared" si="13"/>
        <v>100</v>
      </c>
      <c r="V35" s="774" t="s">
        <v>17</v>
      </c>
      <c r="W35" s="775">
        <f t="shared" si="14"/>
        <v>100</v>
      </c>
      <c r="X35" s="1815"/>
      <c r="Y35" s="3209" t="s">
        <v>2553</v>
      </c>
      <c r="Z35" s="1816" t="str">
        <f t="shared" si="15"/>
        <v>市政基础设施</v>
      </c>
      <c r="AA35" s="1813">
        <f t="shared" si="3"/>
        <v>1</v>
      </c>
      <c r="AB35" s="1813">
        <f t="shared" si="4"/>
        <v>1</v>
      </c>
      <c r="AC35" s="1813">
        <f t="shared" si="5"/>
        <v>1</v>
      </c>
    </row>
    <row r="36" spans="1:29" ht="15">
      <c r="A36" s="472"/>
      <c r="B36" s="422" t="s">
        <v>2656</v>
      </c>
      <c r="C36" s="460" t="s">
        <v>3125</v>
      </c>
      <c r="D36" s="435">
        <v>100</v>
      </c>
      <c r="E36" s="460" t="s">
        <v>3127</v>
      </c>
      <c r="F36" s="461">
        <f>SUMIF(104:104,E36,105:105)-SUMIF(104:104,C36,105:105)+100</f>
        <v>98</v>
      </c>
      <c r="G36" s="460" t="s">
        <v>3127</v>
      </c>
      <c r="H36" s="435">
        <f>SUMIF(104:104,G36,105:105)-SUMIF(104:104,C36,105:105)+100</f>
        <v>98</v>
      </c>
      <c r="I36" s="460" t="s">
        <v>3125</v>
      </c>
      <c r="J36" s="435">
        <f>SUMIF(104:104,I36,105:105)-SUMIF(104:104,C36,105:105)+100</f>
        <v>100</v>
      </c>
      <c r="K36" s="612">
        <v>2</v>
      </c>
      <c r="L36" s="1142"/>
      <c r="M36" s="1133"/>
      <c r="N36" s="1133"/>
      <c r="O36" s="1141"/>
      <c r="P36" s="3209"/>
      <c r="Q36" s="1812" t="str">
        <f t="shared" si="11"/>
        <v>内部装修</v>
      </c>
      <c r="R36" s="774" t="s">
        <v>17</v>
      </c>
      <c r="S36" s="775">
        <f t="shared" si="12"/>
        <v>98</v>
      </c>
      <c r="T36" s="774" t="s">
        <v>17</v>
      </c>
      <c r="U36" s="775">
        <f t="shared" si="13"/>
        <v>98</v>
      </c>
      <c r="V36" s="774" t="s">
        <v>17</v>
      </c>
      <c r="W36" s="775">
        <f t="shared" si="14"/>
        <v>100</v>
      </c>
      <c r="X36" s="1815"/>
      <c r="Y36" s="3209"/>
      <c r="Z36" s="1816" t="str">
        <f t="shared" si="15"/>
        <v>内部装修</v>
      </c>
      <c r="AA36" s="1813">
        <f t="shared" si="3"/>
        <v>1.0204081632653061</v>
      </c>
      <c r="AB36" s="1813">
        <f t="shared" si="4"/>
        <v>1.0204081632653061</v>
      </c>
      <c r="AC36" s="1813">
        <f t="shared" si="5"/>
        <v>1</v>
      </c>
    </row>
    <row r="37" spans="1:29" ht="15.75" thickBot="1">
      <c r="A37" s="472"/>
      <c r="B37" s="422" t="s">
        <v>2692</v>
      </c>
      <c r="C37" s="616" t="s">
        <v>3117</v>
      </c>
      <c r="D37" s="435">
        <v>100</v>
      </c>
      <c r="E37" s="616" t="s">
        <v>3117</v>
      </c>
      <c r="F37" s="461">
        <f>SUMIF(106:106,E37,107:107)-SUMIF(106:106,C37,107:107)+100</f>
        <v>100</v>
      </c>
      <c r="G37" s="616" t="s">
        <v>3117</v>
      </c>
      <c r="H37" s="435">
        <f>SUMIF(106:106,G37,107:107)-SUMIF(106:106,C37,107:107)+100</f>
        <v>100</v>
      </c>
      <c r="I37" s="616" t="s">
        <v>3117</v>
      </c>
      <c r="J37" s="435">
        <f>SUMIF(106:106,I37,107:107)-SUMIF(106:106,C37,107:107)+100</f>
        <v>100</v>
      </c>
      <c r="K37" s="612">
        <v>1</v>
      </c>
      <c r="L37" s="1142"/>
      <c r="M37" s="1133"/>
      <c r="N37" s="1133"/>
      <c r="O37" s="1141"/>
      <c r="P37" s="3209"/>
      <c r="Q37" s="1812" t="str">
        <f t="shared" si="11"/>
        <v>内部装修状况</v>
      </c>
      <c r="R37" s="774" t="s">
        <v>17</v>
      </c>
      <c r="S37" s="775">
        <f t="shared" si="12"/>
        <v>100</v>
      </c>
      <c r="T37" s="774" t="s">
        <v>17</v>
      </c>
      <c r="U37" s="775">
        <f t="shared" si="13"/>
        <v>100</v>
      </c>
      <c r="V37" s="774" t="s">
        <v>17</v>
      </c>
      <c r="W37" s="775">
        <f t="shared" si="14"/>
        <v>100</v>
      </c>
      <c r="X37" s="1815"/>
      <c r="Y37" s="3209"/>
      <c r="Z37" s="1816" t="str">
        <f t="shared" si="15"/>
        <v>内部装修状况</v>
      </c>
      <c r="AA37" s="1813">
        <f t="shared" si="3"/>
        <v>1</v>
      </c>
      <c r="AB37" s="1813">
        <f t="shared" si="4"/>
        <v>1</v>
      </c>
      <c r="AC37" s="1813">
        <f t="shared" si="5"/>
        <v>1</v>
      </c>
    </row>
    <row r="38" spans="1:29" s="471" customFormat="1" ht="15" hidden="1">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3">
        <f t="shared" si="3"/>
        <v>1</v>
      </c>
      <c r="AB38" s="1813">
        <f t="shared" si="4"/>
        <v>1</v>
      </c>
      <c r="AC38" s="1813">
        <f t="shared" si="5"/>
        <v>1</v>
      </c>
    </row>
    <row r="39" spans="1:29" ht="15" hidden="1">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9"/>
      <c r="Q39" s="1812">
        <f t="shared" si="11"/>
        <v>111</v>
      </c>
      <c r="R39" s="774" t="s">
        <v>17</v>
      </c>
      <c r="S39" s="775">
        <f t="shared" si="12"/>
        <v>100</v>
      </c>
      <c r="T39" s="774" t="s">
        <v>17</v>
      </c>
      <c r="U39" s="775">
        <f t="shared" si="13"/>
        <v>100</v>
      </c>
      <c r="V39" s="774" t="s">
        <v>17</v>
      </c>
      <c r="W39" s="775">
        <f t="shared" si="14"/>
        <v>100</v>
      </c>
      <c r="X39" s="1815"/>
      <c r="Y39" s="3209"/>
      <c r="Z39" s="1816">
        <f t="shared" si="15"/>
        <v>111</v>
      </c>
      <c r="AA39" s="1813">
        <f t="shared" si="3"/>
        <v>1</v>
      </c>
      <c r="AB39" s="1813">
        <f t="shared" si="4"/>
        <v>1</v>
      </c>
      <c r="AC39" s="1813">
        <f t="shared" si="5"/>
        <v>1</v>
      </c>
    </row>
    <row r="40" spans="1:29" ht="15.75" hidden="1"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0"/>
      <c r="Q40" s="1812">
        <f t="shared" si="11"/>
        <v>111</v>
      </c>
      <c r="R40" s="774" t="s">
        <v>17</v>
      </c>
      <c r="S40" s="775">
        <f t="shared" si="12"/>
        <v>100</v>
      </c>
      <c r="T40" s="774" t="s">
        <v>17</v>
      </c>
      <c r="U40" s="775">
        <f t="shared" si="13"/>
        <v>100</v>
      </c>
      <c r="V40" s="774" t="s">
        <v>17</v>
      </c>
      <c r="W40" s="775">
        <f t="shared" si="14"/>
        <v>100</v>
      </c>
      <c r="X40" s="1815"/>
      <c r="Y40" s="3210"/>
      <c r="Z40" s="1816">
        <f t="shared" si="15"/>
        <v>111</v>
      </c>
      <c r="AA40" s="1813">
        <f t="shared" si="3"/>
        <v>1</v>
      </c>
      <c r="AB40" s="1813">
        <f t="shared" si="4"/>
        <v>1</v>
      </c>
      <c r="AC40" s="1813">
        <f t="shared" si="5"/>
        <v>1</v>
      </c>
    </row>
    <row r="41" spans="1:29" ht="15">
      <c r="A41" s="479" t="s">
        <v>2565</v>
      </c>
      <c r="B41" s="480"/>
      <c r="C41" s="1409" t="s">
        <v>1</v>
      </c>
      <c r="D41" s="1410"/>
      <c r="E41" s="1411">
        <f>E56</f>
        <v>18992</v>
      </c>
      <c r="F41" s="1412"/>
      <c r="G41" s="1413">
        <f>F56</f>
        <v>19000</v>
      </c>
      <c r="H41" s="1414"/>
      <c r="I41" s="1411">
        <f>G56</f>
        <v>22500</v>
      </c>
      <c r="J41" s="1414"/>
      <c r="K41" s="783"/>
      <c r="L41" s="1145"/>
      <c r="M41" s="1146"/>
      <c r="N41" s="1133"/>
      <c r="O41" s="1146"/>
      <c r="P41" s="3201" t="str">
        <f>A41</f>
        <v>成交单价（元/平方米）</v>
      </c>
      <c r="Q41" s="3201"/>
      <c r="R41" s="3202">
        <f>E41</f>
        <v>18992</v>
      </c>
      <c r="S41" s="3202"/>
      <c r="T41" s="3202">
        <f>G41</f>
        <v>19000</v>
      </c>
      <c r="U41" s="3202"/>
      <c r="V41" s="3202">
        <f>I41</f>
        <v>22500</v>
      </c>
      <c r="W41" s="3202"/>
      <c r="X41" s="759"/>
      <c r="Y41" s="781"/>
      <c r="Z41" s="759"/>
      <c r="AA41" s="759"/>
      <c r="AB41" s="759"/>
      <c r="AC41" s="759"/>
    </row>
    <row r="42" spans="1:29" ht="15.75" thickBot="1">
      <c r="A42" s="486" t="s">
        <v>2657</v>
      </c>
      <c r="B42" s="487"/>
      <c r="C42" s="1415">
        <f>R43</f>
        <v>20545</v>
      </c>
      <c r="D42" s="1416"/>
      <c r="E42" s="1417">
        <f>R42</f>
        <v>19987</v>
      </c>
      <c r="F42" s="1417"/>
      <c r="G42" s="1415">
        <f>T42</f>
        <v>19588</v>
      </c>
      <c r="H42" s="1416"/>
      <c r="I42" s="1417">
        <f>V42</f>
        <v>22059</v>
      </c>
      <c r="J42" s="1416"/>
      <c r="K42" s="784"/>
      <c r="L42" s="1145"/>
      <c r="M42" s="1146"/>
      <c r="N42" s="1133"/>
      <c r="O42" s="1146"/>
      <c r="P42" s="3201" t="str">
        <f>A42</f>
        <v>比较价值（元/平方米）</v>
      </c>
      <c r="Q42" s="3201"/>
      <c r="R42" s="3202">
        <f>IF(F1="售价",ROUND(PRODUCT(R41,AA7:AA40),0),ROUND(PRODUCT(R41,AA7:AA40),1))</f>
        <v>19987</v>
      </c>
      <c r="S42" s="3202"/>
      <c r="T42" s="3202">
        <f>IF(F1="售价",ROUND(PRODUCT(T41,AB7:AB40),0),ROUND(PRODUCT(T41,AB7:AB40),1))</f>
        <v>19588</v>
      </c>
      <c r="U42" s="3202"/>
      <c r="V42" s="3202">
        <f>IF(F1="售价",ROUND(PRODUCT(V41,AC7:AC40),0),ROUND(PRODUCT(V41,AC7:AC40),1))</f>
        <v>22059</v>
      </c>
      <c r="W42" s="3202"/>
      <c r="X42" s="759"/>
      <c r="Y42" s="759"/>
      <c r="Z42" s="759"/>
      <c r="AA42" s="759"/>
      <c r="AB42" s="759"/>
      <c r="AC42" s="759"/>
    </row>
    <row r="43" spans="1:29" ht="15.75" thickBot="1">
      <c r="A43" s="492" t="s">
        <v>2658</v>
      </c>
      <c r="B43" s="493"/>
      <c r="C43" s="1419">
        <f>R43</f>
        <v>20545</v>
      </c>
      <c r="D43" s="1419"/>
      <c r="E43" s="1419"/>
      <c r="F43" s="1419"/>
      <c r="G43" s="1419"/>
      <c r="H43" s="1419"/>
      <c r="I43" s="1419"/>
      <c r="J43" s="1419"/>
      <c r="K43" s="785"/>
      <c r="L43" s="1145"/>
      <c r="M43" s="1146"/>
      <c r="N43" s="1146"/>
      <c r="O43" s="1146"/>
      <c r="P43" s="3203" t="str">
        <f>A43</f>
        <v>估价对象XX用房的比较价值（楼面单价，元/平方米）</v>
      </c>
      <c r="Q43" s="3204"/>
      <c r="R43" s="3205">
        <f>IF(F1="售价",ROUND(AVERAGE(R42:V42),0),ROUND(AVERAGE(R42:V42),1))</f>
        <v>20545</v>
      </c>
      <c r="S43" s="3205"/>
      <c r="T43" s="3205"/>
      <c r="U43" s="3205"/>
      <c r="V43" s="3205"/>
      <c r="W43" s="3205"/>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2659</v>
      </c>
      <c r="D46" s="498"/>
      <c r="E46" s="499">
        <f>IF(E41&lt;E42,E42/E41-1,E41/E42-1)</f>
        <v>5.2390480202190393E-2</v>
      </c>
      <c r="F46" s="500" t="str">
        <f>IF(OR(E46&gt;=0.3,E46&lt;=-0.3),"超过30%","")</f>
        <v/>
      </c>
      <c r="G46" s="499">
        <f>IF(G41&lt;G42,G42/G41-1,G41/G42-1)</f>
        <v>3.0947368421052612E-2</v>
      </c>
      <c r="H46" s="500" t="str">
        <f>IF(OR(G46&gt;=0.3,G46&lt;=-0.3),"超过30%","")</f>
        <v/>
      </c>
      <c r="I46" s="499">
        <f>IF(I41&lt;I42,I42/I41-1,I41/I42-1)</f>
        <v>1.9991840065279431E-2</v>
      </c>
      <c r="J46" s="500" t="str">
        <f>IF(OR(I46&gt;=0.3,I46&lt;=-0.3),"超过30%","")</f>
        <v/>
      </c>
      <c r="K46" s="1107"/>
      <c r="L46" s="1108"/>
      <c r="M46" s="1146"/>
      <c r="N46" s="1146"/>
      <c r="O46" s="1146"/>
    </row>
    <row r="47" spans="1:29" ht="13.5" customHeight="1">
      <c r="A47" s="1146"/>
      <c r="B47" s="1146"/>
      <c r="C47" s="497" t="s">
        <v>2660</v>
      </c>
      <c r="D47" s="501"/>
      <c r="E47" s="499">
        <f>IF(E42&lt;G42,G42/E42-1,E42/G42-1)</f>
        <v>2.0369614049418061E-2</v>
      </c>
      <c r="F47" s="500" t="str">
        <f>IF(OR(E47&gt;=0.2,E47&lt;=-0.2),"超过20%","")</f>
        <v/>
      </c>
      <c r="G47" s="499">
        <f>IF(G42&lt;I42,I42/G42-1,G42/I42-1)</f>
        <v>0.12614866244639567</v>
      </c>
      <c r="H47" s="500" t="str">
        <f>IF(OR(G47&gt;=0.2,G47&lt;=-0.2),"超过20%","")</f>
        <v/>
      </c>
      <c r="I47" s="499">
        <f>IF(I42&lt;E42,E42/I42-1,I42/E42-1)</f>
        <v>0.10366738379946971</v>
      </c>
      <c r="J47" s="500" t="str">
        <f>IF(OR(I47&gt;=0.2,I47&lt;=-0.2),"超过20%","")</f>
        <v/>
      </c>
      <c r="K47" s="1107"/>
      <c r="L47" s="1108"/>
      <c r="M47" s="1146"/>
      <c r="N47" s="1146"/>
      <c r="O47" s="1146"/>
    </row>
    <row r="48" spans="1:29" s="502" customFormat="1" ht="13.5" customHeight="1">
      <c r="A48" s="1147"/>
      <c r="B48" s="1147"/>
      <c r="C48" s="497" t="s">
        <v>2661</v>
      </c>
      <c r="D48" s="501"/>
      <c r="E48" s="499">
        <f>IF(E41&lt;G41,G41/E41-1,E41/G41-1)</f>
        <v>4.212299915753448E-4</v>
      </c>
      <c r="F48" s="500" t="str">
        <f>IF(OR(E48&gt;=0.3,E48&lt;=-0.3),"超过30%","")</f>
        <v/>
      </c>
      <c r="G48" s="499">
        <f>IF(G41&lt;I41,I41/G41-1,G41/I41-1)</f>
        <v>0.18421052631578938</v>
      </c>
      <c r="H48" s="500" t="str">
        <f>IF(OR(G48&gt;=0.3,G48&lt;=-0.3),"超过30%","")</f>
        <v/>
      </c>
      <c r="I48" s="499">
        <f>IF(I41&lt;E41,E41/I41-1,I41/E41-1)</f>
        <v>0.1847093513058129</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2662</v>
      </c>
      <c r="B51" s="759"/>
      <c r="C51" s="764"/>
      <c r="D51" s="764"/>
      <c r="E51" s="764"/>
      <c r="F51" s="765"/>
      <c r="G51" s="765"/>
      <c r="H51" s="764"/>
      <c r="I51" s="764"/>
      <c r="J51" s="764"/>
      <c r="K51" s="1162"/>
      <c r="L51" s="1163"/>
      <c r="M51" s="1161"/>
      <c r="N51" s="1161"/>
      <c r="O51" s="1161"/>
      <c r="P51" s="503"/>
      <c r="Q51" s="504"/>
    </row>
    <row r="52" spans="1:17" s="508" customFormat="1" ht="15">
      <c r="A52" s="505" t="s">
        <v>2536</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v>0.95</v>
      </c>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v>4500</v>
      </c>
      <c r="F55" s="523">
        <v>3000</v>
      </c>
      <c r="G55" s="523">
        <v>500</v>
      </c>
      <c r="H55" s="523"/>
      <c r="I55" s="523"/>
      <c r="J55" s="523"/>
      <c r="K55" s="523"/>
      <c r="L55" s="524"/>
      <c r="M55" s="525"/>
      <c r="N55" s="1153"/>
      <c r="O55" s="1153"/>
      <c r="P55" s="526"/>
      <c r="Q55" s="504"/>
    </row>
    <row r="56" spans="1:17" s="117" customFormat="1" ht="15.75" thickBot="1">
      <c r="A56" s="521"/>
      <c r="B56" s="510"/>
      <c r="C56" s="639">
        <v>100</v>
      </c>
      <c r="D56" s="512"/>
      <c r="E56" s="512">
        <f>ROUND(E55*10000*$D$54/E30,0)</f>
        <v>18992</v>
      </c>
      <c r="F56" s="512">
        <f>ROUND(F55*10000*$D$54/G30,0)</f>
        <v>19000</v>
      </c>
      <c r="G56" s="512">
        <f>ROUND(G55*10000*0.9/I30,0)</f>
        <v>22500</v>
      </c>
      <c r="H56" s="512"/>
      <c r="I56" s="512"/>
      <c r="J56" s="512"/>
      <c r="K56" s="512"/>
      <c r="L56" s="512"/>
      <c r="M56" s="514"/>
      <c r="N56" s="1153"/>
      <c r="O56" s="1153"/>
      <c r="P56" s="504"/>
      <c r="Q56" s="504"/>
    </row>
    <row r="57" spans="1:17">
      <c r="A57" s="527" t="s">
        <v>2576</v>
      </c>
      <c r="B57" s="528" t="s">
        <v>2542</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2546</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v>4</v>
      </c>
      <c r="H62" s="549">
        <v>5</v>
      </c>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4"/>
      <c r="O70" s="1154"/>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5"/>
      <c r="O71" s="1155"/>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4"/>
      <c r="O72" s="1154"/>
      <c r="P72" s="45"/>
      <c r="Q72" s="504"/>
    </row>
    <row r="73" spans="1:17" ht="15.75" thickBot="1">
      <c r="A73" s="534"/>
      <c r="B73" s="543"/>
      <c r="C73" s="544">
        <v>100</v>
      </c>
      <c r="D73" s="544">
        <f>C73-$K17</f>
        <v>99</v>
      </c>
      <c r="E73" s="544">
        <f>D73-$K17</f>
        <v>98</v>
      </c>
      <c r="F73" s="544">
        <f>E73-$K17</f>
        <v>97</v>
      </c>
      <c r="G73" s="544">
        <f>F73-$K17</f>
        <v>96</v>
      </c>
      <c r="H73" s="544"/>
      <c r="I73" s="544"/>
      <c r="J73" s="544"/>
      <c r="K73" s="544"/>
      <c r="L73" s="544"/>
      <c r="M73" s="545"/>
      <c r="N73" s="1155"/>
      <c r="O73" s="1155"/>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4"/>
      <c r="O74" s="1154"/>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5"/>
      <c r="O75" s="1155"/>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4"/>
      <c r="O78" s="1154"/>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2"/>
      <c r="B87" s="569"/>
      <c r="C87" s="570"/>
      <c r="D87" s="570"/>
      <c r="E87" s="570"/>
      <c r="F87" s="570"/>
      <c r="G87" s="591"/>
      <c r="H87" s="591"/>
      <c r="I87" s="591"/>
      <c r="J87" s="591"/>
      <c r="K87" s="591"/>
      <c r="L87" s="591"/>
      <c r="M87" s="592"/>
      <c r="N87" s="1155"/>
      <c r="O87" s="1155"/>
      <c r="P87" s="45"/>
      <c r="Q87" s="504"/>
    </row>
    <row r="88" spans="1:17">
      <c r="A88" s="527" t="s">
        <v>2551</v>
      </c>
      <c r="B88" s="528" t="s">
        <v>2600</v>
      </c>
      <c r="C88" s="2986" t="s">
        <v>3121</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5"/>
      <c r="O89" s="1155"/>
      <c r="P89" s="45"/>
      <c r="Q89" s="504"/>
    </row>
    <row r="90" spans="1:17" ht="29.25" thickTop="1">
      <c r="A90" s="534"/>
      <c r="B90" s="538" t="s">
        <v>2601</v>
      </c>
      <c r="C90" s="578" t="str">
        <f>C91&amp;"(含)"&amp;"-"&amp;D91</f>
        <v>0(含)-300</v>
      </c>
      <c r="D90" s="578" t="str">
        <f t="shared" ref="D90:L90" si="20">D91&amp;"(含)"&amp;"-"&amp;E91</f>
        <v>300(含)-500</v>
      </c>
      <c r="E90" s="578" t="str">
        <f t="shared" si="20"/>
        <v>500(含)-1000</v>
      </c>
      <c r="F90" s="578" t="str">
        <f t="shared" si="20"/>
        <v>1000(含)-1500</v>
      </c>
      <c r="G90" s="578" t="str">
        <f t="shared" si="20"/>
        <v>1500(含)-2000</v>
      </c>
      <c r="H90" s="578" t="str">
        <f t="shared" si="20"/>
        <v>2000(含)-5000</v>
      </c>
      <c r="I90" s="578" t="str">
        <f t="shared" si="20"/>
        <v>5000(含)-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300</v>
      </c>
      <c r="E91" s="595">
        <v>500</v>
      </c>
      <c r="F91" s="595">
        <v>1000</v>
      </c>
      <c r="G91" s="595">
        <v>1500</v>
      </c>
      <c r="H91" s="595">
        <v>2000</v>
      </c>
      <c r="I91" s="595">
        <v>5000</v>
      </c>
      <c r="J91" s="596"/>
      <c r="K91" s="596"/>
      <c r="L91" s="597"/>
      <c r="M91" s="598"/>
      <c r="N91" s="1156"/>
      <c r="O91" s="1156"/>
      <c r="P91" s="558"/>
      <c r="Q91" s="559"/>
    </row>
    <row r="92" spans="1:17" s="471" customFormat="1" ht="15.75" thickBot="1">
      <c r="A92" s="553"/>
      <c r="B92" s="543"/>
      <c r="C92" s="560">
        <f>D92-2</f>
        <v>98</v>
      </c>
      <c r="D92" s="536">
        <v>100</v>
      </c>
      <c r="E92" s="536">
        <f>D92-2</f>
        <v>98</v>
      </c>
      <c r="F92" s="536">
        <f t="shared" ref="F92:I92" si="21">E92-2</f>
        <v>96</v>
      </c>
      <c r="G92" s="536">
        <f t="shared" si="21"/>
        <v>94</v>
      </c>
      <c r="H92" s="536">
        <f t="shared" si="21"/>
        <v>92</v>
      </c>
      <c r="I92" s="536">
        <f t="shared" si="21"/>
        <v>90</v>
      </c>
      <c r="J92" s="536"/>
      <c r="K92" s="536"/>
      <c r="L92" s="536"/>
      <c r="M92" s="537"/>
      <c r="N92" s="1155"/>
      <c r="O92" s="1155"/>
      <c r="P92" s="558"/>
      <c r="Q92" s="559"/>
    </row>
    <row r="93" spans="1:17" ht="15" thickTop="1">
      <c r="A93" s="599"/>
      <c r="B93" s="538" t="s">
        <v>2602</v>
      </c>
      <c r="C93" s="2987" t="s">
        <v>3122</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2">C94-$K31</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5"/>
      <c r="O94" s="1155"/>
      <c r="P94" s="45"/>
      <c r="Q94" s="504"/>
    </row>
    <row r="95" spans="1:17" ht="15" thickTop="1">
      <c r="A95" s="599"/>
      <c r="B95" s="538" t="s">
        <v>2604</v>
      </c>
      <c r="C95" s="2987" t="s">
        <v>3124</v>
      </c>
      <c r="D95" s="2987" t="s">
        <v>3126</v>
      </c>
      <c r="E95" s="2987" t="s">
        <v>3128</v>
      </c>
      <c r="F95" s="2988" t="s">
        <v>3130</v>
      </c>
      <c r="G95" s="583"/>
      <c r="H95" s="583"/>
      <c r="I95" s="583"/>
      <c r="J95" s="583"/>
      <c r="K95" s="584"/>
      <c r="L95" s="585"/>
      <c r="M95" s="586"/>
      <c r="N95" s="1154"/>
      <c r="O95" s="1154"/>
      <c r="P95" s="45"/>
      <c r="Q95" s="504"/>
    </row>
    <row r="96" spans="1:17" ht="15.75" thickBot="1">
      <c r="A96" s="534"/>
      <c r="B96" s="543"/>
      <c r="C96" s="544">
        <v>100</v>
      </c>
      <c r="D96" s="544">
        <f t="shared" ref="D96:M96" si="23">C96-$K32</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5">
        <f t="shared" si="23"/>
        <v>90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4">D99+$K33</f>
        <v>102</v>
      </c>
      <c r="F99" s="544">
        <f t="shared" si="24"/>
        <v>103</v>
      </c>
      <c r="G99" s="544">
        <f t="shared" si="24"/>
        <v>104</v>
      </c>
      <c r="H99" s="544">
        <f t="shared" si="24"/>
        <v>105</v>
      </c>
      <c r="I99" s="544">
        <f t="shared" si="24"/>
        <v>106</v>
      </c>
      <c r="J99" s="544">
        <f t="shared" si="24"/>
        <v>107</v>
      </c>
      <c r="K99" s="544">
        <f t="shared" si="24"/>
        <v>108</v>
      </c>
      <c r="L99" s="544">
        <f t="shared" si="24"/>
        <v>109</v>
      </c>
      <c r="M99" s="544">
        <f t="shared" si="24"/>
        <v>110</v>
      </c>
      <c r="N99" s="1155"/>
      <c r="O99" s="1155"/>
      <c r="P99" s="45"/>
      <c r="Q99" s="504"/>
    </row>
    <row r="100" spans="1:17" s="471" customFormat="1" ht="15" thickTop="1">
      <c r="A100" s="593"/>
      <c r="B100" s="538" t="s">
        <v>2605</v>
      </c>
      <c r="C100" s="2987" t="s">
        <v>3132</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98</v>
      </c>
      <c r="E101" s="544">
        <f t="shared" ref="E101:M101" si="25">D101-$K34</f>
        <v>96</v>
      </c>
      <c r="F101" s="544">
        <f t="shared" si="25"/>
        <v>94</v>
      </c>
      <c r="G101" s="544">
        <f t="shared" si="25"/>
        <v>92</v>
      </c>
      <c r="H101" s="544">
        <f t="shared" si="25"/>
        <v>90</v>
      </c>
      <c r="I101" s="544">
        <f t="shared" si="25"/>
        <v>88</v>
      </c>
      <c r="J101" s="544">
        <f t="shared" si="25"/>
        <v>86</v>
      </c>
      <c r="K101" s="544">
        <f t="shared" si="25"/>
        <v>84</v>
      </c>
      <c r="L101" s="544">
        <f t="shared" si="25"/>
        <v>82</v>
      </c>
      <c r="M101" s="544">
        <f t="shared" si="25"/>
        <v>80</v>
      </c>
      <c r="N101" s="1156"/>
      <c r="O101" s="1156"/>
      <c r="P101" s="558"/>
      <c r="Q101" s="559"/>
    </row>
    <row r="102" spans="1:17" ht="15" thickTop="1">
      <c r="A102" s="599"/>
      <c r="B102" s="538" t="s">
        <v>2606</v>
      </c>
      <c r="C102" s="554" t="s">
        <v>3119</v>
      </c>
      <c r="D102" s="554" t="s">
        <v>3133</v>
      </c>
      <c r="E102" s="554" t="s">
        <v>3134</v>
      </c>
      <c r="F102" s="554" t="s">
        <v>3135</v>
      </c>
      <c r="G102" s="554" t="s">
        <v>3136</v>
      </c>
      <c r="H102" s="583"/>
      <c r="I102" s="583"/>
      <c r="J102" s="583"/>
      <c r="K102" s="584"/>
      <c r="L102" s="585"/>
      <c r="M102" s="586"/>
      <c r="N102" s="1154"/>
      <c r="O102" s="1154"/>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5"/>
      <c r="O103" s="1155"/>
      <c r="P103" s="45"/>
      <c r="Q103" s="504"/>
    </row>
    <row r="104" spans="1:17" ht="15" thickTop="1">
      <c r="A104" s="599"/>
      <c r="B104" s="538" t="s">
        <v>2608</v>
      </c>
      <c r="C104" s="554" t="s">
        <v>3123</v>
      </c>
      <c r="D104" s="554" t="s">
        <v>3125</v>
      </c>
      <c r="E104" s="554" t="s">
        <v>3127</v>
      </c>
      <c r="F104" s="554" t="s">
        <v>3129</v>
      </c>
      <c r="G104" s="554"/>
      <c r="H104" s="583"/>
      <c r="I104" s="583"/>
      <c r="J104" s="583"/>
      <c r="K104" s="584"/>
      <c r="L104" s="585"/>
      <c r="M104" s="586"/>
      <c r="N104" s="1154"/>
      <c r="O104" s="1154"/>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5"/>
      <c r="O105" s="1155"/>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5"/>
      <c r="O106" s="1155"/>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3" priority="16" stopIfTrue="1" operator="containsText" text="超过">
      <formula>NOT(ISERROR(SEARCH("超过",F46)))</formula>
    </cfRule>
  </conditionalFormatting>
  <conditionalFormatting sqref="H48">
    <cfRule type="containsText" dxfId="142" priority="15" stopIfTrue="1" operator="containsText" text="超过">
      <formula>NOT(ISERROR(SEARCH("超过",H48)))</formula>
    </cfRule>
  </conditionalFormatting>
  <conditionalFormatting sqref="F48">
    <cfRule type="containsText" dxfId="141" priority="14" stopIfTrue="1" operator="containsText" text="超过">
      <formula>NOT(ISERROR(SEARCH("超过",F48)))</formula>
    </cfRule>
  </conditionalFormatting>
  <conditionalFormatting sqref="F47 H47">
    <cfRule type="containsText" dxfId="140" priority="13" stopIfTrue="1" operator="containsText" text="超过">
      <formula>NOT(ISERROR(SEARCH("超过",F47)))</formula>
    </cfRule>
  </conditionalFormatting>
  <conditionalFormatting sqref="E46">
    <cfRule type="expression" dxfId="139" priority="12" stopIfTrue="1">
      <formula>$F$46="超过30%"</formula>
    </cfRule>
  </conditionalFormatting>
  <conditionalFormatting sqref="E47">
    <cfRule type="expression" dxfId="138" priority="11" stopIfTrue="1">
      <formula>$F$47="超过20%"</formula>
    </cfRule>
  </conditionalFormatting>
  <conditionalFormatting sqref="E48">
    <cfRule type="expression" dxfId="137" priority="10" stopIfTrue="1">
      <formula>$F$48="超过30%"</formula>
    </cfRule>
  </conditionalFormatting>
  <conditionalFormatting sqref="G48">
    <cfRule type="expression" dxfId="136" priority="9" stopIfTrue="1">
      <formula>$H$48="超过30%"</formula>
    </cfRule>
  </conditionalFormatting>
  <conditionalFormatting sqref="G46">
    <cfRule type="expression" dxfId="135" priority="8" stopIfTrue="1">
      <formula>$H$46="超过30%"</formula>
    </cfRule>
  </conditionalFormatting>
  <conditionalFormatting sqref="G47">
    <cfRule type="expression" dxfId="134" priority="7" stopIfTrue="1">
      <formula>$H$47="超过20%"</formula>
    </cfRule>
  </conditionalFormatting>
  <conditionalFormatting sqref="J46">
    <cfRule type="containsText" dxfId="133" priority="6" stopIfTrue="1" operator="containsText" text="超过">
      <formula>NOT(ISERROR(SEARCH("超过",J46)))</formula>
    </cfRule>
  </conditionalFormatting>
  <conditionalFormatting sqref="J48">
    <cfRule type="containsText" dxfId="132" priority="5" stopIfTrue="1" operator="containsText" text="超过">
      <formula>NOT(ISERROR(SEARCH("超过",J48)))</formula>
    </cfRule>
  </conditionalFormatting>
  <conditionalFormatting sqref="J47">
    <cfRule type="containsText" dxfId="131" priority="4" stopIfTrue="1" operator="containsText" text="超过">
      <formula>NOT(ISERROR(SEARCH("超过",J47)))</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C43" sqref="C43"/>
    </sheetView>
  </sheetViews>
  <sheetFormatPr defaultRowHeight="12.75"/>
  <cols>
    <col min="1" max="1" width="9" style="302" customWidth="1"/>
    <col min="2" max="2" width="20.625" style="707" customWidth="1"/>
    <col min="3" max="3" width="15.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3058</v>
      </c>
      <c r="D1" s="1822" t="s">
        <v>70</v>
      </c>
      <c r="E1" s="1823" t="s">
        <v>1387</v>
      </c>
      <c r="F1" s="1285">
        <f ca="1">J53</f>
        <v>43.03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1618</v>
      </c>
      <c r="C2" s="1847" t="s">
        <v>1516</v>
      </c>
      <c r="D2" s="1847"/>
      <c r="E2" s="1848"/>
      <c r="F2" s="1849"/>
      <c r="G2" s="1850"/>
      <c r="H2" s="1842"/>
      <c r="I2" s="1842"/>
      <c r="J2" s="1842"/>
      <c r="K2" s="1843"/>
      <c r="L2" s="1842"/>
      <c r="M2" s="1842"/>
    </row>
    <row r="3" spans="1:37" ht="18" customHeight="1" thickBot="1">
      <c r="A3" s="1851" t="s">
        <v>1517</v>
      </c>
      <c r="B3" s="1852">
        <f ca="1">IF(ISERROR(B2*10000/F43),0,ROUND(B2*10000/F43,0))</f>
        <v>12981</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101</v>
      </c>
      <c r="D5" s="1824" t="s">
        <v>1402</v>
      </c>
      <c r="E5" s="1295"/>
      <c r="F5" s="1296"/>
      <c r="G5" s="1853"/>
      <c r="H5" s="344">
        <v>1</v>
      </c>
      <c r="I5" s="345" t="s">
        <v>1401</v>
      </c>
      <c r="J5" s="1294">
        <f ca="1">J6+J10+J12</f>
        <v>0</v>
      </c>
      <c r="K5" s="1824" t="s">
        <v>1402</v>
      </c>
      <c r="L5" s="1295"/>
      <c r="M5" s="1296"/>
    </row>
    <row r="6" spans="1:37" ht="18" customHeight="1">
      <c r="A6" s="1293" t="s">
        <v>1035</v>
      </c>
      <c r="B6" s="3244" t="s">
        <v>1403</v>
      </c>
      <c r="C6" s="1298">
        <f ca="1">ROUND(F6*F8*F7*(1-F9)/10000,0)</f>
        <v>101</v>
      </c>
      <c r="D6" s="164" t="s">
        <v>3022</v>
      </c>
      <c r="E6" s="347" t="s">
        <v>1405</v>
      </c>
      <c r="F6" s="348">
        <f ca="1">INDIRECT("'数据-取费表'!u"&amp;$G$1)</f>
        <v>2.6</v>
      </c>
      <c r="G6" s="1853"/>
      <c r="H6" s="1293" t="s">
        <v>1035</v>
      </c>
      <c r="I6" s="3244" t="s">
        <v>1403</v>
      </c>
      <c r="J6" s="346">
        <f ca="1">ROUND(M6*M8*M7*(1-M9)/10000,0)</f>
        <v>0</v>
      </c>
      <c r="K6" s="164" t="s">
        <v>3021</v>
      </c>
      <c r="L6" s="347" t="s">
        <v>1405</v>
      </c>
      <c r="M6" s="348">
        <f ca="1">INDIRECT("'数据-取费表'!z"&amp;$G$1)</f>
        <v>0</v>
      </c>
    </row>
    <row r="7" spans="1:37" ht="18" customHeight="1">
      <c r="A7" s="1297"/>
      <c r="B7" s="3245"/>
      <c r="C7" s="1299"/>
      <c r="D7" s="352"/>
      <c r="E7" s="1300" t="s">
        <v>1406</v>
      </c>
      <c r="F7" s="348">
        <f ca="1">IF(INDIRECT("'数据-取费表'!ah"&amp;$G$1)="",INDIRECT("'数据-取费表'!k"&amp;$G$1),INDIRECT("'数据-取费表'!ah"&amp;$G$1))</f>
        <v>1246.4000000000001</v>
      </c>
      <c r="G7" s="1853"/>
      <c r="H7" s="349"/>
      <c r="I7" s="3245"/>
      <c r="J7" s="351"/>
      <c r="K7" s="352"/>
      <c r="L7" s="347" t="s">
        <v>1406</v>
      </c>
      <c r="M7" s="348">
        <f ca="1">F7</f>
        <v>1246.4000000000001</v>
      </c>
    </row>
    <row r="8" spans="1:37" ht="18" customHeight="1">
      <c r="A8" s="349"/>
      <c r="B8" s="3245"/>
      <c r="C8" s="351"/>
      <c r="D8" s="352"/>
      <c r="E8" s="347" t="s">
        <v>1407</v>
      </c>
      <c r="F8" s="348">
        <f ca="1">INDIRECT("'数据-取费表'!ai"&amp;$G$1)</f>
        <v>365</v>
      </c>
      <c r="G8" s="1853"/>
      <c r="H8" s="349"/>
      <c r="I8" s="3245"/>
      <c r="J8" s="351"/>
      <c r="K8" s="352"/>
      <c r="L8" s="347" t="s">
        <v>1407</v>
      </c>
      <c r="M8" s="348">
        <f ca="1">INDIRECT("'数据-取费表'!ai"&amp;$G$1)</f>
        <v>365</v>
      </c>
    </row>
    <row r="9" spans="1:37" ht="18" customHeight="1">
      <c r="A9" s="349"/>
      <c r="B9" s="3246"/>
      <c r="C9" s="351"/>
      <c r="D9" s="352"/>
      <c r="E9" s="347" t="s">
        <v>1408</v>
      </c>
      <c r="F9" s="357">
        <f ca="1">INDIRECT("'数据-取费表'!w"&amp;$G$1)</f>
        <v>0.15</v>
      </c>
      <c r="G9" s="1853"/>
      <c r="H9" s="349"/>
      <c r="I9" s="3246"/>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3023</v>
      </c>
      <c r="E10" s="358" t="s">
        <v>1411</v>
      </c>
      <c r="F10" s="2966" t="s">
        <v>3077</v>
      </c>
      <c r="G10" s="1853"/>
      <c r="H10" s="1293" t="s">
        <v>1039</v>
      </c>
      <c r="I10" s="1825" t="s">
        <v>1409</v>
      </c>
      <c r="J10" s="346">
        <f ca="1">ROUND(IF(M10="押一",M6*M8*M7/12*M11,IF(M10="押二",M6*M8*M7/12*2*M11,IF(M10="押三",M6*M8*M7/12*3*M11,J11*M11)))/10000,0)</f>
        <v>0</v>
      </c>
      <c r="K10" s="1826" t="s">
        <v>3024</v>
      </c>
      <c r="L10" s="358" t="s">
        <v>1411</v>
      </c>
      <c r="M10" s="1368" t="s">
        <v>3077</v>
      </c>
    </row>
    <row r="11" spans="1:37" ht="18" customHeight="1">
      <c r="A11" s="353"/>
      <c r="B11" s="1827" t="s">
        <v>1388</v>
      </c>
      <c r="C11" s="299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509</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374</v>
      </c>
      <c r="D14" s="1802" t="s">
        <v>1418</v>
      </c>
      <c r="E14" s="1796"/>
      <c r="F14" s="364"/>
      <c r="G14" s="1853"/>
      <c r="H14" s="1203" t="s">
        <v>1035</v>
      </c>
      <c r="I14" s="347" t="s">
        <v>1419</v>
      </c>
      <c r="J14" s="24">
        <f ca="1">C29</f>
        <v>536</v>
      </c>
      <c r="K14" s="15"/>
      <c r="L14" s="982"/>
      <c r="M14" s="983"/>
    </row>
    <row r="15" spans="1:37" s="1860" customFormat="1" ht="18" customHeight="1" thickBot="1">
      <c r="A15" s="1203" t="s">
        <v>1036</v>
      </c>
      <c r="B15" s="347" t="s">
        <v>1420</v>
      </c>
      <c r="C15" s="24">
        <f ca="1">ROUND(C14*F15,0)</f>
        <v>19</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13</v>
      </c>
      <c r="K16" s="1339" t="s">
        <v>1425</v>
      </c>
      <c r="L16" s="1340"/>
      <c r="M16" s="1296"/>
    </row>
    <row r="17" spans="1:37" s="1860" customFormat="1" ht="18" customHeight="1">
      <c r="A17" s="1203" t="s">
        <v>1390</v>
      </c>
      <c r="B17" s="347" t="s">
        <v>1426</v>
      </c>
      <c r="C17" s="24">
        <f ca="1">ROUND(F17*(F43+INDIRECT("'数据-取费表'!S"&amp;$G$1))/10000,0)</f>
        <v>25</v>
      </c>
      <c r="D17" s="347" t="s">
        <v>1427</v>
      </c>
      <c r="E17" s="347" t="s">
        <v>1428</v>
      </c>
      <c r="F17" s="26">
        <f>'数据-取费表'!B35</f>
        <v>200</v>
      </c>
      <c r="G17" s="1856"/>
      <c r="H17" s="1203" t="s">
        <v>1035</v>
      </c>
      <c r="I17" s="347" t="s">
        <v>1429</v>
      </c>
      <c r="J17" s="24">
        <f ca="1">ROUND(IF(项目基本情况!B11="自然人",J5*M17,J18+J19+J20),1)</f>
        <v>4.5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6</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424</v>
      </c>
      <c r="D19" s="140" t="s">
        <v>1436</v>
      </c>
      <c r="E19" s="1820"/>
      <c r="F19" s="26"/>
      <c r="G19" s="1853"/>
      <c r="H19" s="1203" t="s">
        <v>1036</v>
      </c>
      <c r="I19" s="347" t="s">
        <v>1437</v>
      </c>
      <c r="J19" s="24">
        <f ca="1">IF(K19="按租金收入计税",ROUND(J5*M19,2),ROUND(C29*M19*0.7,2))</f>
        <v>4.5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13</v>
      </c>
      <c r="D20" s="369" t="s">
        <v>1440</v>
      </c>
      <c r="E20" s="347" t="s">
        <v>1422</v>
      </c>
      <c r="F20" s="367">
        <f>'数据-取费表'!B37</f>
        <v>0.03</v>
      </c>
      <c r="G20" s="1856"/>
      <c r="H20" s="1203" t="s">
        <v>1389</v>
      </c>
      <c r="I20" s="164" t="s">
        <v>1441</v>
      </c>
      <c r="J20" s="25">
        <f ca="1">ROUND(M20*M21/10000,2)</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8</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-13</v>
      </c>
      <c r="K25" s="1347" t="s">
        <v>1464</v>
      </c>
      <c r="L25" s="1348"/>
      <c r="M25" s="1349"/>
    </row>
    <row r="26" spans="1:37">
      <c r="A26" s="1203" t="s">
        <v>1034</v>
      </c>
      <c r="B26" s="347" t="s">
        <v>1465</v>
      </c>
      <c r="C26" s="24">
        <f ca="1">ROUND((C19+C20)*F26,0)</f>
        <v>44</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536</v>
      </c>
      <c r="D29" s="1344"/>
      <c r="E29" s="1342"/>
      <c r="F29" s="1345"/>
      <c r="G29" s="1856"/>
      <c r="H29" s="380" t="s">
        <v>1033</v>
      </c>
      <c r="I29" s="381" t="s">
        <v>1479</v>
      </c>
      <c r="J29" s="382">
        <f ca="1">ROUND(J26/(1+F40)^F41,0)</f>
        <v>0</v>
      </c>
      <c r="K29" s="383" t="s">
        <v>1480</v>
      </c>
      <c r="L29" s="384"/>
      <c r="M29" s="385">
        <f ca="1">INDIRECT("'数据-取费表'!k"&amp;$G$1)</f>
        <v>1246.4000000000001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21</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9.8000000000000007</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5.29</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4.5</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ROUND(C29*F36,1)</f>
        <v>8</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0.8</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2</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80</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1618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43.03</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12981</v>
      </c>
      <c r="D43" s="383" t="s">
        <v>1488</v>
      </c>
      <c r="E43" s="384" t="s">
        <v>1489</v>
      </c>
      <c r="F43" s="385">
        <f ca="1">INDIRECT("'数据-取费表'!k"&amp;$G$1)</f>
        <v>1246.4000000000001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-1817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3078</v>
      </c>
      <c r="K47" s="1884" t="s">
        <v>1527</v>
      </c>
      <c r="L47" s="1885">
        <f ca="1">INDIRECT("'数据-取费表'!d"&amp;$G$1)</f>
        <v>50</v>
      </c>
      <c r="M47" s="1840" t="str">
        <f>IF(ISNUMBER(FIND("住宅",C1)),"住宅","非住宅")</f>
        <v>非住宅</v>
      </c>
      <c r="O47" s="1886" t="s">
        <v>1040</v>
      </c>
      <c r="P47" s="1887" t="s">
        <v>1528</v>
      </c>
      <c r="Q47" s="1888">
        <f ca="1">C40+J29</f>
        <v>1618</v>
      </c>
      <c r="R47" s="1888" t="s">
        <v>1529</v>
      </c>
    </row>
    <row r="48" spans="1:18" s="1844" customFormat="1" ht="28.5" thickBot="1">
      <c r="A48" s="1362" t="s">
        <v>1135</v>
      </c>
      <c r="B48" s="345" t="s">
        <v>1401</v>
      </c>
      <c r="C48" s="1819">
        <f ca="1">C49+C53+C55</f>
        <v>0</v>
      </c>
      <c r="D48" s="1364"/>
      <c r="E48" s="1365"/>
      <c r="F48" s="1183"/>
      <c r="G48" s="792"/>
      <c r="H48" s="793"/>
      <c r="I48" s="1889" t="s">
        <v>1530</v>
      </c>
      <c r="J48" s="1890" t="s">
        <v>3079</v>
      </c>
      <c r="K48" s="1891" t="s">
        <v>1531</v>
      </c>
      <c r="L48" s="1892">
        <f ca="1">INDIRECT("'数据-取费表'!f"&amp;$G$1)</f>
        <v>43.03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3025</v>
      </c>
      <c r="E49" s="1832" t="s">
        <v>1491</v>
      </c>
      <c r="F49" s="1283">
        <f ca="1">M6</f>
        <v>0</v>
      </c>
      <c r="G49" s="1893"/>
      <c r="H49" s="793"/>
      <c r="I49" s="1889" t="s">
        <v>1534</v>
      </c>
      <c r="J49" s="1894">
        <v>2015</v>
      </c>
      <c r="K49" s="1891" t="s">
        <v>1535</v>
      </c>
      <c r="L49" s="1895"/>
      <c r="O49" s="1896" t="s">
        <v>1042</v>
      </c>
      <c r="P49" s="1887" t="s">
        <v>1536</v>
      </c>
      <c r="Q49" s="1888">
        <f ca="1">C29</f>
        <v>536</v>
      </c>
      <c r="R49" s="1888" t="s">
        <v>1529</v>
      </c>
    </row>
    <row r="50" spans="1:18" s="1844" customFormat="1" ht="13.5" thickBot="1">
      <c r="A50" s="1197"/>
      <c r="B50" s="1200"/>
      <c r="C50" s="1370"/>
      <c r="D50" s="1174"/>
      <c r="E50" s="1279" t="s">
        <v>1406</v>
      </c>
      <c r="F50" s="1280">
        <f ca="1">F7</f>
        <v>1246.4000000000001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57</v>
      </c>
      <c r="K51" s="1902" t="s">
        <v>1541</v>
      </c>
      <c r="L51" s="1903">
        <f ca="1">ROUND(-PV(INDIRECT("'数据-取费表'!h"&amp;$G$1),L48,(C39-C13*C76),0),0)</f>
        <v>645</v>
      </c>
      <c r="M51" s="1904"/>
      <c r="O51" s="1896" t="s">
        <v>1044</v>
      </c>
      <c r="P51" s="1887" t="s">
        <v>1542</v>
      </c>
      <c r="Q51" s="1899">
        <f>J52</f>
        <v>0.09</v>
      </c>
      <c r="R51" s="1888"/>
    </row>
    <row r="52" spans="1:18" s="1844" customFormat="1" ht="13.5" thickBot="1">
      <c r="A52" s="1198"/>
      <c r="B52" s="1200"/>
      <c r="C52" s="1201"/>
      <c r="D52" s="1174"/>
      <c r="E52" s="1202" t="s">
        <v>1408</v>
      </c>
      <c r="F52" s="1277">
        <f ca="1">M9</f>
        <v>0</v>
      </c>
      <c r="I52" s="1905" t="s">
        <v>1543</v>
      </c>
      <c r="J52" s="1906">
        <v>0.09</v>
      </c>
      <c r="K52" s="1905" t="s">
        <v>1544</v>
      </c>
      <c r="L52" s="1906"/>
      <c r="O52" s="1896" t="s">
        <v>1045</v>
      </c>
      <c r="P52" s="1887" t="s">
        <v>1545</v>
      </c>
      <c r="Q52" s="1888">
        <f ca="1">J53</f>
        <v>43.03</v>
      </c>
      <c r="R52" s="1888" t="s">
        <v>1546</v>
      </c>
    </row>
    <row r="53" spans="1:18" s="1844" customFormat="1" ht="24.75" thickBot="1">
      <c r="A53" s="1407" t="s">
        <v>1137</v>
      </c>
      <c r="B53" s="1833" t="s">
        <v>1409</v>
      </c>
      <c r="C53" s="361">
        <f ca="1">ROUND(IF(F53="押一",F49*F51*F50/12*F11,IF(F53="押二",F49*F51*F50/12*2*F11,IF(F53="押三",F49*F51*F50/12*3*F11,C54*F11)))/10000,0)</f>
        <v>0</v>
      </c>
      <c r="D53" s="1826" t="s">
        <v>3023</v>
      </c>
      <c r="E53" s="358" t="s">
        <v>1411</v>
      </c>
      <c r="F53" s="1368" t="s">
        <v>3077</v>
      </c>
      <c r="I53" s="1907" t="s">
        <v>1547</v>
      </c>
      <c r="J53" s="1908">
        <f ca="1">IF(M47="住宅",J51,IF(D1="——",MIN(J51,L48),IF(D1="在建（套用方法）",MIN(J51,L48-'数据-取费表'!B24),IF(D1="土地（套用方法）",MIN(J51,L48-'数据-取费表'!B20)))))</f>
        <v>43.03</v>
      </c>
      <c r="K53" s="3242" t="s">
        <v>1548</v>
      </c>
      <c r="L53" s="3243"/>
      <c r="O53" s="1886" t="s">
        <v>1046</v>
      </c>
      <c r="P53" s="1887" t="s">
        <v>1549</v>
      </c>
      <c r="Q53" s="1888">
        <f ca="1">Q47+Q48</f>
        <v>1618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509</v>
      </c>
      <c r="D56" s="1916"/>
      <c r="E56" s="1917"/>
      <c r="F56" s="1909"/>
      <c r="I56" s="1918" t="s">
        <v>1554</v>
      </c>
      <c r="J56" s="1919" t="s">
        <v>3045</v>
      </c>
      <c r="K56" s="1889" t="s">
        <v>1555</v>
      </c>
      <c r="L56" s="1892" t="str">
        <f ca="1">IF(L48&lt;J51,"——",L48-J53)</f>
        <v>——</v>
      </c>
      <c r="O56" s="1886" t="s">
        <v>1040</v>
      </c>
      <c r="P56" s="1887" t="s">
        <v>1528</v>
      </c>
      <c r="Q56" s="1888">
        <f ca="1">C40+J29</f>
        <v>1618</v>
      </c>
      <c r="R56" s="1888" t="s">
        <v>1529</v>
      </c>
    </row>
    <row r="57" spans="1:18" s="1844" customFormat="1" ht="24.75" thickBot="1">
      <c r="A57" s="1920"/>
      <c r="B57" s="1171" t="s">
        <v>1478</v>
      </c>
      <c r="C57" s="282">
        <f ca="1">C29</f>
        <v>536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13</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4.5</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1">
        <f t="shared" si="0"/>
        <v>1.5</v>
      </c>
      <c r="I62" s="1931" t="s">
        <v>1570</v>
      </c>
      <c r="J62" s="1932" t="s">
        <v>1571</v>
      </c>
      <c r="K62" s="1932" t="s">
        <v>1572</v>
      </c>
      <c r="L62" s="1932" t="s">
        <v>1573</v>
      </c>
      <c r="M62" s="1933" t="s">
        <v>1574</v>
      </c>
      <c r="O62" s="1886" t="s">
        <v>1046</v>
      </c>
      <c r="P62" s="1887" t="s">
        <v>1575</v>
      </c>
      <c r="Q62" s="1888">
        <f ca="1">Q56+Q57</f>
        <v>1618</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8</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0.8</v>
      </c>
      <c r="D65" s="1185" t="s">
        <v>1454</v>
      </c>
      <c r="E65" s="1171" t="s">
        <v>1455</v>
      </c>
      <c r="F65" s="376">
        <f t="shared" ca="1" si="0"/>
        <v>1.5E-3</v>
      </c>
      <c r="I65" s="1931" t="s">
        <v>1579</v>
      </c>
      <c r="J65" s="1932">
        <v>40</v>
      </c>
      <c r="K65" s="1932">
        <v>30</v>
      </c>
      <c r="L65" s="1932">
        <v>50</v>
      </c>
      <c r="M65" s="1934">
        <v>0.02</v>
      </c>
      <c r="O65" s="1886" t="s">
        <v>1040</v>
      </c>
      <c r="P65" s="1887" t="s">
        <v>1580</v>
      </c>
      <c r="Q65" s="1888">
        <f ca="1">C40+J29</f>
        <v>1618</v>
      </c>
      <c r="R65" s="1888" t="s">
        <v>1529</v>
      </c>
    </row>
    <row r="66" spans="1:18" s="1844" customFormat="1" ht="16.5" thickBot="1">
      <c r="A66" s="1203" t="s">
        <v>1504</v>
      </c>
      <c r="B66" s="1171" t="s">
        <v>1439</v>
      </c>
      <c r="C66" s="24">
        <f ca="1">ROUND(C48*F66,1)</f>
        <v>0</v>
      </c>
      <c r="D66" s="1185" t="s">
        <v>1505</v>
      </c>
      <c r="E66" s="1171" t="s">
        <v>1422</v>
      </c>
      <c r="F66" s="357">
        <f t="shared" ca="1" si="0"/>
        <v>0.02</v>
      </c>
      <c r="O66" s="1886" t="s">
        <v>1041</v>
      </c>
      <c r="P66" s="1887" t="s">
        <v>1558</v>
      </c>
      <c r="Q66" s="1888">
        <f ca="1">L60</f>
        <v>0</v>
      </c>
      <c r="R66" s="1888" t="s">
        <v>1581</v>
      </c>
    </row>
    <row r="67" spans="1:18" s="1844" customFormat="1" ht="16.5" thickBot="1">
      <c r="A67" s="1178" t="s">
        <v>1031</v>
      </c>
      <c r="B67" s="1188" t="s">
        <v>1463</v>
      </c>
      <c r="C67" s="361">
        <f ca="1">C48-C58</f>
        <v>-13</v>
      </c>
      <c r="D67" s="1184" t="s">
        <v>1464</v>
      </c>
      <c r="E67" s="1189"/>
      <c r="F67" s="1190"/>
      <c r="O67" s="1896" t="s">
        <v>1042</v>
      </c>
      <c r="P67" s="1887" t="s">
        <v>1562</v>
      </c>
      <c r="Q67" s="1935">
        <f ca="1">L51</f>
        <v>645</v>
      </c>
      <c r="R67" s="1888" t="s">
        <v>1582</v>
      </c>
    </row>
    <row r="68" spans="1:18" s="1844" customFormat="1" ht="16.5" thickBot="1">
      <c r="A68" s="1168" t="s">
        <v>1032</v>
      </c>
      <c r="B68" s="1169" t="s">
        <v>1485</v>
      </c>
      <c r="C68" s="346">
        <f ca="1">ROUND(C67*(1-((1+F70)/(1+F68))^F69)/(F68-F70),0)</f>
        <v>-199</v>
      </c>
      <c r="D68" s="1186" t="s">
        <v>1469</v>
      </c>
      <c r="E68" s="1171" t="s">
        <v>1470</v>
      </c>
      <c r="F68" s="357">
        <f ca="1">F40</f>
        <v>0.06</v>
      </c>
      <c r="O68" s="1896" t="s">
        <v>1043</v>
      </c>
      <c r="P68" s="1936" t="s">
        <v>1583</v>
      </c>
      <c r="Q68" s="1888">
        <f ca="1">ROUND(Q69-Q70*Q71,0)</f>
        <v>37</v>
      </c>
      <c r="R68" s="1888" t="s">
        <v>1051</v>
      </c>
    </row>
    <row r="69" spans="1:18" s="1844" customFormat="1" ht="13.5" thickBot="1">
      <c r="A69" s="1172"/>
      <c r="B69" s="1173"/>
      <c r="C69" s="351"/>
      <c r="D69" s="1191" t="s">
        <v>1473</v>
      </c>
      <c r="E69" s="1171" t="s">
        <v>1474</v>
      </c>
      <c r="F69" s="379">
        <f ca="1">F41</f>
        <v>43.03</v>
      </c>
      <c r="O69" s="1896" t="s">
        <v>1048</v>
      </c>
      <c r="P69" s="1936" t="s">
        <v>1584</v>
      </c>
      <c r="Q69" s="1888">
        <f ca="1">C39</f>
        <v>80</v>
      </c>
      <c r="R69" s="1888" t="s">
        <v>1529</v>
      </c>
    </row>
    <row r="70" spans="1:18" s="1844" customFormat="1" ht="13.5" thickBot="1">
      <c r="A70" s="1175"/>
      <c r="B70" s="1176"/>
      <c r="C70" s="355"/>
      <c r="D70" s="1187"/>
      <c r="E70" s="1171" t="s">
        <v>1477</v>
      </c>
      <c r="F70" s="1277">
        <f ca="1">M28</f>
        <v>0</v>
      </c>
      <c r="O70" s="1896" t="s">
        <v>1049</v>
      </c>
      <c r="P70" s="1936" t="s">
        <v>1585</v>
      </c>
      <c r="Q70" s="1888">
        <f ca="1">C13</f>
        <v>509</v>
      </c>
      <c r="R70" s="1888" t="s">
        <v>1529</v>
      </c>
    </row>
    <row r="71" spans="1:18" s="1844" customFormat="1" ht="13.5" thickBot="1">
      <c r="A71" s="1192" t="s">
        <v>1033</v>
      </c>
      <c r="B71" s="1193" t="s">
        <v>1487</v>
      </c>
      <c r="C71" s="382">
        <f ca="1">ROUND(C68*10000/F71,0)</f>
        <v>-1597</v>
      </c>
      <c r="D71" s="1194" t="s">
        <v>1488</v>
      </c>
      <c r="E71" s="1195" t="s">
        <v>1489</v>
      </c>
      <c r="F71" s="385">
        <f ca="1">F43</f>
        <v>1246.4000000000001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43</v>
      </c>
      <c r="D75" s="1844"/>
      <c r="E75" s="1844"/>
      <c r="F75" s="1844"/>
      <c r="K75" s="1870"/>
      <c r="L75" s="1844"/>
      <c r="O75" s="1886" t="s">
        <v>1046</v>
      </c>
      <c r="P75" s="1887" t="s">
        <v>1549</v>
      </c>
      <c r="Q75" s="1888">
        <f ca="1">Q65+Q66</f>
        <v>1618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0.46199999999999997</v>
      </c>
    </row>
    <row r="80" spans="1:18">
      <c r="B80" s="386" t="s">
        <v>1511</v>
      </c>
      <c r="C80" s="318">
        <f ca="1">ROUND(C75/C39,3)</f>
        <v>0.53800000000000003</v>
      </c>
    </row>
    <row r="81" spans="2:3">
      <c r="B81" s="314" t="s">
        <v>1512</v>
      </c>
      <c r="C81" s="282"/>
    </row>
    <row r="82" spans="2:3">
      <c r="B82" s="317" t="s">
        <v>1513</v>
      </c>
      <c r="C82" s="319">
        <f ca="1">1-C83</f>
        <v>0.68500000000000005</v>
      </c>
    </row>
    <row r="83" spans="2:3">
      <c r="B83" s="317" t="s">
        <v>1514</v>
      </c>
      <c r="C83" s="318">
        <f ca="1">ROUND(C13/C40,3)</f>
        <v>0.315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244" t="s">
        <v>1403</v>
      </c>
      <c r="C6" s="1298">
        <f ca="1">ROUND(F6*F8*F7*(1-F9),0)</f>
        <v>0</v>
      </c>
      <c r="D6" s="164" t="s">
        <v>3017</v>
      </c>
      <c r="E6" s="347" t="s">
        <v>1405</v>
      </c>
      <c r="F6" s="348">
        <f ca="1">INDIRECT("'数据-取费表'!u"&amp;$G$1)</f>
        <v>0</v>
      </c>
      <c r="G6" s="1853"/>
      <c r="H6" s="1293" t="s">
        <v>1035</v>
      </c>
      <c r="I6" s="3244" t="s">
        <v>1403</v>
      </c>
      <c r="J6" s="346">
        <f ca="1">ROUND(M6*M8*M7*(1-M9),0)</f>
        <v>0</v>
      </c>
      <c r="K6" s="1836" t="s">
        <v>3020</v>
      </c>
      <c r="L6" s="347" t="s">
        <v>1405</v>
      </c>
      <c r="M6" s="348">
        <f ca="1">INDIRECT("'数据-取费表'!z"&amp;$G$1)</f>
        <v>0</v>
      </c>
    </row>
    <row r="7" spans="1:37" ht="18" customHeight="1">
      <c r="A7" s="1297"/>
      <c r="B7" s="3245"/>
      <c r="C7" s="1299"/>
      <c r="D7" s="352"/>
      <c r="E7" s="1300" t="s">
        <v>1406</v>
      </c>
      <c r="F7" s="348">
        <f ca="1">IF(INDIRECT("'数据-取费表'!ah"&amp;$G$1)="",INDIRECT("'数据-取费表'!k"&amp;$G$1),INDIRECT("'数据-取费表'!ah"&amp;$G$1))</f>
        <v>0</v>
      </c>
      <c r="G7" s="1853"/>
      <c r="H7" s="349"/>
      <c r="I7" s="3245"/>
      <c r="J7" s="351"/>
      <c r="K7" s="352"/>
      <c r="L7" s="347" t="s">
        <v>1406</v>
      </c>
      <c r="M7" s="348">
        <f ca="1">F7</f>
        <v>0</v>
      </c>
    </row>
    <row r="8" spans="1:37" ht="18" customHeight="1">
      <c r="A8" s="349"/>
      <c r="B8" s="3245"/>
      <c r="C8" s="351"/>
      <c r="D8" s="352"/>
      <c r="E8" s="347" t="s">
        <v>1407</v>
      </c>
      <c r="F8" s="348">
        <f ca="1">INDIRECT("'数据-取费表'!ai"&amp;$G$1)</f>
        <v>0</v>
      </c>
      <c r="G8" s="1853"/>
      <c r="H8" s="349"/>
      <c r="I8" s="3245"/>
      <c r="J8" s="351"/>
      <c r="K8" s="352"/>
      <c r="L8" s="347" t="s">
        <v>1407</v>
      </c>
      <c r="M8" s="348">
        <f ca="1">INDIRECT("'数据-取费表'!ai"&amp;$G$1)</f>
        <v>0</v>
      </c>
    </row>
    <row r="9" spans="1:37" ht="18" customHeight="1">
      <c r="A9" s="349"/>
      <c r="B9" s="3246"/>
      <c r="C9" s="351"/>
      <c r="D9" s="352"/>
      <c r="E9" s="347" t="s">
        <v>1408</v>
      </c>
      <c r="F9" s="357">
        <f ca="1">INDIRECT("'数据-取费表'!w"&amp;$G$1)</f>
        <v>0</v>
      </c>
      <c r="G9" s="1853"/>
      <c r="H9" s="349"/>
      <c r="I9" s="3246"/>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3018</v>
      </c>
      <c r="E10" s="358" t="s">
        <v>1411</v>
      </c>
      <c r="F10" s="1368"/>
      <c r="G10" s="1853"/>
      <c r="H10" s="1293" t="s">
        <v>1039</v>
      </c>
      <c r="I10" s="1825" t="s">
        <v>1409</v>
      </c>
      <c r="J10" s="346">
        <f ca="1">ROUND(IF(M10="押一",M6*M8*M7/12*M11,IF(M10="押二",M6*M8*M7/12*2*M11,IF(M10="押三",M6*M8*M7/12*3*M11,J11*M11))),0)</f>
        <v>0</v>
      </c>
      <c r="K10" s="1837" t="s">
        <v>3019</v>
      </c>
      <c r="L10" s="358" t="s">
        <v>1411</v>
      </c>
      <c r="M10" s="1368"/>
    </row>
    <row r="11" spans="1:37" ht="18" customHeight="1">
      <c r="A11" s="353"/>
      <c r="B11" s="1827" t="s">
        <v>1602</v>
      </c>
      <c r="C11" s="1180"/>
      <c r="D11" s="352"/>
      <c r="E11" s="358" t="s">
        <v>1412</v>
      </c>
      <c r="F11" s="359">
        <f ca="1">'数据-取费表'!B39</f>
        <v>1.4999999999999999E-2</v>
      </c>
      <c r="G11" s="1853"/>
      <c r="H11" s="1301"/>
      <c r="I11" s="1827" t="s">
        <v>1603</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0.03</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1547</v>
      </c>
      <c r="J53" s="1908" t="b">
        <f>IF(M47="住宅",J51,IF(D1="——",MIN(J51,L48),IF(D1="在建（套用方法）",MIN(J51,L48-'数据-取费表'!B24),IF(D1="土地（套用方法）",MIN(J51,L48-'数据-取费表'!B20)))))</f>
        <v>0</v>
      </c>
      <c r="K53" s="3242" t="s">
        <v>1548</v>
      </c>
      <c r="L53" s="3243"/>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2514</v>
      </c>
      <c r="B1" s="2558"/>
      <c r="C1" s="2558"/>
      <c r="D1" s="2558"/>
      <c r="E1" s="2559"/>
    </row>
    <row r="2" spans="1:6" ht="15.75">
      <c r="A2" s="2560" t="s">
        <v>2315</v>
      </c>
      <c r="B2" s="2561">
        <f ca="1">SUMIF(B6:B13,"&lt;&gt;#ref!",B6:B13)</f>
        <v>1618</v>
      </c>
      <c r="C2" s="2562" t="s">
        <v>2507</v>
      </c>
      <c r="D2" s="2563" t="s">
        <v>2508</v>
      </c>
      <c r="E2" s="2564">
        <f>SUM(E6:E13)</f>
        <v>1246.4000000000001</v>
      </c>
    </row>
    <row r="3" spans="1:6" ht="15.75">
      <c r="A3" s="2560" t="s">
        <v>1395</v>
      </c>
      <c r="B3" s="2561">
        <f ca="1">ROUND(B2*10000/E2,0)</f>
        <v>12981</v>
      </c>
      <c r="C3" s="2562" t="s">
        <v>2515</v>
      </c>
      <c r="D3" s="2565"/>
      <c r="E3" s="2566"/>
    </row>
    <row r="4" spans="1:6" ht="15.75">
      <c r="A4" s="2567"/>
      <c r="B4" s="2565"/>
      <c r="C4" s="2565"/>
      <c r="D4" s="2565"/>
      <c r="E4" s="2566"/>
    </row>
    <row r="5" spans="1:6" ht="15">
      <c r="A5" s="2568" t="s">
        <v>2509</v>
      </c>
      <c r="B5" s="3247" t="s">
        <v>2510</v>
      </c>
      <c r="C5" s="3247"/>
      <c r="D5" s="2569"/>
      <c r="E5" s="2570" t="s">
        <v>2511</v>
      </c>
      <c r="F5" s="2571" t="s">
        <v>2512</v>
      </c>
    </row>
    <row r="6" spans="1:6">
      <c r="A6" s="2572" t="str">
        <f>'数据-取费表'!AN6</f>
        <v>收益法</v>
      </c>
      <c r="B6" s="2571">
        <f ca="1">IF(F6="是",'数据-取费表'!AO6,0)</f>
        <v>1618</v>
      </c>
      <c r="C6" s="2562" t="s">
        <v>2507</v>
      </c>
      <c r="D6" s="2565"/>
      <c r="E6" s="2573">
        <f>IF(OR(A6=0,F6="否"),0,'数据-取费表'!K6+'数据-取费表'!S6)</f>
        <v>1246.4000000000001</v>
      </c>
      <c r="F6" s="2574" t="s">
        <v>2513</v>
      </c>
    </row>
    <row r="7" spans="1:6">
      <c r="A7" s="2572">
        <f>'数据-取费表'!AN7</f>
        <v>0</v>
      </c>
      <c r="B7" s="2571" t="e">
        <f ca="1">IF(F7="是",'数据-取费表'!AO7,0)</f>
        <v>#REF!</v>
      </c>
      <c r="C7" s="2562" t="s">
        <v>2507</v>
      </c>
      <c r="D7" s="2565"/>
      <c r="E7" s="2573">
        <f>IF(OR(A7=0,F7="否"),0,'数据-取费表'!K7+'数据-取费表'!S7)</f>
        <v>0</v>
      </c>
      <c r="F7" s="2574" t="s">
        <v>2513</v>
      </c>
    </row>
    <row r="8" spans="1:6">
      <c r="A8" s="2572">
        <f>'数据-取费表'!AN8</f>
        <v>0</v>
      </c>
      <c r="B8" s="2571" t="e">
        <f ca="1">IF(F8="是",'数据-取费表'!AO8,0)</f>
        <v>#REF!</v>
      </c>
      <c r="C8" s="2562" t="s">
        <v>2507</v>
      </c>
      <c r="D8" s="2565"/>
      <c r="E8" s="2573">
        <f>IF(OR(A8=0,F8="否"),0,'数据-取费表'!K8+'数据-取费表'!S8)</f>
        <v>0</v>
      </c>
      <c r="F8" s="2574" t="s">
        <v>2513</v>
      </c>
    </row>
    <row r="9" spans="1:6">
      <c r="A9" s="2572">
        <f>'数据-取费表'!AN9</f>
        <v>0</v>
      </c>
      <c r="B9" s="2571" t="e">
        <f ca="1">IF(F9="是",'数据-取费表'!AO9,0)</f>
        <v>#REF!</v>
      </c>
      <c r="C9" s="2562" t="s">
        <v>2507</v>
      </c>
      <c r="D9" s="2565"/>
      <c r="E9" s="2573">
        <f>IF(OR(A9=0,F9="否"),0,'数据-取费表'!K9+'数据-取费表'!S9)</f>
        <v>0</v>
      </c>
      <c r="F9" s="2574" t="s">
        <v>2513</v>
      </c>
    </row>
    <row r="10" spans="1:6">
      <c r="A10" s="2572">
        <f>'数据-取费表'!AN10</f>
        <v>0</v>
      </c>
      <c r="B10" s="2571" t="e">
        <f ca="1">IF(F10="是",'数据-取费表'!AO10,0)</f>
        <v>#REF!</v>
      </c>
      <c r="C10" s="2562" t="s">
        <v>2507</v>
      </c>
      <c r="D10" s="2565"/>
      <c r="E10" s="2573">
        <f>IF(OR(A10=0,F10="否"),0,'数据-取费表'!K10+'数据-取费表'!S10)</f>
        <v>0</v>
      </c>
      <c r="F10" s="2574" t="s">
        <v>2513</v>
      </c>
    </row>
    <row r="11" spans="1:6">
      <c r="A11" s="2572">
        <f>'数据-取费表'!AN11</f>
        <v>0</v>
      </c>
      <c r="B11" s="2571" t="e">
        <f ca="1">IF(F11="是",'数据-取费表'!AO11,0)</f>
        <v>#REF!</v>
      </c>
      <c r="C11" s="2562" t="s">
        <v>2507</v>
      </c>
      <c r="D11" s="2565"/>
      <c r="E11" s="2573">
        <f>IF(OR(A11=0,F11="否"),0,'数据-取费表'!K11+'数据-取费表'!S11)</f>
        <v>0</v>
      </c>
      <c r="F11" s="2574" t="s">
        <v>2513</v>
      </c>
    </row>
    <row r="12" spans="1:6">
      <c r="A12" s="2572">
        <f>'数据-取费表'!AN12</f>
        <v>0</v>
      </c>
      <c r="B12" s="2571" t="e">
        <f ca="1">IF(F12="是",'数据-取费表'!AO12,0)</f>
        <v>#REF!</v>
      </c>
      <c r="C12" s="2562" t="s">
        <v>2507</v>
      </c>
      <c r="D12" s="2565"/>
      <c r="E12" s="2573">
        <f>IF(OR(A12=0,F12="否"),0,'数据-取费表'!K12+'数据-取费表'!S12)</f>
        <v>0</v>
      </c>
      <c r="F12" s="2574" t="s">
        <v>2513</v>
      </c>
    </row>
    <row r="13" spans="1:6" ht="15" thickBot="1">
      <c r="A13" s="2575">
        <f>'数据-取费表'!AN13</f>
        <v>0</v>
      </c>
      <c r="B13" s="2571" t="e">
        <f ca="1">IF(F13="是",'数据-取费表'!AO13,0)</f>
        <v>#REF!</v>
      </c>
      <c r="C13" s="2576" t="s">
        <v>2507</v>
      </c>
      <c r="D13" s="2577"/>
      <c r="E13" s="2573">
        <f>IF(OR(A13=0,F13="否"),0,'数据-取费表'!K13+'数据-取费表'!S13)</f>
        <v>0</v>
      </c>
      <c r="F13" s="2574"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4" t="s">
        <v>1076</v>
      </c>
      <c r="B1" s="3265"/>
      <c r="C1" s="3266"/>
      <c r="D1" s="3267">
        <f>SUM(I10,I15,I20,I21,I23)</f>
        <v>0</v>
      </c>
      <c r="E1" s="3267"/>
      <c r="F1" s="3267"/>
      <c r="G1" s="3267"/>
      <c r="H1" s="3267"/>
      <c r="I1" s="3268"/>
    </row>
    <row r="2" spans="1:9">
      <c r="A2" s="3254" t="s">
        <v>1077</v>
      </c>
      <c r="B2" s="3255" t="s">
        <v>1078</v>
      </c>
      <c r="C2" s="3255"/>
      <c r="D2" s="1303" t="s">
        <v>1079</v>
      </c>
      <c r="E2" s="1303" t="s">
        <v>1080</v>
      </c>
      <c r="F2" s="1303" t="s">
        <v>1081</v>
      </c>
      <c r="G2" s="1303" t="s">
        <v>1082</v>
      </c>
      <c r="H2" s="1303" t="s">
        <v>1083</v>
      </c>
      <c r="I2" s="1304" t="s">
        <v>1084</v>
      </c>
    </row>
    <row r="3" spans="1:9">
      <c r="A3" s="3254"/>
      <c r="B3" s="3255" t="s">
        <v>1085</v>
      </c>
      <c r="C3" s="3255"/>
      <c r="D3" s="1305"/>
      <c r="E3" s="1303"/>
      <c r="F3" s="1306"/>
      <c r="G3" s="1306"/>
      <c r="H3" s="1307"/>
      <c r="I3" s="1308">
        <f>ROUND(D3*E3*F3*G3*H3/10000,0)</f>
        <v>0</v>
      </c>
    </row>
    <row r="4" spans="1:9">
      <c r="A4" s="3254"/>
      <c r="B4" s="3255" t="s">
        <v>1086</v>
      </c>
      <c r="C4" s="3255"/>
      <c r="D4" s="1305"/>
      <c r="E4" s="1303"/>
      <c r="F4" s="1306"/>
      <c r="G4" s="1306"/>
      <c r="H4" s="1307"/>
      <c r="I4" s="1308">
        <f t="shared" ref="I4:I9" si="0">ROUND(D4*E4*F4*G4*H4/10000,0)</f>
        <v>0</v>
      </c>
    </row>
    <row r="5" spans="1:9">
      <c r="A5" s="3254"/>
      <c r="B5" s="3255" t="s">
        <v>1087</v>
      </c>
      <c r="C5" s="3255"/>
      <c r="D5" s="1305"/>
      <c r="E5" s="1303"/>
      <c r="F5" s="1306"/>
      <c r="G5" s="1306"/>
      <c r="H5" s="1307"/>
      <c r="I5" s="1308">
        <f t="shared" si="0"/>
        <v>0</v>
      </c>
    </row>
    <row r="6" spans="1:9">
      <c r="A6" s="3254"/>
      <c r="B6" s="3255" t="s">
        <v>1088</v>
      </c>
      <c r="C6" s="3255"/>
      <c r="D6" s="1305"/>
      <c r="E6" s="1303"/>
      <c r="F6" s="1306"/>
      <c r="G6" s="1306"/>
      <c r="H6" s="1307"/>
      <c r="I6" s="1308">
        <f t="shared" si="0"/>
        <v>0</v>
      </c>
    </row>
    <row r="7" spans="1:9">
      <c r="A7" s="3254"/>
      <c r="B7" s="3255" t="s">
        <v>1089</v>
      </c>
      <c r="C7" s="3255"/>
      <c r="D7" s="1305"/>
      <c r="E7" s="1303"/>
      <c r="F7" s="1306"/>
      <c r="G7" s="1306"/>
      <c r="H7" s="1307"/>
      <c r="I7" s="1308">
        <f t="shared" si="0"/>
        <v>0</v>
      </c>
    </row>
    <row r="8" spans="1:9">
      <c r="A8" s="3254"/>
      <c r="B8" s="3255" t="s">
        <v>1090</v>
      </c>
      <c r="C8" s="3255"/>
      <c r="D8" s="1305"/>
      <c r="E8" s="1303"/>
      <c r="F8" s="1306"/>
      <c r="G8" s="1306"/>
      <c r="H8" s="1307"/>
      <c r="I8" s="1308">
        <f t="shared" si="0"/>
        <v>0</v>
      </c>
    </row>
    <row r="9" spans="1:9">
      <c r="A9" s="3254"/>
      <c r="B9" s="3255" t="s">
        <v>1091</v>
      </c>
      <c r="C9" s="3255"/>
      <c r="D9" s="1305"/>
      <c r="E9" s="1303"/>
      <c r="F9" s="1306"/>
      <c r="G9" s="1306"/>
      <c r="H9" s="1307"/>
      <c r="I9" s="1308">
        <f t="shared" si="0"/>
        <v>0</v>
      </c>
    </row>
    <row r="10" spans="1:9">
      <c r="A10" s="3254"/>
      <c r="B10" s="3256" t="s">
        <v>1092</v>
      </c>
      <c r="C10" s="3256"/>
      <c r="D10" s="1309"/>
      <c r="E10" s="1309" t="e">
        <f>ROUND(D1*10000/D10/H9,0)</f>
        <v>#DIV/0!</v>
      </c>
      <c r="F10" s="1310"/>
      <c r="G10" s="1310"/>
      <c r="H10" s="1311"/>
      <c r="I10" s="1312">
        <f>SUM(I3:I9)</f>
        <v>0</v>
      </c>
    </row>
    <row r="11" spans="1:9" ht="14.25">
      <c r="A11" s="3254" t="s">
        <v>1093</v>
      </c>
      <c r="B11" s="3255" t="s">
        <v>1094</v>
      </c>
      <c r="C11" s="3255"/>
      <c r="D11" s="1305" t="s">
        <v>1095</v>
      </c>
      <c r="E11" s="1305" t="s">
        <v>1096</v>
      </c>
      <c r="F11" s="1306" t="s">
        <v>1097</v>
      </c>
      <c r="G11" s="1306" t="s">
        <v>1083</v>
      </c>
      <c r="H11" s="1313" t="s">
        <v>1098</v>
      </c>
      <c r="I11" s="1304" t="s">
        <v>1084</v>
      </c>
    </row>
    <row r="12" spans="1:9">
      <c r="A12" s="3254"/>
      <c r="B12" s="3255" t="s">
        <v>1099</v>
      </c>
      <c r="C12" s="3255"/>
      <c r="D12" s="1305"/>
      <c r="E12" s="1305"/>
      <c r="F12" s="1306"/>
      <c r="G12" s="1307"/>
      <c r="H12" s="1314"/>
      <c r="I12" s="1304">
        <f>ROUND(D12*E12*F12*G12/10000,0)</f>
        <v>0</v>
      </c>
    </row>
    <row r="13" spans="1:9">
      <c r="A13" s="3254"/>
      <c r="B13" s="3255" t="s">
        <v>1100</v>
      </c>
      <c r="C13" s="3255"/>
      <c r="D13" s="1305"/>
      <c r="E13" s="1305"/>
      <c r="F13" s="1306"/>
      <c r="G13" s="1307"/>
      <c r="H13" s="1314"/>
      <c r="I13" s="1304">
        <f>ROUND(D13*E13*F13*G13/10000,0)</f>
        <v>0</v>
      </c>
    </row>
    <row r="14" spans="1:9">
      <c r="A14" s="3254"/>
      <c r="B14" s="3255" t="s">
        <v>1101</v>
      </c>
      <c r="C14" s="3255"/>
      <c r="D14" s="1305"/>
      <c r="E14" s="1305"/>
      <c r="F14" s="1306"/>
      <c r="G14" s="1307"/>
      <c r="H14" s="1314"/>
      <c r="I14" s="1304">
        <f>ROUND(D14*E14*F14*G14/10000,0)</f>
        <v>0</v>
      </c>
    </row>
    <row r="15" spans="1:9">
      <c r="A15" s="3254"/>
      <c r="B15" s="3256" t="s">
        <v>1092</v>
      </c>
      <c r="C15" s="3256"/>
      <c r="D15" s="1309"/>
      <c r="E15" s="1309">
        <f>SUM(E12:E14)</f>
        <v>0</v>
      </c>
      <c r="F15" s="1310"/>
      <c r="G15" s="1307"/>
      <c r="H15" s="1314"/>
      <c r="I15" s="1315">
        <f>SUM(I12:I14)</f>
        <v>0</v>
      </c>
    </row>
    <row r="16" spans="1:9" ht="24">
      <c r="A16" s="3254" t="s">
        <v>1102</v>
      </c>
      <c r="B16" s="3255" t="s">
        <v>1103</v>
      </c>
      <c r="C16" s="3255"/>
      <c r="D16" s="1305" t="s">
        <v>1079</v>
      </c>
      <c r="E16" s="1316" t="s">
        <v>1104</v>
      </c>
      <c r="F16" s="1306" t="s">
        <v>1105</v>
      </c>
      <c r="G16" s="1307" t="s">
        <v>1083</v>
      </c>
      <c r="H16" s="1313" t="s">
        <v>1098</v>
      </c>
      <c r="I16" s="1304" t="s">
        <v>1084</v>
      </c>
    </row>
    <row r="17" spans="1:9" ht="14.25">
      <c r="A17" s="3254"/>
      <c r="B17" s="3255" t="s">
        <v>1106</v>
      </c>
      <c r="C17" s="3255"/>
      <c r="D17" s="1305"/>
      <c r="E17" s="1305"/>
      <c r="F17" s="1306"/>
      <c r="G17" s="1307"/>
      <c r="H17" s="1317"/>
      <c r="I17" s="1318">
        <f>ROUND(D17*E17*F17*G17/10000,0)</f>
        <v>0</v>
      </c>
    </row>
    <row r="18" spans="1:9" ht="14.25">
      <c r="A18" s="3254"/>
      <c r="B18" s="3255" t="s">
        <v>1107</v>
      </c>
      <c r="C18" s="3255"/>
      <c r="D18" s="1305"/>
      <c r="E18" s="1305"/>
      <c r="F18" s="1306"/>
      <c r="G18" s="1307"/>
      <c r="H18" s="1317"/>
      <c r="I18" s="1318">
        <f>ROUND(D18*E18*F18*G18/10000,0)</f>
        <v>0</v>
      </c>
    </row>
    <row r="19" spans="1:9" ht="14.25">
      <c r="A19" s="3254"/>
      <c r="B19" s="3255" t="s">
        <v>1108</v>
      </c>
      <c r="C19" s="3255"/>
      <c r="D19" s="1305"/>
      <c r="E19" s="1305"/>
      <c r="F19" s="1306"/>
      <c r="G19" s="1307"/>
      <c r="H19" s="1317"/>
      <c r="I19" s="1318">
        <f>ROUND(D19*E19*F19*G19/10000,0)</f>
        <v>0</v>
      </c>
    </row>
    <row r="20" spans="1:9">
      <c r="A20" s="3254"/>
      <c r="B20" s="3256" t="s">
        <v>1092</v>
      </c>
      <c r="C20" s="3256"/>
      <c r="D20" s="1309">
        <f>SUM(D17:D19)</f>
        <v>0</v>
      </c>
      <c r="E20" s="1309"/>
      <c r="F20" s="1310"/>
      <c r="G20" s="1307"/>
      <c r="H20" s="1314"/>
      <c r="I20" s="1315">
        <f>SUM(I17:I19)</f>
        <v>0</v>
      </c>
    </row>
    <row r="21" spans="1:9">
      <c r="A21" s="3254" t="s">
        <v>1109</v>
      </c>
      <c r="B21" s="3257"/>
      <c r="C21" s="3257"/>
      <c r="D21" s="3257"/>
      <c r="E21" s="3257"/>
      <c r="F21" s="3257"/>
      <c r="G21" s="3257"/>
      <c r="H21" s="1767">
        <v>0.1</v>
      </c>
      <c r="I21" s="1312">
        <f>ROUND(I10*H21,0)</f>
        <v>0</v>
      </c>
    </row>
    <row r="22" spans="1:9" ht="14.25">
      <c r="A22" s="3258" t="s">
        <v>1110</v>
      </c>
      <c r="B22" s="3259"/>
      <c r="C22" s="3260"/>
      <c r="D22" s="1319" t="s">
        <v>1111</v>
      </c>
      <c r="E22" s="1319" t="s">
        <v>1112</v>
      </c>
      <c r="F22" s="1320" t="s">
        <v>1113</v>
      </c>
      <c r="G22" s="1320" t="s">
        <v>1114</v>
      </c>
      <c r="H22" s="1313" t="s">
        <v>1115</v>
      </c>
      <c r="I22" s="1304" t="s">
        <v>1116</v>
      </c>
    </row>
    <row r="23" spans="1:9" ht="14.25" thickBot="1">
      <c r="A23" s="3261"/>
      <c r="B23" s="3262"/>
      <c r="C23" s="3263"/>
      <c r="D23" s="1321"/>
      <c r="E23" s="1321"/>
      <c r="F23" s="1321"/>
      <c r="G23" s="1322"/>
      <c r="H23" s="1323"/>
      <c r="I23" s="1324">
        <f>ROUND(E23*D23*F23*(1-G23)/10000,0)</f>
        <v>0</v>
      </c>
    </row>
    <row r="26" spans="1:9">
      <c r="A26" s="1325" t="s">
        <v>1117</v>
      </c>
      <c r="B26" s="1325"/>
      <c r="C26" s="1325"/>
      <c r="D26" s="1325"/>
      <c r="E26" s="3251">
        <f>C27-C30-C31-C32</f>
        <v>0</v>
      </c>
      <c r="F26" s="3251"/>
      <c r="G26" s="3251"/>
      <c r="H26" s="1739" t="s">
        <v>1340</v>
      </c>
    </row>
    <row r="27" spans="1:9">
      <c r="A27" s="1326">
        <v>1</v>
      </c>
      <c r="B27" s="1327" t="s">
        <v>1118</v>
      </c>
      <c r="C27" s="1327">
        <f>C28+C29</f>
        <v>0</v>
      </c>
      <c r="D27" s="1327"/>
      <c r="E27" s="3252"/>
      <c r="F27" s="3252"/>
      <c r="G27" s="3252"/>
    </row>
    <row r="28" spans="1:9">
      <c r="A28" s="1328" t="s">
        <v>1119</v>
      </c>
      <c r="B28" s="1327" t="s">
        <v>1120</v>
      </c>
      <c r="C28" s="1327"/>
      <c r="D28" s="1327"/>
      <c r="E28" s="3252"/>
      <c r="F28" s="3252"/>
      <c r="G28" s="325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3"/>
      <c r="F32" s="3253"/>
      <c r="G32" s="3253"/>
    </row>
    <row r="33" spans="1:7" hidden="1">
      <c r="A33" s="3248" t="s">
        <v>1129</v>
      </c>
      <c r="B33" s="3249"/>
      <c r="C33" s="3249"/>
      <c r="D33" s="3250"/>
      <c r="E33" s="3251"/>
      <c r="F33" s="3251"/>
      <c r="G33" s="3251"/>
    </row>
    <row r="34" spans="1:7" hidden="1">
      <c r="A34" s="1330">
        <v>1</v>
      </c>
      <c r="B34" s="1327" t="s">
        <v>1130</v>
      </c>
      <c r="C34" s="1327"/>
      <c r="D34" s="1327"/>
      <c r="E34" s="3252"/>
      <c r="F34" s="3252"/>
      <c r="G34" s="3252"/>
    </row>
    <row r="35" spans="1:7" hidden="1">
      <c r="A35" s="1330">
        <v>2</v>
      </c>
      <c r="B35" s="1327" t="s">
        <v>1131</v>
      </c>
      <c r="C35" s="1327"/>
      <c r="D35" s="1327"/>
      <c r="E35" s="3252"/>
      <c r="F35" s="3252"/>
      <c r="G35" s="3252"/>
    </row>
    <row r="36" spans="1:7" hidden="1">
      <c r="A36" s="1330">
        <v>3</v>
      </c>
      <c r="B36" s="1327" t="s">
        <v>1132</v>
      </c>
      <c r="C36" s="1327"/>
      <c r="D36" s="1327"/>
      <c r="E36" s="3252"/>
      <c r="F36" s="3252"/>
      <c r="G36" s="3252"/>
    </row>
    <row r="37" spans="1:7" hidden="1">
      <c r="A37" s="1330">
        <v>4</v>
      </c>
      <c r="B37" s="1327" t="s">
        <v>1133</v>
      </c>
      <c r="C37" s="1327"/>
      <c r="D37" s="1327"/>
      <c r="E37" s="3252"/>
      <c r="F37" s="3252"/>
      <c r="G37" s="3252"/>
    </row>
    <row r="38" spans="1:7" hidden="1">
      <c r="A38" s="3248" t="s">
        <v>1134</v>
      </c>
      <c r="B38" s="3249"/>
      <c r="C38" s="3249"/>
      <c r="D38" s="3250"/>
      <c r="E38" s="3251"/>
      <c r="F38" s="3251"/>
      <c r="G38" s="32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8" t="s">
        <v>2517</v>
      </c>
      <c r="C1" s="1636" t="s">
        <v>2518</v>
      </c>
      <c r="D1" s="1623"/>
      <c r="E1" s="2579"/>
      <c r="F1" s="2580" t="s">
        <v>2519</v>
      </c>
      <c r="G1" s="1633" t="s">
        <v>2520</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2"/>
      <c r="D2" s="1367" t="e">
        <f ca="1">SUMIF(INDIRECT("'"&amp;F2&amp;"'"&amp;"!A:A"),"承租人权益价值",INDIRECT("'"&amp;F2&amp;"'"&amp;"!c:c"))</f>
        <v>#REF!</v>
      </c>
      <c r="E2" s="2583" t="s">
        <v>2521</v>
      </c>
      <c r="F2" s="2584"/>
      <c r="G2" s="1126"/>
      <c r="H2" s="1126"/>
      <c r="I2" s="1126"/>
      <c r="J2" s="1126"/>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2522</v>
      </c>
      <c r="D3" s="399">
        <f>IF(D1="",'数据-汇总表'!E3,SUMIF('数据-汇总表'!$C19:$C33,D1,'数据-汇总表'!$E19:$E33))</f>
        <v>1246.4000000000001</v>
      </c>
      <c r="E3" s="1126"/>
      <c r="F3" s="2591"/>
      <c r="G3" s="1126"/>
      <c r="H3" s="1126"/>
      <c r="I3" s="1126"/>
      <c r="J3" s="1126"/>
      <c r="K3" s="2585"/>
      <c r="L3" s="2586"/>
      <c r="M3" s="2587"/>
      <c r="N3" s="2587"/>
      <c r="O3" s="2587"/>
      <c r="P3" s="2588"/>
      <c r="Q3" s="2589"/>
      <c r="R3" s="2589"/>
      <c r="S3" s="2589"/>
      <c r="T3" s="2589"/>
      <c r="U3" s="2589"/>
      <c r="V3" s="2589"/>
      <c r="W3" s="2589"/>
      <c r="X3" s="2589"/>
      <c r="Y3" s="2589"/>
      <c r="Z3" s="2589"/>
      <c r="AA3" s="2589"/>
      <c r="AB3" s="2589"/>
      <c r="AC3" s="1284"/>
    </row>
    <row r="4" spans="1:29" ht="15">
      <c r="A4" s="401" t="s">
        <v>2523</v>
      </c>
      <c r="B4" s="402"/>
      <c r="C4" s="3214" t="s">
        <v>2524</v>
      </c>
      <c r="D4" s="3215"/>
      <c r="E4" s="3216" t="s">
        <v>2525</v>
      </c>
      <c r="F4" s="3217"/>
      <c r="G4" s="3214" t="s">
        <v>2526</v>
      </c>
      <c r="H4" s="3215"/>
      <c r="I4" s="3214" t="s">
        <v>2527</v>
      </c>
      <c r="J4" s="3215"/>
      <c r="K4" s="2592" t="s">
        <v>2528</v>
      </c>
      <c r="L4" s="1132"/>
      <c r="M4" s="1133"/>
      <c r="N4" s="1133"/>
      <c r="O4" s="1133"/>
      <c r="P4" s="3218" t="s">
        <v>2529</v>
      </c>
      <c r="Q4" s="3219"/>
      <c r="R4" s="3224" t="s">
        <v>2525</v>
      </c>
      <c r="S4" s="3225"/>
      <c r="T4" s="3224" t="s">
        <v>2526</v>
      </c>
      <c r="U4" s="3225"/>
      <c r="V4" s="3230" t="s">
        <v>2527</v>
      </c>
      <c r="W4" s="3230"/>
      <c r="X4" s="1815"/>
      <c r="Y4" s="3224" t="s">
        <v>2529</v>
      </c>
      <c r="Z4" s="3225"/>
      <c r="AA4" s="3211" t="s">
        <v>2525</v>
      </c>
      <c r="AB4" s="3211" t="s">
        <v>2526</v>
      </c>
      <c r="AC4" s="3211" t="s">
        <v>2527</v>
      </c>
    </row>
    <row r="5" spans="1:29" ht="15">
      <c r="A5" s="404"/>
      <c r="B5" s="405"/>
      <c r="C5" s="3275" t="s">
        <v>2530</v>
      </c>
      <c r="D5" s="3239"/>
      <c r="E5" s="3276" t="s">
        <v>2531</v>
      </c>
      <c r="F5" s="3234"/>
      <c r="G5" s="3275" t="s">
        <v>2532</v>
      </c>
      <c r="H5" s="3239"/>
      <c r="I5" s="3275" t="s">
        <v>2533</v>
      </c>
      <c r="J5" s="3239"/>
      <c r="K5" s="2593"/>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31" t="s">
        <v>2534</v>
      </c>
      <c r="D6" s="3232"/>
      <c r="E6" s="3240" t="s">
        <v>2534</v>
      </c>
      <c r="F6" s="3241"/>
      <c r="G6" s="3231" t="s">
        <v>2534</v>
      </c>
      <c r="H6" s="3232"/>
      <c r="I6" s="3231" t="s">
        <v>2534</v>
      </c>
      <c r="J6" s="3232"/>
      <c r="K6" s="2593" t="s">
        <v>2535</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2536</v>
      </c>
      <c r="B7" s="409"/>
      <c r="C7" s="410">
        <f>'数据-取费表'!B2</f>
        <v>43165</v>
      </c>
      <c r="D7" s="411">
        <v>100</v>
      </c>
      <c r="E7" s="412"/>
      <c r="F7" s="413">
        <f>SUMIF(58:58,YEAR(E7)&amp;"-"&amp;MONTH(E7),59:59)</f>
        <v>0</v>
      </c>
      <c r="G7" s="412"/>
      <c r="H7" s="411">
        <f>SUMIF(58:58,YEAR(G7)&amp;"-"&amp;MONTH(G7),59:59)</f>
        <v>0</v>
      </c>
      <c r="I7" s="412"/>
      <c r="J7" s="411">
        <f>SUMIF(58:58,YEAR(I7)&amp;"-"&amp;MONTH(I7),59:59)</f>
        <v>0</v>
      </c>
      <c r="K7" s="2594"/>
      <c r="L7" s="1134"/>
      <c r="M7" s="1135"/>
      <c r="N7" s="1135"/>
      <c r="O7" s="1135"/>
      <c r="P7" s="3235" t="s">
        <v>2537</v>
      </c>
      <c r="Q7" s="3237"/>
      <c r="R7" s="770" t="s">
        <v>23</v>
      </c>
      <c r="S7" s="771">
        <f t="shared" ref="S7:S15" si="0">F7</f>
        <v>0</v>
      </c>
      <c r="T7" s="770" t="s">
        <v>23</v>
      </c>
      <c r="U7" s="771">
        <f t="shared" ref="U7:U15" si="1">H7</f>
        <v>0</v>
      </c>
      <c r="V7" s="770" t="s">
        <v>23</v>
      </c>
      <c r="W7" s="771">
        <f t="shared" ref="W7:W15" si="2">J7</f>
        <v>0</v>
      </c>
      <c r="X7" s="772"/>
      <c r="Y7" s="3235" t="s">
        <v>2537</v>
      </c>
      <c r="Z7" s="3236"/>
      <c r="AA7" s="773" t="e">
        <f>D7/F7</f>
        <v>#DIV/0!</v>
      </c>
      <c r="AB7" s="773" t="e">
        <f>D7/H7</f>
        <v>#DIV/0!</v>
      </c>
      <c r="AC7" s="773" t="e">
        <f>D7/J7</f>
        <v>#DIV/0!</v>
      </c>
    </row>
    <row r="8" spans="1:29" s="117" customFormat="1" ht="15.75" thickBot="1">
      <c r="A8" s="408" t="s">
        <v>2538</v>
      </c>
      <c r="B8" s="409"/>
      <c r="C8" s="414" t="s">
        <v>2539</v>
      </c>
      <c r="D8" s="411">
        <v>100</v>
      </c>
      <c r="E8" s="2595"/>
      <c r="F8" s="413">
        <f>SUMIF(61:61,E8,62:62)-SUMIF(61:61,C8,62:62)+100</f>
        <v>0</v>
      </c>
      <c r="G8" s="414"/>
      <c r="H8" s="411">
        <f>SUMIF(61:61,G8,62:62)-SUMIF(61:61,C8,62:62)+100</f>
        <v>0</v>
      </c>
      <c r="I8" s="2595"/>
      <c r="J8" s="411">
        <f>SUMIF(61:61,I8,62:62)-SUMIF(61:61,C8,62:62)+100</f>
        <v>0</v>
      </c>
      <c r="K8" s="2594"/>
      <c r="L8" s="1134"/>
      <c r="M8" s="1135"/>
      <c r="N8" s="1135"/>
      <c r="O8" s="1135"/>
      <c r="P8" s="3235" t="s">
        <v>2540</v>
      </c>
      <c r="Q8" s="3236"/>
      <c r="R8" s="770" t="s">
        <v>23</v>
      </c>
      <c r="S8" s="771">
        <f t="shared" si="0"/>
        <v>0</v>
      </c>
      <c r="T8" s="770" t="s">
        <v>23</v>
      </c>
      <c r="U8" s="771">
        <f t="shared" si="1"/>
        <v>0</v>
      </c>
      <c r="V8" s="770" t="s">
        <v>23</v>
      </c>
      <c r="W8" s="771">
        <f t="shared" si="2"/>
        <v>0</v>
      </c>
      <c r="X8" s="772"/>
      <c r="Y8" s="3235" t="s">
        <v>2540</v>
      </c>
      <c r="Z8" s="3236"/>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4"/>
      <c r="L9" s="1134"/>
      <c r="M9" s="1135"/>
      <c r="N9" s="1135"/>
      <c r="O9" s="1135"/>
      <c r="P9" s="3274" t="s">
        <v>2543</v>
      </c>
      <c r="Q9" s="1797" t="str">
        <f t="shared" ref="Q9:Q15" si="6">B9</f>
        <v>用途</v>
      </c>
      <c r="R9" s="770" t="s">
        <v>17</v>
      </c>
      <c r="S9" s="771">
        <f t="shared" si="0"/>
        <v>100</v>
      </c>
      <c r="T9" s="770" t="s">
        <v>17</v>
      </c>
      <c r="U9" s="771">
        <f t="shared" si="1"/>
        <v>100</v>
      </c>
      <c r="V9" s="770" t="s">
        <v>17</v>
      </c>
      <c r="W9" s="771">
        <f t="shared" si="2"/>
        <v>100</v>
      </c>
      <c r="X9" s="772"/>
      <c r="Y9" s="303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74"/>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74"/>
      <c r="Q11" s="1797"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4"/>
      <c r="M12" s="1135"/>
      <c r="N12" s="1135"/>
      <c r="O12" s="1135"/>
      <c r="P12" s="3274"/>
      <c r="Q12" s="1797">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2"/>
      <c r="M13" s="1133"/>
      <c r="N13" s="1133"/>
      <c r="O13" s="1133"/>
      <c r="P13" s="3274"/>
      <c r="Q13" s="1797">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2"/>
      <c r="M14" s="1133"/>
      <c r="N14" s="1133"/>
      <c r="O14" s="1133"/>
      <c r="P14" s="3274"/>
      <c r="Q14" s="1797">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15">
      <c r="A15" s="440" t="s">
        <v>2547</v>
      </c>
      <c r="B15" s="69" t="s">
        <v>2083</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72" t="s">
        <v>2548</v>
      </c>
      <c r="Q15" s="1812" t="str">
        <f t="shared" si="6"/>
        <v>居住社区成熟度</v>
      </c>
      <c r="R15" s="774" t="s">
        <v>21</v>
      </c>
      <c r="S15" s="775">
        <f t="shared" si="0"/>
        <v>100</v>
      </c>
      <c r="T15" s="774" t="s">
        <v>21</v>
      </c>
      <c r="U15" s="775">
        <f t="shared" si="1"/>
        <v>100</v>
      </c>
      <c r="V15" s="774" t="s">
        <v>21</v>
      </c>
      <c r="W15" s="775">
        <f t="shared" si="2"/>
        <v>100</v>
      </c>
      <c r="X15" s="1815"/>
      <c r="Y15" s="3206" t="s">
        <v>2548</v>
      </c>
      <c r="Z15" s="1816" t="str">
        <f t="shared" si="7"/>
        <v>居住社区成熟度</v>
      </c>
      <c r="AA15" s="1813">
        <f t="shared" si="3"/>
        <v>1</v>
      </c>
      <c r="AB15" s="1813">
        <f t="shared" si="4"/>
        <v>1</v>
      </c>
      <c r="AC15" s="1813">
        <f t="shared" si="5"/>
        <v>1</v>
      </c>
    </row>
    <row r="16" spans="1:29" ht="15">
      <c r="A16" s="428"/>
      <c r="B16" s="446"/>
      <c r="C16" s="447"/>
      <c r="D16" s="448"/>
      <c r="E16" s="2600"/>
      <c r="F16" s="448"/>
      <c r="G16" s="2601"/>
      <c r="H16" s="450"/>
      <c r="I16" s="2601"/>
      <c r="J16" s="448"/>
      <c r="K16" s="2602"/>
      <c r="L16" s="1142"/>
      <c r="M16" s="1133"/>
      <c r="N16" s="1133"/>
      <c r="O16" s="1133"/>
      <c r="P16" s="3273"/>
      <c r="Q16" s="1812"/>
      <c r="R16" s="774"/>
      <c r="S16" s="775"/>
      <c r="T16" s="774"/>
      <c r="U16" s="775"/>
      <c r="V16" s="774"/>
      <c r="W16" s="775"/>
      <c r="X16" s="1815"/>
      <c r="Y16" s="3207"/>
      <c r="Z16" s="1816"/>
      <c r="AA16" s="1813">
        <v>1</v>
      </c>
      <c r="AB16" s="1813">
        <v>1</v>
      </c>
      <c r="AC16" s="1813">
        <v>1</v>
      </c>
    </row>
    <row r="17" spans="1:29" ht="15">
      <c r="A17" s="428"/>
      <c r="B17" s="451" t="s">
        <v>2089</v>
      </c>
      <c r="C17" s="260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73"/>
      <c r="Q17" s="1812" t="str">
        <f>B17</f>
        <v>交通便捷度</v>
      </c>
      <c r="R17" s="774" t="s">
        <v>21</v>
      </c>
      <c r="S17" s="775">
        <f>F17</f>
        <v>100</v>
      </c>
      <c r="T17" s="774" t="s">
        <v>21</v>
      </c>
      <c r="U17" s="775">
        <f>H17</f>
        <v>100</v>
      </c>
      <c r="V17" s="774" t="s">
        <v>21</v>
      </c>
      <c r="W17" s="775">
        <f>J17</f>
        <v>100</v>
      </c>
      <c r="X17" s="1815"/>
      <c r="Y17" s="3207"/>
      <c r="Z17" s="1816" t="str">
        <f>Q17</f>
        <v>交通便捷度</v>
      </c>
      <c r="AA17" s="1813">
        <f t="shared" si="3"/>
        <v>1</v>
      </c>
      <c r="AB17" s="1813">
        <f t="shared" si="4"/>
        <v>1</v>
      </c>
      <c r="AC17" s="1813">
        <f t="shared" si="5"/>
        <v>1</v>
      </c>
    </row>
    <row r="18" spans="1:29" ht="15">
      <c r="A18" s="428"/>
      <c r="B18" s="456"/>
      <c r="C18" s="2604"/>
      <c r="D18" s="450"/>
      <c r="E18" s="2605"/>
      <c r="F18" s="450"/>
      <c r="G18" s="2606"/>
      <c r="H18" s="448"/>
      <c r="I18" s="2606"/>
      <c r="J18" s="448"/>
      <c r="K18" s="2602"/>
      <c r="L18" s="1142"/>
      <c r="M18" s="1133"/>
      <c r="N18" s="1133"/>
      <c r="O18" s="1133"/>
      <c r="P18" s="3273"/>
      <c r="Q18" s="1812"/>
      <c r="R18" s="774"/>
      <c r="S18" s="775"/>
      <c r="T18" s="774"/>
      <c r="U18" s="775"/>
      <c r="V18" s="774"/>
      <c r="W18" s="775"/>
      <c r="X18" s="1815"/>
      <c r="Y18" s="3207"/>
      <c r="Z18" s="1816"/>
      <c r="AA18" s="1813">
        <v>1</v>
      </c>
      <c r="AB18" s="1813">
        <v>1</v>
      </c>
      <c r="AC18" s="1813">
        <v>1</v>
      </c>
    </row>
    <row r="19" spans="1:29" ht="15">
      <c r="A19" s="428"/>
      <c r="B19" s="451" t="s">
        <v>2088</v>
      </c>
      <c r="C19" s="260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73"/>
      <c r="Q19" s="1812" t="str">
        <f>B19</f>
        <v>公共配套设施</v>
      </c>
      <c r="R19" s="774" t="s">
        <v>21</v>
      </c>
      <c r="S19" s="775">
        <f>F19</f>
        <v>100</v>
      </c>
      <c r="T19" s="774" t="s">
        <v>21</v>
      </c>
      <c r="U19" s="775">
        <f>H19</f>
        <v>100</v>
      </c>
      <c r="V19" s="774" t="s">
        <v>21</v>
      </c>
      <c r="W19" s="775">
        <f>J19</f>
        <v>100</v>
      </c>
      <c r="X19" s="1815"/>
      <c r="Y19" s="3207"/>
      <c r="Z19" s="1816" t="str">
        <f>Q19</f>
        <v>公共配套设施</v>
      </c>
      <c r="AA19" s="1813">
        <f t="shared" si="3"/>
        <v>1</v>
      </c>
      <c r="AB19" s="1813">
        <f t="shared" si="4"/>
        <v>1</v>
      </c>
      <c r="AC19" s="1813">
        <f t="shared" si="5"/>
        <v>1</v>
      </c>
    </row>
    <row r="20" spans="1:29" ht="15">
      <c r="A20" s="428"/>
      <c r="B20" s="456"/>
      <c r="C20" s="447"/>
      <c r="D20" s="448"/>
      <c r="E20" s="2600"/>
      <c r="F20" s="448"/>
      <c r="G20" s="2601"/>
      <c r="H20" s="448"/>
      <c r="I20" s="2601"/>
      <c r="J20" s="448"/>
      <c r="K20" s="2602"/>
      <c r="L20" s="1142"/>
      <c r="M20" s="1133"/>
      <c r="N20" s="1133"/>
      <c r="O20" s="1133"/>
      <c r="P20" s="3273"/>
      <c r="Q20" s="1812"/>
      <c r="R20" s="774"/>
      <c r="S20" s="775"/>
      <c r="T20" s="774"/>
      <c r="U20" s="775"/>
      <c r="V20" s="774"/>
      <c r="W20" s="775"/>
      <c r="X20" s="1815"/>
      <c r="Y20" s="3207"/>
      <c r="Z20" s="1816"/>
      <c r="AA20" s="1813">
        <v>1</v>
      </c>
      <c r="AB20" s="1813">
        <v>1</v>
      </c>
      <c r="AC20" s="1813">
        <v>1</v>
      </c>
    </row>
    <row r="21" spans="1:29" ht="15">
      <c r="A21" s="428"/>
      <c r="B21" s="1386" t="s">
        <v>2090</v>
      </c>
      <c r="C21" s="260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73"/>
      <c r="Q21" s="1812" t="str">
        <f>B21</f>
        <v>基础设施水平</v>
      </c>
      <c r="R21" s="774" t="s">
        <v>17</v>
      </c>
      <c r="S21" s="775">
        <f>F21</f>
        <v>100</v>
      </c>
      <c r="T21" s="774" t="s">
        <v>17</v>
      </c>
      <c r="U21" s="775">
        <f>H21</f>
        <v>100</v>
      </c>
      <c r="V21" s="774" t="s">
        <v>17</v>
      </c>
      <c r="W21" s="775">
        <f>J21</f>
        <v>100</v>
      </c>
      <c r="X21" s="1815"/>
      <c r="Y21" s="3207"/>
      <c r="Z21" s="1816" t="str">
        <f>Q21</f>
        <v>基础设施水平</v>
      </c>
      <c r="AA21" s="1813">
        <f t="shared" ref="AA21" si="8">D21/F21</f>
        <v>1</v>
      </c>
      <c r="AB21" s="1813">
        <f t="shared" ref="AB21" si="9">D21/H21</f>
        <v>1</v>
      </c>
      <c r="AC21" s="1813">
        <f t="shared" ref="AC21" si="10">D21/J21</f>
        <v>1</v>
      </c>
    </row>
    <row r="22" spans="1:29" ht="15">
      <c r="A22" s="428"/>
      <c r="B22" s="1386"/>
      <c r="C22" s="2604"/>
      <c r="D22" s="448"/>
      <c r="E22" s="447"/>
      <c r="F22" s="448"/>
      <c r="G22" s="2607"/>
      <c r="H22" s="448"/>
      <c r="I22" s="447"/>
      <c r="J22" s="448"/>
      <c r="K22" s="2608"/>
      <c r="L22" s="1142"/>
      <c r="M22" s="1133"/>
      <c r="N22" s="1133"/>
      <c r="O22" s="1133"/>
      <c r="P22" s="3273"/>
      <c r="Q22" s="1812"/>
      <c r="R22" s="774"/>
      <c r="S22" s="775"/>
      <c r="T22" s="774"/>
      <c r="U22" s="775"/>
      <c r="V22" s="774"/>
      <c r="W22" s="775"/>
      <c r="X22" s="1815"/>
      <c r="Y22" s="3207"/>
      <c r="Z22" s="1816"/>
      <c r="AA22" s="1813">
        <v>1</v>
      </c>
      <c r="AB22" s="1813">
        <v>1</v>
      </c>
      <c r="AC22" s="1813">
        <v>1</v>
      </c>
    </row>
    <row r="23" spans="1:29" ht="15">
      <c r="A23" s="428"/>
      <c r="B23" s="451" t="s">
        <v>2092</v>
      </c>
      <c r="C23" s="260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73"/>
      <c r="Q23" s="1812" t="str">
        <f>B23</f>
        <v>自然及人文环境</v>
      </c>
      <c r="R23" s="774" t="s">
        <v>21</v>
      </c>
      <c r="S23" s="775">
        <f>F23</f>
        <v>100</v>
      </c>
      <c r="T23" s="774" t="s">
        <v>21</v>
      </c>
      <c r="U23" s="775">
        <f>H23</f>
        <v>100</v>
      </c>
      <c r="V23" s="774" t="s">
        <v>21</v>
      </c>
      <c r="W23" s="775">
        <f>J23</f>
        <v>100</v>
      </c>
      <c r="X23" s="1815"/>
      <c r="Y23" s="3207"/>
      <c r="Z23" s="1816" t="str">
        <f>Q23</f>
        <v>自然及人文环境</v>
      </c>
      <c r="AA23" s="1813">
        <f>D23/F23</f>
        <v>1</v>
      </c>
      <c r="AB23" s="1813">
        <f>D23/H23</f>
        <v>1</v>
      </c>
      <c r="AC23" s="1813">
        <f>D23/J23</f>
        <v>1</v>
      </c>
    </row>
    <row r="24" spans="1:29" ht="15">
      <c r="A24" s="428"/>
      <c r="B24" s="456"/>
      <c r="C24" s="447"/>
      <c r="D24" s="448"/>
      <c r="E24" s="2600"/>
      <c r="F24" s="448"/>
      <c r="G24" s="2601"/>
      <c r="H24" s="448"/>
      <c r="I24" s="2601"/>
      <c r="J24" s="448"/>
      <c r="K24" s="2602"/>
      <c r="L24" s="1142"/>
      <c r="M24" s="1133"/>
      <c r="N24" s="1133"/>
      <c r="O24" s="1133"/>
      <c r="P24" s="3273"/>
      <c r="Q24" s="1812"/>
      <c r="R24" s="774"/>
      <c r="S24" s="775"/>
      <c r="T24" s="774"/>
      <c r="U24" s="775"/>
      <c r="V24" s="774"/>
      <c r="W24" s="775"/>
      <c r="X24" s="1815"/>
      <c r="Y24" s="3207"/>
      <c r="Z24" s="1816"/>
      <c r="AA24" s="1813">
        <v>1</v>
      </c>
      <c r="AB24" s="1813">
        <v>1</v>
      </c>
      <c r="AC24" s="1813">
        <v>1</v>
      </c>
    </row>
    <row r="25" spans="1:29" ht="15">
      <c r="A25" s="428"/>
      <c r="B25" s="422" t="s">
        <v>2549</v>
      </c>
      <c r="C25" s="460"/>
      <c r="D25" s="435">
        <v>100</v>
      </c>
      <c r="E25" s="2609"/>
      <c r="F25" s="435">
        <f>SUMIF(86:86,E25,87:87)-SUMIF(86:86,C25,87:87)+100</f>
        <v>100</v>
      </c>
      <c r="G25" s="2610"/>
      <c r="H25" s="435">
        <f>SUMIF(86:86,G25,87:87)-SUMIF(86:86,C25,87:87)+100</f>
        <v>100</v>
      </c>
      <c r="I25" s="2610"/>
      <c r="J25" s="435">
        <f>SUMIF(86:86,I25,87:87)-SUMIF(86:86,C25,87:87)+100</f>
        <v>100</v>
      </c>
      <c r="K25" s="426"/>
      <c r="L25" s="1142"/>
      <c r="M25" s="1133"/>
      <c r="N25" s="1133"/>
      <c r="O25" s="1133"/>
      <c r="P25" s="327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7"/>
      <c r="Z25" s="1816" t="str">
        <f>Q25</f>
        <v>楼层-1</v>
      </c>
      <c r="AA25" s="1813">
        <f t="shared" ref="AA25:AA46" si="15">D25/F25</f>
        <v>1</v>
      </c>
      <c r="AB25" s="1813">
        <f t="shared" ref="AB25:AB46" si="16">D25/H25</f>
        <v>1</v>
      </c>
      <c r="AC25" s="1813">
        <f t="shared" ref="AC25:AC46" si="17">D25/J25</f>
        <v>1</v>
      </c>
    </row>
    <row r="26" spans="1:29" ht="15">
      <c r="A26" s="428"/>
      <c r="B26" s="422" t="s">
        <v>2550</v>
      </c>
      <c r="C26" s="460"/>
      <c r="D26" s="435">
        <v>100</v>
      </c>
      <c r="E26" s="2609"/>
      <c r="F26" s="435">
        <f>SUMIF(88:88,E26,89:89)-SUMIF(88:88,C26,89:89)+100</f>
        <v>100</v>
      </c>
      <c r="G26" s="2610"/>
      <c r="H26" s="435">
        <f>SUMIF(88:88,G26,89:89)-SUMIF(88:88,C26,89:89)+100</f>
        <v>100</v>
      </c>
      <c r="I26" s="2610"/>
      <c r="J26" s="435">
        <f>SUMIF(88:88,I26,89:89)-SUMIF(88:88,C26,89:89)+100</f>
        <v>100</v>
      </c>
      <c r="K26" s="426"/>
      <c r="L26" s="1142"/>
      <c r="M26" s="1133"/>
      <c r="N26" s="1133"/>
      <c r="O26" s="1133"/>
      <c r="P26" s="3273"/>
      <c r="Q26" s="1812" t="str">
        <f t="shared" si="11"/>
        <v>朝向</v>
      </c>
      <c r="R26" s="774" t="s">
        <v>21</v>
      </c>
      <c r="S26" s="775">
        <f t="shared" si="12"/>
        <v>100</v>
      </c>
      <c r="T26" s="774" t="s">
        <v>21</v>
      </c>
      <c r="U26" s="775">
        <f t="shared" si="13"/>
        <v>100</v>
      </c>
      <c r="V26" s="774" t="s">
        <v>21</v>
      </c>
      <c r="W26" s="775">
        <f t="shared" si="14"/>
        <v>100</v>
      </c>
      <c r="X26" s="1815"/>
      <c r="Y26" s="3207"/>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7"/>
      <c r="L27" s="1134"/>
      <c r="M27" s="1135"/>
      <c r="N27" s="1135"/>
      <c r="O27" s="1135"/>
      <c r="P27" s="3273"/>
      <c r="Q27" s="1797">
        <f t="shared" si="11"/>
        <v>111</v>
      </c>
      <c r="R27" s="770" t="s">
        <v>21</v>
      </c>
      <c r="S27" s="771">
        <f t="shared" si="12"/>
        <v>100</v>
      </c>
      <c r="T27" s="770" t="s">
        <v>21</v>
      </c>
      <c r="U27" s="771">
        <f t="shared" si="13"/>
        <v>100</v>
      </c>
      <c r="V27" s="770" t="s">
        <v>21</v>
      </c>
      <c r="W27" s="771">
        <f t="shared" si="14"/>
        <v>100</v>
      </c>
      <c r="X27" s="772"/>
      <c r="Y27" s="3207"/>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1"/>
      <c r="H28" s="435">
        <f>SUMIF(92:92,G28,93:93)-SUMIF(92:92,C28,93:93)+100</f>
        <v>100</v>
      </c>
      <c r="I28" s="434"/>
      <c r="J28" s="435">
        <f>SUMIF(92:92,I28,93:93)-SUMIF(92:92,C28,93:93)+100</f>
        <v>100</v>
      </c>
      <c r="K28" s="2597"/>
      <c r="L28" s="1142"/>
      <c r="M28" s="1133"/>
      <c r="N28" s="1133"/>
      <c r="O28" s="1133"/>
      <c r="P28" s="3273"/>
      <c r="Q28" s="1812">
        <f t="shared" si="11"/>
        <v>111</v>
      </c>
      <c r="R28" s="774" t="s">
        <v>21</v>
      </c>
      <c r="S28" s="775">
        <f t="shared" si="12"/>
        <v>100</v>
      </c>
      <c r="T28" s="774" t="s">
        <v>21</v>
      </c>
      <c r="U28" s="775">
        <f t="shared" si="13"/>
        <v>100</v>
      </c>
      <c r="V28" s="774" t="s">
        <v>21</v>
      </c>
      <c r="W28" s="775">
        <f t="shared" si="14"/>
        <v>100</v>
      </c>
      <c r="X28" s="1815"/>
      <c r="Y28" s="3207"/>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1"/>
      <c r="H29" s="435">
        <f>SUMIF(94:94,G29,95:95)-SUMIF(94:94,C29,95:95)+100</f>
        <v>100</v>
      </c>
      <c r="I29" s="434"/>
      <c r="J29" s="435">
        <f>SUMIF(94:94,I29,95:95)-SUMIF(94:94,C29,95:95)+100</f>
        <v>100</v>
      </c>
      <c r="K29" s="2597"/>
      <c r="L29" s="1142"/>
      <c r="M29" s="1133"/>
      <c r="N29" s="1133"/>
      <c r="O29" s="1133"/>
      <c r="P29" s="3273"/>
      <c r="Q29" s="1812">
        <f t="shared" si="11"/>
        <v>111</v>
      </c>
      <c r="R29" s="774" t="s">
        <v>21</v>
      </c>
      <c r="S29" s="775">
        <f t="shared" si="12"/>
        <v>100</v>
      </c>
      <c r="T29" s="774" t="s">
        <v>21</v>
      </c>
      <c r="U29" s="775">
        <f t="shared" si="13"/>
        <v>100</v>
      </c>
      <c r="V29" s="774" t="s">
        <v>21</v>
      </c>
      <c r="W29" s="775">
        <f t="shared" si="14"/>
        <v>100</v>
      </c>
      <c r="X29" s="1815"/>
      <c r="Y29" s="3207"/>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1"/>
      <c r="H30" s="435">
        <f>SUMIF(96:96,G30,97:97)-SUMIF(96:96,C30,97:97)+100</f>
        <v>100</v>
      </c>
      <c r="I30" s="434"/>
      <c r="J30" s="435">
        <f>SUMIF(96:96,I30,97:97)-SUMIF(96:96,C30,97:97)+100</f>
        <v>100</v>
      </c>
      <c r="K30" s="2597"/>
      <c r="L30" s="1142"/>
      <c r="M30" s="1133"/>
      <c r="N30" s="1133"/>
      <c r="O30" s="1133"/>
      <c r="P30" s="3273"/>
      <c r="Q30" s="1812">
        <f t="shared" si="11"/>
        <v>111</v>
      </c>
      <c r="R30" s="774" t="s">
        <v>21</v>
      </c>
      <c r="S30" s="775">
        <f t="shared" si="12"/>
        <v>100</v>
      </c>
      <c r="T30" s="774" t="s">
        <v>21</v>
      </c>
      <c r="U30" s="775">
        <f t="shared" si="13"/>
        <v>100</v>
      </c>
      <c r="V30" s="774" t="s">
        <v>21</v>
      </c>
      <c r="W30" s="775">
        <f t="shared" si="14"/>
        <v>100</v>
      </c>
      <c r="X30" s="1815"/>
      <c r="Y30" s="3207"/>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2"/>
      <c r="H31" s="438">
        <f>SUMIF(98:98,G31,99:99)-SUMIF(98:98,C31,99:99)+100</f>
        <v>100</v>
      </c>
      <c r="I31" s="437"/>
      <c r="J31" s="438">
        <f>SUMIF(98:98,I31,99:99)-SUMIF(98:98,C31,99:99)+100</f>
        <v>100</v>
      </c>
      <c r="K31" s="2597"/>
      <c r="L31" s="1142"/>
      <c r="M31" s="1133"/>
      <c r="N31" s="1133"/>
      <c r="O31" s="1133"/>
      <c r="P31" s="3273"/>
      <c r="Q31" s="1812">
        <f t="shared" si="11"/>
        <v>111</v>
      </c>
      <c r="R31" s="774" t="s">
        <v>21</v>
      </c>
      <c r="S31" s="775">
        <f t="shared" si="12"/>
        <v>100</v>
      </c>
      <c r="T31" s="774" t="s">
        <v>21</v>
      </c>
      <c r="U31" s="775">
        <f t="shared" si="13"/>
        <v>100</v>
      </c>
      <c r="V31" s="774" t="s">
        <v>21</v>
      </c>
      <c r="W31" s="775">
        <f t="shared" si="14"/>
        <v>100</v>
      </c>
      <c r="X31" s="1815"/>
      <c r="Y31" s="3207"/>
      <c r="Z31" s="1816">
        <f t="shared" si="18"/>
        <v>111</v>
      </c>
      <c r="AA31" s="1813">
        <f t="shared" si="15"/>
        <v>1</v>
      </c>
      <c r="AB31" s="1813">
        <f t="shared" si="16"/>
        <v>1</v>
      </c>
      <c r="AC31" s="1813">
        <f t="shared" si="17"/>
        <v>1</v>
      </c>
    </row>
    <row r="32" spans="1:29" ht="15">
      <c r="A32" s="440" t="s">
        <v>2551</v>
      </c>
      <c r="B32" s="71" t="s">
        <v>2552</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2"/>
      <c r="M32" s="1133"/>
      <c r="N32" s="1133"/>
      <c r="O32" s="1133"/>
      <c r="P32" s="3269" t="s">
        <v>2553</v>
      </c>
      <c r="Q32" s="1812" t="str">
        <f t="shared" si="11"/>
        <v>建筑类型</v>
      </c>
      <c r="R32" s="774" t="s">
        <v>21</v>
      </c>
      <c r="S32" s="775">
        <f t="shared" si="12"/>
        <v>100</v>
      </c>
      <c r="T32" s="774" t="s">
        <v>21</v>
      </c>
      <c r="U32" s="775">
        <f t="shared" si="13"/>
        <v>100</v>
      </c>
      <c r="V32" s="774" t="s">
        <v>21</v>
      </c>
      <c r="W32" s="775">
        <f t="shared" si="14"/>
        <v>100</v>
      </c>
      <c r="X32" s="1815"/>
      <c r="Y32" s="3209" t="s">
        <v>2553</v>
      </c>
      <c r="Z32" s="1816" t="str">
        <f t="shared" si="18"/>
        <v>建筑类型</v>
      </c>
      <c r="AA32" s="1813">
        <f t="shared" si="15"/>
        <v>1</v>
      </c>
      <c r="AB32" s="1813">
        <f t="shared" si="16"/>
        <v>1</v>
      </c>
      <c r="AC32" s="1813">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0"/>
      <c r="M33" s="1143"/>
      <c r="N33" s="1143"/>
      <c r="O33" s="1143"/>
      <c r="P33" s="3270"/>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3" t="e">
        <f t="shared" si="15"/>
        <v>#N/A</v>
      </c>
      <c r="AB33" s="1813" t="e">
        <f t="shared" si="16"/>
        <v>#N/A</v>
      </c>
      <c r="AC33" s="1813" t="e">
        <f t="shared" si="17"/>
        <v>#N/A</v>
      </c>
    </row>
    <row r="34" spans="1:29" ht="15">
      <c r="A34" s="472"/>
      <c r="B34" s="422" t="s">
        <v>2555</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2"/>
      <c r="M34" s="1133"/>
      <c r="N34" s="1133"/>
      <c r="O34" s="1133"/>
      <c r="P34" s="3270"/>
      <c r="Q34" s="1812" t="str">
        <f t="shared" si="11"/>
        <v>建筑结构</v>
      </c>
      <c r="R34" s="774" t="s">
        <v>21</v>
      </c>
      <c r="S34" s="775">
        <f t="shared" si="12"/>
        <v>100</v>
      </c>
      <c r="T34" s="774" t="s">
        <v>21</v>
      </c>
      <c r="U34" s="775">
        <f t="shared" si="13"/>
        <v>100</v>
      </c>
      <c r="V34" s="774" t="s">
        <v>21</v>
      </c>
      <c r="W34" s="775">
        <f t="shared" si="14"/>
        <v>100</v>
      </c>
      <c r="X34" s="1815"/>
      <c r="Y34" s="3209"/>
      <c r="Z34" s="1816" t="str">
        <f t="shared" si="18"/>
        <v>建筑结构</v>
      </c>
      <c r="AA34" s="1813">
        <f t="shared" si="15"/>
        <v>1</v>
      </c>
      <c r="AB34" s="1813">
        <f t="shared" si="16"/>
        <v>1</v>
      </c>
      <c r="AC34" s="1813">
        <f t="shared" si="17"/>
        <v>1</v>
      </c>
    </row>
    <row r="35" spans="1:29" ht="15">
      <c r="A35" s="472"/>
      <c r="B35" s="422" t="s">
        <v>2556</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2"/>
      <c r="M35" s="1133"/>
      <c r="N35" s="1133"/>
      <c r="O35" s="1133"/>
      <c r="P35" s="3270"/>
      <c r="Q35" s="1812" t="str">
        <f t="shared" si="11"/>
        <v>建筑品质</v>
      </c>
      <c r="R35" s="774" t="s">
        <v>21</v>
      </c>
      <c r="S35" s="775">
        <f t="shared" si="12"/>
        <v>100</v>
      </c>
      <c r="T35" s="774" t="s">
        <v>21</v>
      </c>
      <c r="U35" s="775">
        <f t="shared" si="13"/>
        <v>100</v>
      </c>
      <c r="V35" s="774" t="s">
        <v>21</v>
      </c>
      <c r="W35" s="775">
        <f t="shared" si="14"/>
        <v>100</v>
      </c>
      <c r="X35" s="1815"/>
      <c r="Y35" s="3209"/>
      <c r="Z35" s="1816" t="str">
        <f t="shared" si="18"/>
        <v>建筑品质</v>
      </c>
      <c r="AA35" s="1813">
        <f t="shared" si="15"/>
        <v>1</v>
      </c>
      <c r="AB35" s="1813">
        <f t="shared" si="16"/>
        <v>1</v>
      </c>
      <c r="AC35" s="1813">
        <f t="shared" si="17"/>
        <v>1</v>
      </c>
    </row>
    <row r="36" spans="1:29" ht="15">
      <c r="A36" s="472"/>
      <c r="B36" s="422" t="s">
        <v>2557</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2"/>
      <c r="M36" s="1133"/>
      <c r="N36" s="1133"/>
      <c r="O36" s="1133"/>
      <c r="P36" s="3270"/>
      <c r="Q36" s="1812" t="str">
        <f t="shared" si="11"/>
        <v>公共部分装修</v>
      </c>
      <c r="R36" s="774" t="s">
        <v>21</v>
      </c>
      <c r="S36" s="775">
        <f t="shared" si="12"/>
        <v>100</v>
      </c>
      <c r="T36" s="774" t="s">
        <v>21</v>
      </c>
      <c r="U36" s="775">
        <f t="shared" si="13"/>
        <v>100</v>
      </c>
      <c r="V36" s="774" t="s">
        <v>21</v>
      </c>
      <c r="W36" s="775">
        <f t="shared" si="14"/>
        <v>100</v>
      </c>
      <c r="X36" s="1815"/>
      <c r="Y36" s="3209"/>
      <c r="Z36" s="1816" t="str">
        <f t="shared" si="18"/>
        <v>公共部分装修</v>
      </c>
      <c r="AA36" s="1813">
        <f t="shared" si="15"/>
        <v>1</v>
      </c>
      <c r="AB36" s="1813">
        <f t="shared" si="16"/>
        <v>1</v>
      </c>
      <c r="AC36" s="1813">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70"/>
      <c r="Q37" s="1797"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2559</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2"/>
      <c r="M38" s="1133"/>
      <c r="N38" s="1133"/>
      <c r="O38" s="1133"/>
      <c r="P38" s="3270" t="s">
        <v>2553</v>
      </c>
      <c r="Q38" s="1812" t="str">
        <f t="shared" si="11"/>
        <v>物业管理</v>
      </c>
      <c r="R38" s="774" t="s">
        <v>21</v>
      </c>
      <c r="S38" s="775">
        <f t="shared" si="12"/>
        <v>100</v>
      </c>
      <c r="T38" s="774" t="s">
        <v>21</v>
      </c>
      <c r="U38" s="775">
        <f t="shared" si="13"/>
        <v>100</v>
      </c>
      <c r="V38" s="774" t="s">
        <v>21</v>
      </c>
      <c r="W38" s="775">
        <f t="shared" si="14"/>
        <v>100</v>
      </c>
      <c r="X38" s="1815"/>
      <c r="Y38" s="3209" t="s">
        <v>2553</v>
      </c>
      <c r="Z38" s="1816" t="str">
        <f t="shared" si="18"/>
        <v>物业管理</v>
      </c>
      <c r="AA38" s="1813">
        <f t="shared" si="15"/>
        <v>1</v>
      </c>
      <c r="AB38" s="1813">
        <f t="shared" si="16"/>
        <v>1</v>
      </c>
      <c r="AC38" s="1813">
        <f t="shared" si="17"/>
        <v>1</v>
      </c>
    </row>
    <row r="39" spans="1:29" ht="15">
      <c r="A39" s="472"/>
      <c r="B39" s="422" t="s">
        <v>2560</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2"/>
      <c r="M39" s="1133"/>
      <c r="N39" s="1133"/>
      <c r="O39" s="1133"/>
      <c r="P39" s="3270"/>
      <c r="Q39" s="1812" t="str">
        <f t="shared" si="11"/>
        <v>市政基础设施</v>
      </c>
      <c r="R39" s="774" t="s">
        <v>21</v>
      </c>
      <c r="S39" s="775">
        <f t="shared" si="12"/>
        <v>100</v>
      </c>
      <c r="T39" s="774" t="s">
        <v>21</v>
      </c>
      <c r="U39" s="775">
        <f t="shared" si="13"/>
        <v>100</v>
      </c>
      <c r="V39" s="774" t="s">
        <v>21</v>
      </c>
      <c r="W39" s="775">
        <f t="shared" si="14"/>
        <v>100</v>
      </c>
      <c r="X39" s="1815"/>
      <c r="Y39" s="3209"/>
      <c r="Z39" s="1816" t="str">
        <f t="shared" si="18"/>
        <v>市政基础设施</v>
      </c>
      <c r="AA39" s="1813">
        <f t="shared" si="15"/>
        <v>1</v>
      </c>
      <c r="AB39" s="1813">
        <f t="shared" si="16"/>
        <v>1</v>
      </c>
      <c r="AC39" s="1813">
        <f t="shared" si="17"/>
        <v>1</v>
      </c>
    </row>
    <row r="40" spans="1:29" ht="15">
      <c r="A40" s="472"/>
      <c r="B40" s="422" t="s">
        <v>2561</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2"/>
      <c r="M40" s="1133"/>
      <c r="N40" s="1133"/>
      <c r="O40" s="1133"/>
      <c r="P40" s="3270"/>
      <c r="Q40" s="1812" t="str">
        <f t="shared" si="11"/>
        <v>房型</v>
      </c>
      <c r="R40" s="774" t="s">
        <v>21</v>
      </c>
      <c r="S40" s="775">
        <f t="shared" si="12"/>
        <v>100</v>
      </c>
      <c r="T40" s="774" t="s">
        <v>21</v>
      </c>
      <c r="U40" s="775">
        <f t="shared" si="13"/>
        <v>100</v>
      </c>
      <c r="V40" s="774" t="s">
        <v>21</v>
      </c>
      <c r="W40" s="775">
        <f t="shared" si="14"/>
        <v>100</v>
      </c>
      <c r="X40" s="1815"/>
      <c r="Y40" s="3209"/>
      <c r="Z40" s="1816" t="str">
        <f t="shared" si="18"/>
        <v>房型</v>
      </c>
      <c r="AA40" s="1813">
        <f t="shared" si="15"/>
        <v>1</v>
      </c>
      <c r="AB40" s="1813">
        <f t="shared" si="16"/>
        <v>1</v>
      </c>
      <c r="AC40" s="1813">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0"/>
      <c r="M41" s="1143"/>
      <c r="N41" s="1143"/>
      <c r="O41" s="1143"/>
      <c r="P41" s="3270"/>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3">
        <f t="shared" si="15"/>
        <v>1</v>
      </c>
      <c r="AB41" s="1813">
        <f t="shared" si="16"/>
        <v>1</v>
      </c>
      <c r="AC41" s="1813">
        <f t="shared" si="17"/>
        <v>1</v>
      </c>
    </row>
    <row r="42" spans="1:29" ht="15">
      <c r="A42" s="472"/>
      <c r="B42" s="422" t="s">
        <v>2563</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2"/>
      <c r="M42" s="1133"/>
      <c r="N42" s="1133"/>
      <c r="O42" s="1133"/>
      <c r="P42" s="3270"/>
      <c r="Q42" s="1812" t="str">
        <f t="shared" si="11"/>
        <v>内部装修</v>
      </c>
      <c r="R42" s="774" t="s">
        <v>21</v>
      </c>
      <c r="S42" s="775">
        <f t="shared" si="12"/>
        <v>100</v>
      </c>
      <c r="T42" s="774" t="s">
        <v>21</v>
      </c>
      <c r="U42" s="775">
        <f t="shared" si="13"/>
        <v>100</v>
      </c>
      <c r="V42" s="774" t="s">
        <v>21</v>
      </c>
      <c r="W42" s="775">
        <f t="shared" si="14"/>
        <v>100</v>
      </c>
      <c r="X42" s="1815"/>
      <c r="Y42" s="3209"/>
      <c r="Z42" s="1816" t="str">
        <f t="shared" si="18"/>
        <v>内部装修</v>
      </c>
      <c r="AA42" s="1813">
        <f t="shared" si="15"/>
        <v>1</v>
      </c>
      <c r="AB42" s="1813">
        <f t="shared" si="16"/>
        <v>1</v>
      </c>
      <c r="AC42" s="1813">
        <f t="shared" si="17"/>
        <v>1</v>
      </c>
    </row>
    <row r="43" spans="1:29" ht="15">
      <c r="A43" s="472"/>
      <c r="B43" s="422" t="s">
        <v>2564</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2"/>
      <c r="M43" s="1133"/>
      <c r="N43" s="1133"/>
      <c r="O43" s="1133"/>
      <c r="P43" s="3270"/>
      <c r="Q43" s="1812" t="str">
        <f t="shared" si="11"/>
        <v>内部装修维护情况</v>
      </c>
      <c r="R43" s="774" t="s">
        <v>21</v>
      </c>
      <c r="S43" s="775">
        <f t="shared" si="12"/>
        <v>100</v>
      </c>
      <c r="T43" s="774" t="s">
        <v>21</v>
      </c>
      <c r="U43" s="775">
        <f t="shared" si="13"/>
        <v>100</v>
      </c>
      <c r="V43" s="774" t="s">
        <v>21</v>
      </c>
      <c r="W43" s="775">
        <f t="shared" si="14"/>
        <v>100</v>
      </c>
      <c r="X43" s="1815"/>
      <c r="Y43" s="3209"/>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4"/>
      <c r="M44" s="1135"/>
      <c r="N44" s="1135"/>
      <c r="O44" s="1135"/>
      <c r="P44" s="3270"/>
      <c r="Q44" s="1797">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2"/>
      <c r="M45" s="1133"/>
      <c r="N45" s="1133"/>
      <c r="O45" s="1133"/>
      <c r="P45" s="3270"/>
      <c r="Q45" s="1812">
        <f t="shared" si="11"/>
        <v>111</v>
      </c>
      <c r="R45" s="774" t="s">
        <v>21</v>
      </c>
      <c r="S45" s="775">
        <f t="shared" si="12"/>
        <v>100</v>
      </c>
      <c r="T45" s="774" t="s">
        <v>21</v>
      </c>
      <c r="U45" s="775">
        <f t="shared" si="13"/>
        <v>100</v>
      </c>
      <c r="V45" s="774" t="s">
        <v>21</v>
      </c>
      <c r="W45" s="775">
        <f t="shared" si="14"/>
        <v>100</v>
      </c>
      <c r="X45" s="1815"/>
      <c r="Y45" s="3209"/>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2"/>
      <c r="M46" s="1133"/>
      <c r="N46" s="1133"/>
      <c r="O46" s="1133"/>
      <c r="P46" s="3271"/>
      <c r="Q46" s="1812">
        <f t="shared" si="11"/>
        <v>111</v>
      </c>
      <c r="R46" s="774" t="s">
        <v>20</v>
      </c>
      <c r="S46" s="775">
        <f t="shared" si="12"/>
        <v>100</v>
      </c>
      <c r="T46" s="774" t="s">
        <v>20</v>
      </c>
      <c r="U46" s="775">
        <f t="shared" si="13"/>
        <v>100</v>
      </c>
      <c r="V46" s="774" t="s">
        <v>20</v>
      </c>
      <c r="W46" s="775">
        <f t="shared" si="14"/>
        <v>100</v>
      </c>
      <c r="X46" s="1815"/>
      <c r="Y46" s="3210"/>
      <c r="Z46" s="1816">
        <f t="shared" si="18"/>
        <v>111</v>
      </c>
      <c r="AA46" s="1813">
        <f t="shared" si="15"/>
        <v>1</v>
      </c>
      <c r="AB46" s="1813">
        <f t="shared" si="16"/>
        <v>1</v>
      </c>
      <c r="AC46" s="1813">
        <f t="shared" si="17"/>
        <v>1</v>
      </c>
    </row>
    <row r="47" spans="1:29" ht="15">
      <c r="A47" s="479" t="s">
        <v>2565</v>
      </c>
      <c r="B47" s="480"/>
      <c r="C47" s="1409" t="s">
        <v>19</v>
      </c>
      <c r="D47" s="1410"/>
      <c r="E47" s="1411"/>
      <c r="F47" s="1412"/>
      <c r="G47" s="1413"/>
      <c r="H47" s="1414"/>
      <c r="I47" s="1411"/>
      <c r="J47" s="1414"/>
      <c r="K47" s="2617"/>
      <c r="L47" s="1145"/>
      <c r="M47" s="1146"/>
      <c r="N47" s="1133"/>
      <c r="O47" s="1146"/>
      <c r="P47" s="3201" t="str">
        <f>A47</f>
        <v>成交单价（元/平方米）</v>
      </c>
      <c r="Q47" s="3201"/>
      <c r="R47" s="3202">
        <f>E47</f>
        <v>0</v>
      </c>
      <c r="S47" s="3202"/>
      <c r="T47" s="3202">
        <f>G47</f>
        <v>0</v>
      </c>
      <c r="U47" s="3202"/>
      <c r="V47" s="3202">
        <f>I47</f>
        <v>0</v>
      </c>
      <c r="W47" s="3202"/>
      <c r="X47" s="759"/>
      <c r="Y47" s="781"/>
      <c r="Z47" s="759"/>
      <c r="AA47" s="759"/>
      <c r="AB47" s="759"/>
      <c r="AC47" s="759"/>
    </row>
    <row r="48" spans="1:29" ht="15.75" thickBot="1">
      <c r="A48" s="486" t="s">
        <v>2566</v>
      </c>
      <c r="B48" s="487"/>
      <c r="C48" s="1415" t="e">
        <f>R49</f>
        <v>#DIV/0!</v>
      </c>
      <c r="D48" s="1416"/>
      <c r="E48" s="1417" t="e">
        <f>R48</f>
        <v>#DIV/0!</v>
      </c>
      <c r="F48" s="1417"/>
      <c r="G48" s="1415" t="e">
        <f>T48</f>
        <v>#DIV/0!</v>
      </c>
      <c r="H48" s="1416"/>
      <c r="I48" s="1417" t="e">
        <f>V48</f>
        <v>#DIV/0!</v>
      </c>
      <c r="J48" s="1416"/>
      <c r="K48" s="2618"/>
      <c r="L48" s="1145"/>
      <c r="M48" s="1146"/>
      <c r="N48" s="1146"/>
      <c r="O48" s="1146"/>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2567</v>
      </c>
      <c r="B49" s="493"/>
      <c r="C49" s="1418" t="e">
        <f>R49</f>
        <v>#DIV/0!</v>
      </c>
      <c r="D49" s="1419"/>
      <c r="E49" s="1419"/>
      <c r="F49" s="1419"/>
      <c r="G49" s="1419"/>
      <c r="H49" s="1419"/>
      <c r="I49" s="1419"/>
      <c r="J49" s="1419"/>
      <c r="K49" s="2619"/>
      <c r="L49" s="1145"/>
      <c r="M49" s="1146"/>
      <c r="N49" s="1146"/>
      <c r="O49" s="1146"/>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1"/>
    </row>
    <row r="55" spans="1:29" s="502" customFormat="1">
      <c r="A55" s="1147"/>
      <c r="B55" s="1148"/>
      <c r="C55" s="1152"/>
      <c r="D55" s="1147"/>
      <c r="E55" s="1147"/>
      <c r="F55" s="1147"/>
      <c r="G55" s="1147"/>
      <c r="H55" s="1147"/>
      <c r="I55" s="1147"/>
      <c r="J55" s="1147"/>
      <c r="K55" s="1150"/>
      <c r="L55" s="1151"/>
      <c r="M55" s="1147"/>
      <c r="N55" s="1147"/>
      <c r="O55" s="1147"/>
      <c r="P55" s="2621"/>
    </row>
    <row r="56" spans="1:29">
      <c r="A56" s="1146"/>
      <c r="B56" s="1148"/>
      <c r="C56" s="1152"/>
      <c r="D56" s="1146"/>
      <c r="E56" s="1146"/>
      <c r="F56" s="1146"/>
      <c r="G56" s="1146"/>
      <c r="H56" s="1146"/>
      <c r="I56" s="1146"/>
      <c r="J56" s="1146"/>
      <c r="K56" s="1107"/>
      <c r="L56" s="1108"/>
      <c r="M56" s="1146"/>
      <c r="N56" s="1146"/>
      <c r="O56" s="1146"/>
    </row>
    <row r="57" spans="1:29" ht="21.75" thickBot="1">
      <c r="A57" s="763" t="s">
        <v>2571</v>
      </c>
      <c r="B57" s="759"/>
      <c r="C57" s="764"/>
      <c r="D57" s="764"/>
      <c r="E57" s="764"/>
      <c r="F57" s="765"/>
      <c r="G57" s="765"/>
      <c r="H57" s="764"/>
      <c r="I57" s="764"/>
      <c r="J57" s="764"/>
      <c r="K57" s="1162"/>
      <c r="L57" s="1163"/>
      <c r="M57" s="1161"/>
      <c r="N57" s="1161"/>
      <c r="O57" s="1161"/>
      <c r="P57" s="2622"/>
      <c r="Q57" s="504"/>
    </row>
    <row r="58" spans="1:29" s="508" customFormat="1" ht="15">
      <c r="A58" s="505" t="s">
        <v>2572</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23"/>
      <c r="C59" s="1575">
        <v>100</v>
      </c>
      <c r="D59" s="511"/>
      <c r="E59" s="512"/>
      <c r="F59" s="512"/>
      <c r="G59" s="512"/>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2574</v>
      </c>
      <c r="B61" s="510"/>
      <c r="C61" s="522" t="s">
        <v>2575</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2576</v>
      </c>
      <c r="B63" s="528" t="s">
        <v>2542</v>
      </c>
      <c r="C63" s="529">
        <f>C9</f>
        <v>0</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4"/>
      <c r="O65" s="1154"/>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6"/>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6"/>
      <c r="Q67" s="504"/>
    </row>
    <row r="68" spans="1:17" ht="15">
      <c r="A68" s="534"/>
      <c r="B68" s="548"/>
      <c r="C68" s="549"/>
      <c r="D68" s="549"/>
      <c r="E68" s="549"/>
      <c r="F68" s="549"/>
      <c r="G68" s="549"/>
      <c r="H68" s="549"/>
      <c r="I68" s="549"/>
      <c r="J68" s="549"/>
      <c r="K68" s="550"/>
      <c r="L68" s="551"/>
      <c r="M68" s="552"/>
      <c r="N68" s="1154"/>
      <c r="O68" s="1154"/>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60"/>
      <c r="E73" s="560"/>
      <c r="F73" s="560"/>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4"/>
      <c r="O76" s="1154"/>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4"/>
      <c r="O78" s="1154"/>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4"/>
      <c r="O80" s="1154"/>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6"/>
      <c r="Q81" s="504"/>
    </row>
    <row r="82" spans="1:17" ht="15.75" thickTop="1">
      <c r="A82" s="534"/>
      <c r="B82" s="546" t="s">
        <v>2090</v>
      </c>
      <c r="C82" s="539" t="s">
        <v>2592</v>
      </c>
      <c r="D82" s="539" t="s">
        <v>2593</v>
      </c>
      <c r="E82" s="539" t="s">
        <v>2594</v>
      </c>
      <c r="F82" s="539" t="s">
        <v>2595</v>
      </c>
      <c r="G82" s="539" t="s">
        <v>2596</v>
      </c>
      <c r="H82" s="539"/>
      <c r="I82" s="539"/>
      <c r="J82" s="539"/>
      <c r="K82" s="539"/>
      <c r="L82" s="539"/>
      <c r="M82" s="1384"/>
      <c r="N82" s="1155"/>
      <c r="O82" s="1155"/>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4"/>
      <c r="O84" s="1154"/>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6"/>
      <c r="Q85" s="504"/>
    </row>
    <row r="86" spans="1:17" s="117" customFormat="1" ht="15.75" thickTop="1">
      <c r="A86" s="579"/>
      <c r="B86" s="538" t="s">
        <v>2598</v>
      </c>
      <c r="C86" s="554"/>
      <c r="D86" s="554"/>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6"/>
      <c r="Q87" s="504"/>
    </row>
    <row r="88" spans="1:17" s="117" customFormat="1" ht="15.75" thickTop="1">
      <c r="A88" s="579"/>
      <c r="B88" s="538" t="s">
        <v>2599</v>
      </c>
      <c r="C88" s="554"/>
      <c r="D88" s="554"/>
      <c r="E88" s="554"/>
      <c r="F88" s="2631"/>
      <c r="G88" s="554"/>
      <c r="H88" s="554"/>
      <c r="I88" s="554"/>
      <c r="J88" s="554"/>
      <c r="K88" s="554"/>
      <c r="L88" s="554"/>
      <c r="M88" s="581"/>
      <c r="N88" s="1153"/>
      <c r="O88" s="1153"/>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6"/>
      <c r="Q89" s="504"/>
    </row>
    <row r="90" spans="1:17" s="471" customFormat="1" ht="15.75" thickTop="1">
      <c r="A90" s="553"/>
      <c r="B90" s="538">
        <f>B27</f>
        <v>111</v>
      </c>
      <c r="C90" s="554"/>
      <c r="D90" s="554"/>
      <c r="E90" s="554"/>
      <c r="F90" s="554"/>
      <c r="G90" s="554"/>
      <c r="H90" s="555"/>
      <c r="I90" s="555"/>
      <c r="J90" s="555"/>
      <c r="K90" s="555"/>
      <c r="L90" s="556"/>
      <c r="M90" s="557"/>
      <c r="N90" s="1156"/>
      <c r="O90" s="1156"/>
      <c r="P90" s="2627"/>
      <c r="Q90" s="559"/>
    </row>
    <row r="91" spans="1:17" s="471" customFormat="1" ht="15.75" thickBot="1">
      <c r="A91" s="553"/>
      <c r="B91" s="543"/>
      <c r="C91" s="560"/>
      <c r="D91" s="560"/>
      <c r="E91" s="560"/>
      <c r="F91" s="560"/>
      <c r="G91" s="560"/>
      <c r="H91" s="562"/>
      <c r="I91" s="562"/>
      <c r="J91" s="562"/>
      <c r="K91" s="562"/>
      <c r="L91" s="562"/>
      <c r="M91" s="563"/>
      <c r="N91" s="1156"/>
      <c r="O91" s="1156"/>
      <c r="P91" s="2627"/>
      <c r="Q91" s="559"/>
    </row>
    <row r="92" spans="1:17" ht="15.75" thickTop="1">
      <c r="A92" s="534"/>
      <c r="B92" s="538">
        <f>B28</f>
        <v>111</v>
      </c>
      <c r="C92" s="554"/>
      <c r="D92" s="554"/>
      <c r="E92" s="554"/>
      <c r="F92" s="554"/>
      <c r="G92" s="583"/>
      <c r="H92" s="583"/>
      <c r="I92" s="583"/>
      <c r="J92" s="583"/>
      <c r="K92" s="584"/>
      <c r="L92" s="585"/>
      <c r="M92" s="586"/>
      <c r="N92" s="1154"/>
      <c r="O92" s="1154"/>
      <c r="P92" s="2626"/>
      <c r="Q92" s="504"/>
    </row>
    <row r="93" spans="1:17" ht="15.75" thickBot="1">
      <c r="A93" s="534"/>
      <c r="B93" s="543"/>
      <c r="C93" s="560"/>
      <c r="D93" s="536"/>
      <c r="E93" s="536"/>
      <c r="F93" s="536"/>
      <c r="G93" s="536"/>
      <c r="H93" s="536"/>
      <c r="I93" s="536"/>
      <c r="J93" s="536"/>
      <c r="K93" s="536"/>
      <c r="L93" s="536"/>
      <c r="M93" s="537"/>
      <c r="N93" s="1155"/>
      <c r="O93" s="1155"/>
      <c r="P93" s="2626"/>
      <c r="Q93" s="504"/>
    </row>
    <row r="94" spans="1:17" ht="15.75" thickTop="1">
      <c r="A94" s="534"/>
      <c r="B94" s="538">
        <f>B29</f>
        <v>111</v>
      </c>
      <c r="C94" s="554"/>
      <c r="D94" s="554"/>
      <c r="E94" s="554"/>
      <c r="F94" s="554"/>
      <c r="G94" s="583"/>
      <c r="H94" s="583"/>
      <c r="I94" s="583"/>
      <c r="J94" s="583"/>
      <c r="K94" s="584"/>
      <c r="L94" s="585"/>
      <c r="M94" s="586"/>
      <c r="N94" s="1154"/>
      <c r="O94" s="1154"/>
      <c r="P94" s="2626"/>
      <c r="Q94" s="504"/>
    </row>
    <row r="95" spans="1:17" ht="15.75" thickBot="1">
      <c r="A95" s="534"/>
      <c r="B95" s="543"/>
      <c r="C95" s="560"/>
      <c r="D95" s="560"/>
      <c r="E95" s="560"/>
      <c r="F95" s="560"/>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70"/>
      <c r="D97" s="570"/>
      <c r="E97" s="570"/>
      <c r="F97" s="570"/>
      <c r="G97" s="536"/>
      <c r="H97" s="536"/>
      <c r="I97" s="536"/>
      <c r="J97" s="536"/>
      <c r="K97" s="536"/>
      <c r="L97" s="536"/>
      <c r="M97" s="537"/>
      <c r="N97" s="1155"/>
      <c r="O97" s="1155"/>
      <c r="P97" s="2626"/>
      <c r="Q97" s="504"/>
    </row>
    <row r="98" spans="1:17" ht="15.75" thickTop="1">
      <c r="A98" s="534"/>
      <c r="B98" s="546">
        <f>B31</f>
        <v>111</v>
      </c>
      <c r="C98" s="587"/>
      <c r="D98" s="587"/>
      <c r="E98" s="587"/>
      <c r="F98" s="587"/>
      <c r="G98" s="587"/>
      <c r="H98" s="587"/>
      <c r="I98" s="587"/>
      <c r="J98" s="587"/>
      <c r="K98" s="588"/>
      <c r="L98" s="589"/>
      <c r="M98" s="590"/>
      <c r="N98" s="1154"/>
      <c r="O98" s="1154"/>
      <c r="P98" s="2626"/>
      <c r="Q98" s="504"/>
    </row>
    <row r="99" spans="1:17" ht="15.75" thickBot="1">
      <c r="A99" s="2632"/>
      <c r="B99" s="569"/>
      <c r="C99" s="591"/>
      <c r="D99" s="591"/>
      <c r="E99" s="591"/>
      <c r="F99" s="591"/>
      <c r="G99" s="591"/>
      <c r="H99" s="591"/>
      <c r="I99" s="591"/>
      <c r="J99" s="591"/>
      <c r="K99" s="591"/>
      <c r="L99" s="591"/>
      <c r="M99" s="592"/>
      <c r="N99" s="1155"/>
      <c r="O99" s="1155"/>
      <c r="P99" s="2626"/>
      <c r="Q99" s="504"/>
    </row>
    <row r="100" spans="1:17">
      <c r="A100" s="527" t="s">
        <v>2551</v>
      </c>
      <c r="B100" s="528" t="s">
        <v>2600</v>
      </c>
      <c r="C100" s="530"/>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6"/>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6"/>
      <c r="Q102" s="504"/>
    </row>
    <row r="103" spans="1:17" s="471" customFormat="1">
      <c r="A103" s="593"/>
      <c r="B103" s="594"/>
      <c r="C103" s="595"/>
      <c r="D103" s="595"/>
      <c r="E103" s="595"/>
      <c r="F103" s="595"/>
      <c r="G103" s="595"/>
      <c r="H103" s="595"/>
      <c r="I103" s="595"/>
      <c r="J103" s="596"/>
      <c r="K103" s="596"/>
      <c r="L103" s="597"/>
      <c r="M103" s="598"/>
      <c r="N103" s="1156"/>
      <c r="O103" s="1156"/>
      <c r="P103" s="2627"/>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7"/>
      <c r="Q104" s="559"/>
    </row>
    <row r="105" spans="1:17" ht="15" thickTop="1">
      <c r="A105" s="599"/>
      <c r="B105" s="538" t="s">
        <v>2602</v>
      </c>
      <c r="C105" s="554"/>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6"/>
      <c r="Q106" s="504"/>
    </row>
    <row r="107" spans="1:17" ht="15" thickTop="1">
      <c r="A107" s="599"/>
      <c r="B107" s="538" t="s">
        <v>2603</v>
      </c>
      <c r="C107" s="583"/>
      <c r="D107" s="583"/>
      <c r="E107" s="583"/>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6"/>
      <c r="Q108" s="504"/>
    </row>
    <row r="109" spans="1:17" ht="15" thickTop="1">
      <c r="A109" s="599"/>
      <c r="B109" s="538" t="s">
        <v>2604</v>
      </c>
      <c r="C109" s="554"/>
      <c r="D109" s="554"/>
      <c r="E109" s="554"/>
      <c r="F109" s="583"/>
      <c r="G109" s="583"/>
      <c r="H109" s="583"/>
      <c r="I109" s="583"/>
      <c r="J109" s="583"/>
      <c r="K109" s="584"/>
      <c r="L109" s="585"/>
      <c r="M109" s="586"/>
      <c r="N109" s="1154"/>
      <c r="O109" s="1154"/>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7"/>
      <c r="Q113" s="559"/>
    </row>
    <row r="114" spans="1:17" ht="15" thickTop="1">
      <c r="A114" s="599"/>
      <c r="B114" s="538" t="s">
        <v>2605</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6"/>
      <c r="Q115" s="504"/>
    </row>
    <row r="116" spans="1:17" ht="15" thickTop="1">
      <c r="A116" s="599"/>
      <c r="B116" s="538" t="s">
        <v>2606</v>
      </c>
      <c r="C116" s="554"/>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6"/>
      <c r="Q117" s="504"/>
    </row>
    <row r="118" spans="1:17" ht="15" thickTop="1">
      <c r="A118" s="599"/>
      <c r="B118" s="538" t="s">
        <v>2607</v>
      </c>
      <c r="C118" s="583"/>
      <c r="D118" s="583"/>
      <c r="E118" s="583"/>
      <c r="F118" s="583"/>
      <c r="G118" s="583"/>
      <c r="H118" s="583"/>
      <c r="I118" s="583"/>
      <c r="J118" s="583"/>
      <c r="K118" s="584"/>
      <c r="L118" s="585"/>
      <c r="M118" s="586"/>
      <c r="N118" s="1154"/>
      <c r="O118" s="1154"/>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6"/>
      <c r="Q119" s="504"/>
    </row>
    <row r="120" spans="1:17" s="471" customFormat="1" ht="28.5" thickTop="1">
      <c r="A120" s="593"/>
      <c r="B120" s="538" t="s">
        <v>2562</v>
      </c>
      <c r="C120" s="554"/>
      <c r="D120" s="554"/>
      <c r="E120" s="554"/>
      <c r="F120" s="554"/>
      <c r="G120" s="554"/>
      <c r="H120" s="554"/>
      <c r="I120" s="554"/>
      <c r="J120" s="554"/>
      <c r="K120" s="554"/>
      <c r="L120" s="580"/>
      <c r="M120" s="581"/>
      <c r="N120" s="1156"/>
      <c r="O120" s="1156"/>
      <c r="P120" s="2627"/>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7"/>
      <c r="Q121" s="559"/>
    </row>
    <row r="122" spans="1:17" ht="15" thickTop="1">
      <c r="A122" s="599"/>
      <c r="B122" s="538" t="s">
        <v>2608</v>
      </c>
      <c r="C122" s="554"/>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4"/>
      <c r="O124" s="1154"/>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60"/>
      <c r="E129" s="560"/>
      <c r="F129" s="560"/>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row r="136" spans="1:17" ht="15" thickBot="1">
      <c r="B136" s="2633" t="s">
        <v>2610</v>
      </c>
    </row>
    <row r="137" spans="1:17" ht="15">
      <c r="B137" s="2634" t="s">
        <v>2611</v>
      </c>
      <c r="C137" s="2635"/>
      <c r="D137" s="2635"/>
      <c r="E137" s="2635"/>
      <c r="F137" s="2635"/>
      <c r="G137" s="2636"/>
      <c r="H137" s="2637"/>
      <c r="I137" s="2638" t="s">
        <v>2612</v>
      </c>
      <c r="J137" s="2635"/>
      <c r="K137" s="2639"/>
    </row>
    <row r="138" spans="1:17" ht="15">
      <c r="B138" s="2640"/>
      <c r="C138" s="146" t="s">
        <v>2613</v>
      </c>
      <c r="D138" s="146" t="s">
        <v>2614</v>
      </c>
      <c r="E138" s="2641" t="s">
        <v>2615</v>
      </c>
      <c r="F138" s="2642" t="s">
        <v>2616</v>
      </c>
      <c r="G138" s="146" t="s">
        <v>2614</v>
      </c>
      <c r="H138" s="147" t="s">
        <v>2615</v>
      </c>
      <c r="I138" s="2643"/>
      <c r="J138" s="146" t="s">
        <v>2617</v>
      </c>
      <c r="K138" s="147" t="s">
        <v>2618</v>
      </c>
    </row>
    <row r="139" spans="1:17" ht="15">
      <c r="B139" s="1086">
        <v>6</v>
      </c>
      <c r="C139" s="1087">
        <v>96</v>
      </c>
      <c r="D139" s="2644" t="s">
        <v>2619</v>
      </c>
      <c r="E139" s="1088">
        <v>100</v>
      </c>
      <c r="F139" s="1089">
        <v>102.5</v>
      </c>
      <c r="G139" s="2644" t="s">
        <v>2619</v>
      </c>
      <c r="H139" s="1090">
        <v>105</v>
      </c>
      <c r="I139" s="2645" t="s">
        <v>2620</v>
      </c>
      <c r="J139" s="1087">
        <v>20</v>
      </c>
      <c r="K139" s="1091">
        <f>C145/(J139-2)</f>
        <v>4.0555555555555553E-3</v>
      </c>
    </row>
    <row r="140" spans="1:17" ht="15">
      <c r="B140" s="1092">
        <v>5</v>
      </c>
      <c r="C140" s="1093">
        <v>100</v>
      </c>
      <c r="D140" s="1093"/>
      <c r="E140" s="1094"/>
      <c r="F140" s="1095">
        <v>102</v>
      </c>
      <c r="G140" s="1093"/>
      <c r="H140" s="1096"/>
      <c r="I140" s="2646" t="s">
        <v>2621</v>
      </c>
      <c r="J140" s="315">
        <f>ROUNDUP((J139-1)/2,0)</f>
        <v>10</v>
      </c>
      <c r="K140" s="1097">
        <v>100</v>
      </c>
    </row>
    <row r="141" spans="1:17" ht="15">
      <c r="B141" s="1092">
        <v>4</v>
      </c>
      <c r="C141" s="1093">
        <v>102</v>
      </c>
      <c r="D141" s="1093"/>
      <c r="E141" s="1094"/>
      <c r="F141" s="1095">
        <v>101.5</v>
      </c>
      <c r="G141" s="1093"/>
      <c r="H141" s="1096"/>
      <c r="I141" s="2646" t="s">
        <v>2622</v>
      </c>
      <c r="J141" s="315">
        <v>1</v>
      </c>
      <c r="K141" s="1098">
        <f>ROUND(100+(J141-J140)*K139*100,1)</f>
        <v>96.4</v>
      </c>
    </row>
    <row r="142" spans="1:17" ht="15">
      <c r="B142" s="1092">
        <v>3</v>
      </c>
      <c r="C142" s="1093">
        <v>103</v>
      </c>
      <c r="D142" s="1093"/>
      <c r="E142" s="1094"/>
      <c r="F142" s="1095">
        <v>101</v>
      </c>
      <c r="G142" s="1093"/>
      <c r="H142" s="1096"/>
      <c r="I142" s="2646" t="s">
        <v>2623</v>
      </c>
      <c r="J142" s="315">
        <f>J139</f>
        <v>20</v>
      </c>
      <c r="K142" s="1099">
        <v>95</v>
      </c>
    </row>
    <row r="143" spans="1:17" ht="15">
      <c r="B143" s="1092">
        <v>2</v>
      </c>
      <c r="C143" s="1093">
        <v>100</v>
      </c>
      <c r="D143" s="1093"/>
      <c r="E143" s="1094"/>
      <c r="F143" s="1095">
        <v>100.5</v>
      </c>
      <c r="G143" s="1093"/>
      <c r="H143" s="1096"/>
      <c r="I143" s="2646" t="s">
        <v>2624</v>
      </c>
      <c r="J143" s="1093">
        <v>15</v>
      </c>
      <c r="K143" s="1098">
        <f>ROUND(100+(J143-J140)*K139*100,1)</f>
        <v>102</v>
      </c>
    </row>
    <row r="144" spans="1:17" ht="15">
      <c r="B144" s="1092">
        <v>1</v>
      </c>
      <c r="C144" s="1093">
        <v>98</v>
      </c>
      <c r="D144" s="2647" t="s">
        <v>2625</v>
      </c>
      <c r="E144" s="1094">
        <v>102</v>
      </c>
      <c r="F144" s="1100">
        <v>100</v>
      </c>
      <c r="G144" s="2647" t="s">
        <v>2625</v>
      </c>
      <c r="H144" s="1096">
        <v>105</v>
      </c>
      <c r="I144" s="2646" t="s">
        <v>2624</v>
      </c>
      <c r="J144" s="1093">
        <v>18</v>
      </c>
      <c r="K144" s="1098">
        <f>ROUND(100+(J144-J140)*K139*100,1)</f>
        <v>103.2</v>
      </c>
    </row>
    <row r="145" spans="2:11" ht="15.75" thickBot="1">
      <c r="B145" s="2648" t="s">
        <v>2626</v>
      </c>
      <c r="C145" s="1101">
        <f>ROUND(MAX(C139:C144)/MIN(C139:C144)-1,3)</f>
        <v>7.2999999999999995E-2</v>
      </c>
      <c r="D145" s="1102"/>
      <c r="E145" s="1102"/>
      <c r="F145" s="2649" t="s">
        <v>2627</v>
      </c>
      <c r="G145" s="2650"/>
      <c r="H145" s="2651"/>
      <c r="I145" s="2652" t="s">
        <v>2624</v>
      </c>
      <c r="J145" s="1103">
        <v>8</v>
      </c>
      <c r="K145" s="1104">
        <f>ROUND(100+(J145-J140)*K139*100,1)</f>
        <v>99.2</v>
      </c>
    </row>
    <row r="147" spans="2:11">
      <c r="B147" s="2633" t="s">
        <v>2628</v>
      </c>
    </row>
    <row r="148" spans="2:11">
      <c r="B148" s="2633"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8" t="s">
        <v>2630</v>
      </c>
      <c r="C1" s="1636" t="s">
        <v>2518</v>
      </c>
      <c r="D1" s="1623"/>
      <c r="E1" s="2653"/>
      <c r="F1" s="2580"/>
      <c r="G1" s="1633" t="s">
        <v>2631</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2315</v>
      </c>
      <c r="B2" s="1420" t="e">
        <f ca="1">IF(C2="——",ROUND(C49*D3/10000,0),ROUND(C49*D3/10000,0)-D2)</f>
        <v>#DIV/0!</v>
      </c>
      <c r="C2" s="2582"/>
      <c r="D2" s="1367" t="e">
        <f ca="1">SUMIF(INDIRECT("'"&amp;F2&amp;"'"&amp;"!A:A"),"承租人权益价值",INDIRECT("'"&amp;F2&amp;"'"&amp;"!c:c"))</f>
        <v>#REF!</v>
      </c>
      <c r="E2" s="2583" t="s">
        <v>2316</v>
      </c>
      <c r="F2" s="2584"/>
      <c r="G2" s="1127"/>
      <c r="H2" s="1127"/>
      <c r="I2" s="1127"/>
      <c r="J2" s="1127"/>
      <c r="K2" s="1127"/>
      <c r="L2" s="1130"/>
      <c r="M2" s="1131"/>
      <c r="N2" s="1131"/>
      <c r="O2" s="1131"/>
      <c r="P2" s="2657"/>
      <c r="Q2" s="1131"/>
      <c r="R2" s="1131"/>
      <c r="S2" s="1131"/>
      <c r="T2" s="1131"/>
      <c r="U2" s="1131"/>
      <c r="V2" s="1131"/>
      <c r="W2" s="1131"/>
      <c r="X2" s="1131"/>
      <c r="Y2" s="1131"/>
      <c r="Z2" s="1131"/>
      <c r="AA2" s="1131"/>
      <c r="AB2" s="1131"/>
      <c r="AC2" s="2658"/>
    </row>
    <row r="3" spans="1:29" s="398" customFormat="1" ht="28.5" customHeight="1" thickBot="1">
      <c r="A3" s="247" t="s">
        <v>2317</v>
      </c>
      <c r="B3" s="609" t="e">
        <f ca="1">IF(C2="——",C49,ROUND(B2*10000/D3,0))</f>
        <v>#DIV/0!</v>
      </c>
      <c r="C3" s="400" t="s">
        <v>2632</v>
      </c>
      <c r="D3" s="399">
        <f>IF(D1="",'数据-汇总表'!E3,SUMIF('数据-汇总表'!$C19:$C33,D1,'数据-汇总表'!$E19:$E33))</f>
        <v>1246.4000000000001</v>
      </c>
      <c r="E3" s="2659"/>
      <c r="F3" s="1128"/>
      <c r="G3" s="1127"/>
      <c r="H3" s="1127"/>
      <c r="I3" s="1127"/>
      <c r="J3" s="1127"/>
      <c r="K3" s="1129"/>
      <c r="L3" s="1130"/>
      <c r="M3" s="1131"/>
      <c r="N3" s="1131"/>
      <c r="O3" s="1131"/>
      <c r="P3" s="2657"/>
      <c r="Q3" s="1131"/>
      <c r="R3" s="1131"/>
      <c r="S3" s="1131"/>
      <c r="T3" s="1131"/>
      <c r="U3" s="1131"/>
      <c r="V3" s="1131"/>
      <c r="W3" s="1131"/>
      <c r="X3" s="1131"/>
      <c r="Y3" s="1131"/>
      <c r="Z3" s="1131"/>
      <c r="AA3" s="1131"/>
      <c r="AB3" s="1131"/>
      <c r="AC3" s="2659"/>
    </row>
    <row r="4" spans="1:29" ht="15">
      <c r="A4" s="401" t="s">
        <v>2633</v>
      </c>
      <c r="B4" s="402"/>
      <c r="C4" s="3214" t="s">
        <v>2634</v>
      </c>
      <c r="D4" s="3215"/>
      <c r="E4" s="3216" t="s">
        <v>2635</v>
      </c>
      <c r="F4" s="3217"/>
      <c r="G4" s="3214" t="s">
        <v>2636</v>
      </c>
      <c r="H4" s="3215"/>
      <c r="I4" s="3214" t="s">
        <v>2637</v>
      </c>
      <c r="J4" s="3215"/>
      <c r="K4" s="610" t="s">
        <v>2638</v>
      </c>
      <c r="L4" s="1132"/>
      <c r="M4" s="1133"/>
      <c r="N4" s="1133"/>
      <c r="O4" s="1133"/>
      <c r="P4" s="3218" t="s">
        <v>2639</v>
      </c>
      <c r="Q4" s="3219"/>
      <c r="R4" s="3224" t="s">
        <v>2635</v>
      </c>
      <c r="S4" s="3225"/>
      <c r="T4" s="3224" t="s">
        <v>2636</v>
      </c>
      <c r="U4" s="3225"/>
      <c r="V4" s="3230" t="s">
        <v>2637</v>
      </c>
      <c r="W4" s="3230"/>
      <c r="X4" s="1815"/>
      <c r="Y4" s="3224" t="s">
        <v>2639</v>
      </c>
      <c r="Z4" s="3225"/>
      <c r="AA4" s="3211" t="s">
        <v>2635</v>
      </c>
      <c r="AB4" s="3230" t="s">
        <v>2636</v>
      </c>
      <c r="AC4" s="3211" t="s">
        <v>2637</v>
      </c>
    </row>
    <row r="5" spans="1:29" ht="15">
      <c r="A5" s="404"/>
      <c r="B5" s="405"/>
      <c r="C5" s="3275" t="s">
        <v>2530</v>
      </c>
      <c r="D5" s="3239"/>
      <c r="E5" s="3276" t="s">
        <v>2531</v>
      </c>
      <c r="F5" s="3234"/>
      <c r="G5" s="3275" t="s">
        <v>2532</v>
      </c>
      <c r="H5" s="3239"/>
      <c r="I5" s="3275" t="s">
        <v>2533</v>
      </c>
      <c r="J5" s="3239"/>
      <c r="K5" s="610"/>
      <c r="L5" s="1132"/>
      <c r="M5" s="1133"/>
      <c r="N5" s="1133"/>
      <c r="O5" s="1133"/>
      <c r="P5" s="3220"/>
      <c r="Q5" s="3221"/>
      <c r="R5" s="3226"/>
      <c r="S5" s="3227"/>
      <c r="T5" s="3226"/>
      <c r="U5" s="3227"/>
      <c r="V5" s="3230"/>
      <c r="W5" s="3230"/>
      <c r="X5" s="1815"/>
      <c r="Y5" s="3226"/>
      <c r="Z5" s="3227"/>
      <c r="AA5" s="3212"/>
      <c r="AB5" s="3230"/>
      <c r="AC5" s="3212"/>
    </row>
    <row r="6" spans="1:29" ht="15.75" thickBot="1">
      <c r="A6" s="406"/>
      <c r="B6" s="407"/>
      <c r="C6" s="3231" t="s">
        <v>2534</v>
      </c>
      <c r="D6" s="3232"/>
      <c r="E6" s="3240" t="s">
        <v>2534</v>
      </c>
      <c r="F6" s="3241"/>
      <c r="G6" s="3231" t="s">
        <v>2534</v>
      </c>
      <c r="H6" s="3232"/>
      <c r="I6" s="3231" t="s">
        <v>2534</v>
      </c>
      <c r="J6" s="3232"/>
      <c r="K6" s="610" t="s">
        <v>2535</v>
      </c>
      <c r="L6" s="1132"/>
      <c r="M6" s="1133"/>
      <c r="N6" s="1133"/>
      <c r="O6" s="1133"/>
      <c r="P6" s="3222"/>
      <c r="Q6" s="3223"/>
      <c r="R6" s="3226"/>
      <c r="S6" s="3227"/>
      <c r="T6" s="3228"/>
      <c r="U6" s="3229"/>
      <c r="V6" s="3230"/>
      <c r="W6" s="3230"/>
      <c r="X6" s="1815"/>
      <c r="Y6" s="3228"/>
      <c r="Z6" s="3229"/>
      <c r="AA6" s="3213"/>
      <c r="AB6" s="3230"/>
      <c r="AC6" s="3213"/>
    </row>
    <row r="7" spans="1:29" s="117" customFormat="1" ht="15.75" thickBot="1">
      <c r="A7" s="408" t="s">
        <v>2536</v>
      </c>
      <c r="B7" s="409"/>
      <c r="C7" s="410">
        <f>'数据-取费表'!B2</f>
        <v>43165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35" t="s">
        <v>2537</v>
      </c>
      <c r="Q7" s="3237"/>
      <c r="R7" s="770" t="s">
        <v>17</v>
      </c>
      <c r="S7" s="771">
        <f t="shared" ref="S7:S15" si="0">F7</f>
        <v>0</v>
      </c>
      <c r="T7" s="770" t="s">
        <v>17</v>
      </c>
      <c r="U7" s="771">
        <f t="shared" ref="U7:U15" si="1">H7</f>
        <v>0</v>
      </c>
      <c r="V7" s="770" t="s">
        <v>17</v>
      </c>
      <c r="W7" s="771">
        <f t="shared" ref="W7:W15" si="2">J7</f>
        <v>0</v>
      </c>
      <c r="X7" s="772"/>
      <c r="Y7" s="3235" t="s">
        <v>2537</v>
      </c>
      <c r="Z7" s="3236"/>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35" t="s">
        <v>2540</v>
      </c>
      <c r="Q8" s="3236"/>
      <c r="R8" s="770" t="s">
        <v>17</v>
      </c>
      <c r="S8" s="771">
        <f t="shared" si="0"/>
        <v>0</v>
      </c>
      <c r="T8" s="770" t="s">
        <v>17</v>
      </c>
      <c r="U8" s="771">
        <f t="shared" si="1"/>
        <v>0</v>
      </c>
      <c r="V8" s="770" t="s">
        <v>17</v>
      </c>
      <c r="W8" s="771">
        <f t="shared" si="2"/>
        <v>0</v>
      </c>
      <c r="X8" s="772"/>
      <c r="Y8" s="3235" t="s">
        <v>2540</v>
      </c>
      <c r="Z8" s="3236"/>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74" t="s">
        <v>2543</v>
      </c>
      <c r="Q9" s="1797" t="str">
        <f t="shared" ref="Q9:Q15" si="6">B9</f>
        <v>用途</v>
      </c>
      <c r="R9" s="770" t="s">
        <v>17</v>
      </c>
      <c r="S9" s="771">
        <f t="shared" si="0"/>
        <v>100</v>
      </c>
      <c r="T9" s="770" t="s">
        <v>17</v>
      </c>
      <c r="U9" s="771">
        <f t="shared" si="1"/>
        <v>100</v>
      </c>
      <c r="V9" s="770" t="s">
        <v>17</v>
      </c>
      <c r="W9" s="771">
        <f t="shared" si="2"/>
        <v>100</v>
      </c>
      <c r="X9" s="772"/>
      <c r="Y9" s="303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74"/>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74"/>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74"/>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74"/>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74"/>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2547</v>
      </c>
      <c r="B15" s="69" t="s">
        <v>2641</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72" t="s">
        <v>2548</v>
      </c>
      <c r="Q15" s="1812" t="str">
        <f t="shared" si="6"/>
        <v>商业繁华度</v>
      </c>
      <c r="R15" s="774" t="s">
        <v>17</v>
      </c>
      <c r="S15" s="775">
        <f t="shared" si="0"/>
        <v>100</v>
      </c>
      <c r="T15" s="774" t="s">
        <v>17</v>
      </c>
      <c r="U15" s="775">
        <f t="shared" si="1"/>
        <v>100</v>
      </c>
      <c r="V15" s="774" t="s">
        <v>17</v>
      </c>
      <c r="W15" s="775">
        <f t="shared" si="2"/>
        <v>100</v>
      </c>
      <c r="X15" s="1815"/>
      <c r="Y15" s="3206"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73"/>
      <c r="Q16" s="1812"/>
      <c r="R16" s="774"/>
      <c r="S16" s="775"/>
      <c r="T16" s="774"/>
      <c r="U16" s="775"/>
      <c r="V16" s="774"/>
      <c r="W16" s="775"/>
      <c r="X16" s="1815"/>
      <c r="Y16" s="3207"/>
      <c r="Z16" s="1816"/>
      <c r="AA16" s="1813">
        <v>1</v>
      </c>
      <c r="AB16" s="1813">
        <v>1</v>
      </c>
      <c r="AC16" s="1813">
        <v>1</v>
      </c>
    </row>
    <row r="17" spans="1:29" ht="15">
      <c r="A17" s="428"/>
      <c r="B17" s="451" t="s">
        <v>2089</v>
      </c>
      <c r="C17" s="260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73"/>
      <c r="Q17" s="1812" t="str">
        <f>B17</f>
        <v>交通便捷度</v>
      </c>
      <c r="R17" s="774" t="s">
        <v>17</v>
      </c>
      <c r="S17" s="775">
        <f>F17</f>
        <v>100</v>
      </c>
      <c r="T17" s="774" t="s">
        <v>17</v>
      </c>
      <c r="U17" s="775">
        <f>H17</f>
        <v>100</v>
      </c>
      <c r="V17" s="774" t="s">
        <v>17</v>
      </c>
      <c r="W17" s="775">
        <f>J17</f>
        <v>100</v>
      </c>
      <c r="X17" s="1815"/>
      <c r="Y17" s="3207"/>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2"/>
      <c r="M18" s="1133"/>
      <c r="N18" s="1133"/>
      <c r="O18" s="1133"/>
      <c r="P18" s="3273"/>
      <c r="Q18" s="1812"/>
      <c r="R18" s="774"/>
      <c r="S18" s="775"/>
      <c r="T18" s="774"/>
      <c r="U18" s="775"/>
      <c r="V18" s="774"/>
      <c r="W18" s="775"/>
      <c r="X18" s="1815"/>
      <c r="Y18" s="3207"/>
      <c r="Z18" s="1816"/>
      <c r="AA18" s="1813">
        <v>1</v>
      </c>
      <c r="AB18" s="1813">
        <v>1</v>
      </c>
      <c r="AC18" s="1813">
        <v>1</v>
      </c>
    </row>
    <row r="19" spans="1:29" ht="15">
      <c r="A19" s="428"/>
      <c r="B19" s="451" t="s">
        <v>2642</v>
      </c>
      <c r="C19" s="260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73"/>
      <c r="Q19" s="1812" t="str">
        <f>B19</f>
        <v>公共配套设施</v>
      </c>
      <c r="R19" s="774" t="s">
        <v>17</v>
      </c>
      <c r="S19" s="775">
        <f>F19</f>
        <v>100</v>
      </c>
      <c r="T19" s="774" t="s">
        <v>17</v>
      </c>
      <c r="U19" s="775">
        <f>H19</f>
        <v>100</v>
      </c>
      <c r="V19" s="774" t="s">
        <v>17</v>
      </c>
      <c r="W19" s="775">
        <f>J19</f>
        <v>100</v>
      </c>
      <c r="X19" s="1815"/>
      <c r="Y19" s="3207"/>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2"/>
      <c r="M20" s="1133"/>
      <c r="N20" s="1133"/>
      <c r="O20" s="1133"/>
      <c r="P20" s="3273"/>
      <c r="Q20" s="1812"/>
      <c r="R20" s="774"/>
      <c r="S20" s="775"/>
      <c r="T20" s="774"/>
      <c r="U20" s="775"/>
      <c r="V20" s="774"/>
      <c r="W20" s="775"/>
      <c r="X20" s="1815"/>
      <c r="Y20" s="3207"/>
      <c r="Z20" s="1816"/>
      <c r="AA20" s="1813">
        <v>1</v>
      </c>
      <c r="AB20" s="1813">
        <v>1</v>
      </c>
      <c r="AC20" s="1813">
        <v>1</v>
      </c>
    </row>
    <row r="21" spans="1:29" ht="15">
      <c r="A21" s="428"/>
      <c r="B21" s="1386" t="s">
        <v>2643</v>
      </c>
      <c r="C21" s="260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73"/>
      <c r="Q21" s="1812" t="str">
        <f>B21</f>
        <v>基础设施水平</v>
      </c>
      <c r="R21" s="774" t="s">
        <v>17</v>
      </c>
      <c r="S21" s="775">
        <f>F21</f>
        <v>100</v>
      </c>
      <c r="T21" s="774" t="s">
        <v>17</v>
      </c>
      <c r="U21" s="775">
        <f>H21</f>
        <v>100</v>
      </c>
      <c r="V21" s="774" t="s">
        <v>17</v>
      </c>
      <c r="W21" s="775">
        <f>J21</f>
        <v>100</v>
      </c>
      <c r="X21" s="1815"/>
      <c r="Y21" s="3207"/>
      <c r="Z21" s="1816" t="str">
        <f>Q21</f>
        <v>基础设施水平</v>
      </c>
      <c r="AA21" s="1813">
        <f t="shared" ref="AA21" si="8">D21/F21</f>
        <v>1</v>
      </c>
      <c r="AB21" s="1813">
        <f t="shared" ref="AB21" si="9">D21/H21</f>
        <v>1</v>
      </c>
      <c r="AC21" s="1813">
        <f t="shared" ref="AC21" si="10">D21/J21</f>
        <v>1</v>
      </c>
    </row>
    <row r="22" spans="1:29" ht="15">
      <c r="A22" s="428"/>
      <c r="B22" s="1386"/>
      <c r="C22" s="2604"/>
      <c r="D22" s="448"/>
      <c r="E22" s="447"/>
      <c r="F22" s="449"/>
      <c r="G22" s="447"/>
      <c r="H22" s="448"/>
      <c r="I22" s="447"/>
      <c r="J22" s="448"/>
      <c r="K22" s="1385"/>
      <c r="L22" s="1142"/>
      <c r="M22" s="1133"/>
      <c r="N22" s="1133"/>
      <c r="O22" s="1133"/>
      <c r="P22" s="3273"/>
      <c r="Q22" s="1812"/>
      <c r="R22" s="774"/>
      <c r="S22" s="775"/>
      <c r="T22" s="774"/>
      <c r="U22" s="775"/>
      <c r="V22" s="774"/>
      <c r="W22" s="775"/>
      <c r="X22" s="1815"/>
      <c r="Y22" s="3207"/>
      <c r="Z22" s="1816"/>
      <c r="AA22" s="1813">
        <v>1</v>
      </c>
      <c r="AB22" s="1813">
        <v>1</v>
      </c>
      <c r="AC22" s="1813">
        <v>1</v>
      </c>
    </row>
    <row r="23" spans="1:29" ht="15">
      <c r="A23" s="428"/>
      <c r="B23" s="451" t="s">
        <v>2092</v>
      </c>
      <c r="C23" s="266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73"/>
      <c r="Q23" s="1812" t="str">
        <f>B23</f>
        <v>自然及人文环境</v>
      </c>
      <c r="R23" s="774" t="s">
        <v>17</v>
      </c>
      <c r="S23" s="775">
        <f>F23</f>
        <v>100</v>
      </c>
      <c r="T23" s="774" t="s">
        <v>17</v>
      </c>
      <c r="U23" s="775">
        <f>H23</f>
        <v>100</v>
      </c>
      <c r="V23" s="774" t="s">
        <v>17</v>
      </c>
      <c r="W23" s="775">
        <f>J23</f>
        <v>100</v>
      </c>
      <c r="X23" s="1815"/>
      <c r="Y23" s="3207"/>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2"/>
      <c r="M24" s="1133"/>
      <c r="N24" s="1133"/>
      <c r="O24" s="1133"/>
      <c r="P24" s="3273"/>
      <c r="Q24" s="1812"/>
      <c r="R24" s="774"/>
      <c r="S24" s="775"/>
      <c r="T24" s="774"/>
      <c r="U24" s="775"/>
      <c r="V24" s="774"/>
      <c r="W24" s="775"/>
      <c r="X24" s="1815"/>
      <c r="Y24" s="3207"/>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73"/>
      <c r="Q25" s="1812" t="str">
        <f t="shared" ref="Q25:Q46" si="11">B25</f>
        <v>临街状况</v>
      </c>
      <c r="R25" s="774" t="s">
        <v>17</v>
      </c>
      <c r="S25" s="775">
        <f>F25</f>
        <v>100</v>
      </c>
      <c r="T25" s="774" t="s">
        <v>17</v>
      </c>
      <c r="U25" s="775">
        <f>H25</f>
        <v>100</v>
      </c>
      <c r="V25" s="774" t="s">
        <v>17</v>
      </c>
      <c r="W25" s="775">
        <f>J25</f>
        <v>100</v>
      </c>
      <c r="X25" s="1815"/>
      <c r="Y25" s="3207"/>
      <c r="Z25" s="1816" t="str">
        <f>Q25</f>
        <v>临街状况</v>
      </c>
      <c r="AA25" s="1813">
        <f t="shared" si="3"/>
        <v>1</v>
      </c>
      <c r="AB25" s="1813">
        <f t="shared" si="4"/>
        <v>1</v>
      </c>
      <c r="AC25" s="1813">
        <f t="shared" si="5"/>
        <v>1</v>
      </c>
    </row>
    <row r="26" spans="1:29" ht="15">
      <c r="A26" s="428"/>
      <c r="B26" s="1388" t="s">
        <v>2645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73"/>
      <c r="Q26" s="1812" t="str">
        <f t="shared" si="11"/>
        <v>平面位置/可视性</v>
      </c>
      <c r="R26" s="774" t="s">
        <v>17</v>
      </c>
      <c r="S26" s="775">
        <f>F26</f>
        <v>100</v>
      </c>
      <c r="T26" s="774" t="s">
        <v>17</v>
      </c>
      <c r="U26" s="775">
        <f>H26</f>
        <v>100</v>
      </c>
      <c r="V26" s="774" t="s">
        <v>17</v>
      </c>
      <c r="W26" s="775">
        <f>J26</f>
        <v>100</v>
      </c>
      <c r="X26" s="1815"/>
      <c r="Y26" s="3207"/>
      <c r="Z26" s="1816" t="str">
        <f>Q26</f>
        <v>平面位置/可视性</v>
      </c>
      <c r="AA26" s="1813">
        <f t="shared" si="3"/>
        <v>1</v>
      </c>
      <c r="AB26" s="1813">
        <f t="shared" si="4"/>
        <v>1</v>
      </c>
      <c r="AC26" s="1813">
        <f t="shared" si="5"/>
        <v>1</v>
      </c>
    </row>
    <row r="27" spans="1:29" s="117" customFormat="1" ht="15">
      <c r="A27" s="431"/>
      <c r="B27" s="451" t="s">
        <v>2646</v>
      </c>
      <c r="C27" s="2661"/>
      <c r="D27" s="462">
        <v>100</v>
      </c>
      <c r="E27" s="2661"/>
      <c r="F27" s="464">
        <f>SUMIF(90:90,E27,91:91)-SUMIF(90:90,C27,91:91)+100</f>
        <v>100</v>
      </c>
      <c r="G27" s="2661"/>
      <c r="H27" s="462">
        <f>SUMIF(90:90,G27,91:91)-SUMIF(90:90,C27,91:91)+100</f>
        <v>100</v>
      </c>
      <c r="I27" s="2661"/>
      <c r="J27" s="462">
        <f>SUMIF(90:90,I27,91:91)-SUMIF(90:90,C27,91:91)+100</f>
        <v>100</v>
      </c>
      <c r="K27" s="612"/>
      <c r="L27" s="1134"/>
      <c r="M27" s="1135"/>
      <c r="N27" s="1135"/>
      <c r="O27" s="1135"/>
      <c r="P27" s="3273"/>
      <c r="Q27" s="1797" t="str">
        <f t="shared" si="11"/>
        <v>人流量</v>
      </c>
      <c r="R27" s="770" t="s">
        <v>17</v>
      </c>
      <c r="S27" s="771">
        <f>F27</f>
        <v>100</v>
      </c>
      <c r="T27" s="770" t="s">
        <v>17</v>
      </c>
      <c r="U27" s="771">
        <f>H27</f>
        <v>100</v>
      </c>
      <c r="V27" s="770" t="s">
        <v>17</v>
      </c>
      <c r="W27" s="771">
        <f>J27</f>
        <v>100</v>
      </c>
      <c r="X27" s="772"/>
      <c r="Y27" s="3207"/>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7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7"/>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73"/>
      <c r="Q29" s="1812">
        <f t="shared" si="11"/>
        <v>111</v>
      </c>
      <c r="R29" s="774" t="s">
        <v>17</v>
      </c>
      <c r="S29" s="775">
        <f t="shared" si="12"/>
        <v>100</v>
      </c>
      <c r="T29" s="774" t="s">
        <v>17</v>
      </c>
      <c r="U29" s="775">
        <f t="shared" si="13"/>
        <v>100</v>
      </c>
      <c r="V29" s="774" t="s">
        <v>17</v>
      </c>
      <c r="W29" s="775">
        <f t="shared" si="14"/>
        <v>100</v>
      </c>
      <c r="X29" s="1815"/>
      <c r="Y29" s="3207"/>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73"/>
      <c r="Q30" s="1812">
        <f t="shared" si="11"/>
        <v>111</v>
      </c>
      <c r="R30" s="774" t="s">
        <v>17</v>
      </c>
      <c r="S30" s="775">
        <f t="shared" si="12"/>
        <v>100</v>
      </c>
      <c r="T30" s="774" t="s">
        <v>17</v>
      </c>
      <c r="U30" s="775">
        <f t="shared" si="13"/>
        <v>100</v>
      </c>
      <c r="V30" s="774" t="s">
        <v>17</v>
      </c>
      <c r="W30" s="775">
        <f t="shared" si="14"/>
        <v>100</v>
      </c>
      <c r="X30" s="1815"/>
      <c r="Y30" s="3207"/>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73"/>
      <c r="Q31" s="1812">
        <f t="shared" si="11"/>
        <v>111</v>
      </c>
      <c r="R31" s="774" t="s">
        <v>17</v>
      </c>
      <c r="S31" s="775">
        <f t="shared" si="12"/>
        <v>100</v>
      </c>
      <c r="T31" s="774" t="s">
        <v>17</v>
      </c>
      <c r="U31" s="775">
        <f t="shared" si="13"/>
        <v>100</v>
      </c>
      <c r="V31" s="774" t="s">
        <v>17</v>
      </c>
      <c r="W31" s="775">
        <f t="shared" si="14"/>
        <v>100</v>
      </c>
      <c r="X31" s="1815"/>
      <c r="Y31" s="3207"/>
      <c r="Z31" s="1816">
        <f t="shared" si="15"/>
        <v>111</v>
      </c>
      <c r="AA31" s="1813">
        <f t="shared" si="3"/>
        <v>1</v>
      </c>
      <c r="AB31" s="1813">
        <f t="shared" si="4"/>
        <v>1</v>
      </c>
      <c r="AC31" s="1813">
        <f t="shared" si="5"/>
        <v>1</v>
      </c>
    </row>
    <row r="32" spans="1:29" ht="15">
      <c r="A32" s="440" t="s">
        <v>2551</v>
      </c>
      <c r="B32" s="71" t="s">
        <v>2648</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2"/>
      <c r="M32" s="1133"/>
      <c r="N32" s="1133"/>
      <c r="O32" s="1133"/>
      <c r="P32" s="3269" t="s">
        <v>2553</v>
      </c>
      <c r="Q32" s="1812" t="str">
        <f t="shared" si="11"/>
        <v>商业类型</v>
      </c>
      <c r="R32" s="774" t="s">
        <v>17</v>
      </c>
      <c r="S32" s="775">
        <f t="shared" si="12"/>
        <v>100</v>
      </c>
      <c r="T32" s="774" t="s">
        <v>17</v>
      </c>
      <c r="U32" s="775">
        <f t="shared" si="13"/>
        <v>100</v>
      </c>
      <c r="V32" s="774" t="s">
        <v>17</v>
      </c>
      <c r="W32" s="775">
        <f t="shared" si="14"/>
        <v>100</v>
      </c>
      <c r="X32" s="1815"/>
      <c r="Y32" s="3209"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70"/>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3" t="e">
        <f t="shared" si="3"/>
        <v>#N/A</v>
      </c>
      <c r="AB33" s="1813" t="e">
        <f t="shared" si="4"/>
        <v>#N/A</v>
      </c>
      <c r="AC33" s="1813" t="e">
        <f t="shared" si="5"/>
        <v>#N/A</v>
      </c>
    </row>
    <row r="34" spans="1:29" ht="15">
      <c r="A34" s="472"/>
      <c r="B34" s="422" t="s">
        <v>2555</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2"/>
      <c r="M34" s="1133"/>
      <c r="N34" s="1133"/>
      <c r="O34" s="1133"/>
      <c r="P34" s="3270"/>
      <c r="Q34" s="1812" t="str">
        <f t="shared" si="11"/>
        <v>建筑结构</v>
      </c>
      <c r="R34" s="774" t="s">
        <v>17</v>
      </c>
      <c r="S34" s="775">
        <f t="shared" si="12"/>
        <v>100</v>
      </c>
      <c r="T34" s="774" t="s">
        <v>17</v>
      </c>
      <c r="U34" s="775">
        <f t="shared" si="13"/>
        <v>100</v>
      </c>
      <c r="V34" s="774" t="s">
        <v>17</v>
      </c>
      <c r="W34" s="775">
        <f t="shared" si="14"/>
        <v>100</v>
      </c>
      <c r="X34" s="1815"/>
      <c r="Y34" s="3209"/>
      <c r="Z34" s="1816" t="str">
        <f t="shared" si="15"/>
        <v>建筑结构</v>
      </c>
      <c r="AA34" s="1813">
        <f t="shared" si="3"/>
        <v>1</v>
      </c>
      <c r="AB34" s="1813">
        <f t="shared" si="4"/>
        <v>1</v>
      </c>
      <c r="AC34" s="1813">
        <f t="shared" si="5"/>
        <v>1</v>
      </c>
    </row>
    <row r="35" spans="1:29" ht="15">
      <c r="A35" s="472"/>
      <c r="B35" s="422" t="s">
        <v>2649</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2"/>
      <c r="M35" s="1133"/>
      <c r="N35" s="1133"/>
      <c r="O35" s="1133"/>
      <c r="P35" s="3270"/>
      <c r="Q35" s="1812" t="str">
        <f t="shared" si="11"/>
        <v>公共部分装修</v>
      </c>
      <c r="R35" s="774" t="s">
        <v>17</v>
      </c>
      <c r="S35" s="775">
        <f t="shared" si="12"/>
        <v>100</v>
      </c>
      <c r="T35" s="774" t="s">
        <v>17</v>
      </c>
      <c r="U35" s="775">
        <f t="shared" si="13"/>
        <v>100</v>
      </c>
      <c r="V35" s="774" t="s">
        <v>17</v>
      </c>
      <c r="W35" s="775">
        <f t="shared" si="14"/>
        <v>100</v>
      </c>
      <c r="X35" s="1815"/>
      <c r="Y35" s="3209"/>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70"/>
      <c r="Q36" s="1812" t="str">
        <f t="shared" si="11"/>
        <v>成新度</v>
      </c>
      <c r="R36" s="774" t="s">
        <v>17</v>
      </c>
      <c r="S36" s="775" t="e">
        <f t="shared" si="12"/>
        <v>#N/A</v>
      </c>
      <c r="T36" s="774" t="s">
        <v>17</v>
      </c>
      <c r="U36" s="775" t="e">
        <f t="shared" si="13"/>
        <v>#N/A</v>
      </c>
      <c r="V36" s="774" t="s">
        <v>17</v>
      </c>
      <c r="W36" s="775" t="e">
        <f t="shared" si="14"/>
        <v>#N/A</v>
      </c>
      <c r="X36" s="1815"/>
      <c r="Y36" s="3209"/>
      <c r="Z36" s="1816" t="str">
        <f t="shared" si="15"/>
        <v>成新度</v>
      </c>
      <c r="AA36" s="1813" t="e">
        <f t="shared" si="3"/>
        <v>#N/A</v>
      </c>
      <c r="AB36" s="1813" t="e">
        <f t="shared" si="4"/>
        <v>#N/A</v>
      </c>
      <c r="AC36" s="1813" t="e">
        <f t="shared" si="5"/>
        <v>#N/A</v>
      </c>
    </row>
    <row r="37" spans="1:29" s="117" customFormat="1" ht="15">
      <c r="A37" s="473"/>
      <c r="B37" s="422" t="s">
        <v>2651</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4"/>
      <c r="M37" s="1135"/>
      <c r="N37" s="1135"/>
      <c r="O37" s="1135"/>
      <c r="P37" s="3270"/>
      <c r="Q37" s="1797"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2652</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2"/>
      <c r="M38" s="1133"/>
      <c r="N38" s="1133"/>
      <c r="O38" s="1133"/>
      <c r="P38" s="3270" t="s">
        <v>2553</v>
      </c>
      <c r="Q38" s="1812" t="str">
        <f t="shared" si="11"/>
        <v>业态</v>
      </c>
      <c r="R38" s="774" t="s">
        <v>17</v>
      </c>
      <c r="S38" s="775">
        <f t="shared" si="12"/>
        <v>100</v>
      </c>
      <c r="T38" s="774" t="s">
        <v>17</v>
      </c>
      <c r="U38" s="775">
        <f t="shared" si="13"/>
        <v>100</v>
      </c>
      <c r="V38" s="774" t="s">
        <v>17</v>
      </c>
      <c r="W38" s="775">
        <f t="shared" si="14"/>
        <v>100</v>
      </c>
      <c r="X38" s="1815"/>
      <c r="Y38" s="3209" t="s">
        <v>2553</v>
      </c>
      <c r="Z38" s="1816" t="str">
        <f t="shared" si="15"/>
        <v>业态</v>
      </c>
      <c r="AA38" s="1813">
        <f t="shared" si="3"/>
        <v>1</v>
      </c>
      <c r="AB38" s="1813">
        <f t="shared" si="4"/>
        <v>1</v>
      </c>
      <c r="AC38" s="1813">
        <f t="shared" si="5"/>
        <v>1</v>
      </c>
    </row>
    <row r="39" spans="1:29" ht="15">
      <c r="A39" s="472"/>
      <c r="B39" s="422" t="s">
        <v>2653</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2"/>
      <c r="M39" s="1133"/>
      <c r="N39" s="1133"/>
      <c r="O39" s="1133"/>
      <c r="P39" s="3270"/>
      <c r="Q39" s="1812" t="str">
        <f t="shared" si="11"/>
        <v>层高</v>
      </c>
      <c r="R39" s="774" t="s">
        <v>17</v>
      </c>
      <c r="S39" s="775">
        <f t="shared" si="12"/>
        <v>100</v>
      </c>
      <c r="T39" s="774" t="s">
        <v>17</v>
      </c>
      <c r="U39" s="775">
        <f t="shared" si="13"/>
        <v>100</v>
      </c>
      <c r="V39" s="774" t="s">
        <v>17</v>
      </c>
      <c r="W39" s="775">
        <f t="shared" si="14"/>
        <v>100</v>
      </c>
      <c r="X39" s="1815"/>
      <c r="Y39" s="3209"/>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70"/>
      <c r="Q40" s="1812" t="str">
        <f t="shared" si="11"/>
        <v>单套建筑面积</v>
      </c>
      <c r="R40" s="774" t="s">
        <v>17</v>
      </c>
      <c r="S40" s="775">
        <f t="shared" si="12"/>
        <v>100</v>
      </c>
      <c r="T40" s="774" t="s">
        <v>17</v>
      </c>
      <c r="U40" s="775">
        <f t="shared" si="13"/>
        <v>100</v>
      </c>
      <c r="V40" s="774" t="s">
        <v>17</v>
      </c>
      <c r="W40" s="775">
        <f t="shared" si="14"/>
        <v>100</v>
      </c>
      <c r="X40" s="1815"/>
      <c r="Y40" s="3209"/>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70"/>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3">
        <f t="shared" si="3"/>
        <v>1</v>
      </c>
      <c r="AB41" s="1813">
        <f t="shared" si="4"/>
        <v>1</v>
      </c>
      <c r="AC41" s="1813">
        <f t="shared" si="5"/>
        <v>1</v>
      </c>
    </row>
    <row r="42" spans="1:29" ht="15">
      <c r="A42" s="472"/>
      <c r="B42" s="422" t="s">
        <v>2656</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2"/>
      <c r="M42" s="1133"/>
      <c r="N42" s="1133"/>
      <c r="O42" s="1133"/>
      <c r="P42" s="3270"/>
      <c r="Q42" s="1812" t="str">
        <f t="shared" si="11"/>
        <v>内部装修</v>
      </c>
      <c r="R42" s="774" t="s">
        <v>17</v>
      </c>
      <c r="S42" s="775">
        <f t="shared" si="12"/>
        <v>100</v>
      </c>
      <c r="T42" s="774" t="s">
        <v>17</v>
      </c>
      <c r="U42" s="775">
        <f t="shared" si="13"/>
        <v>100</v>
      </c>
      <c r="V42" s="774" t="s">
        <v>17</v>
      </c>
      <c r="W42" s="775">
        <f t="shared" si="14"/>
        <v>100</v>
      </c>
      <c r="X42" s="1815"/>
      <c r="Y42" s="3209"/>
      <c r="Z42" s="1816" t="str">
        <f t="shared" si="15"/>
        <v>内部装修</v>
      </c>
      <c r="AA42" s="1813">
        <f t="shared" si="3"/>
        <v>1</v>
      </c>
      <c r="AB42" s="1813">
        <f t="shared" si="4"/>
        <v>1</v>
      </c>
      <c r="AC42" s="1813">
        <f t="shared" si="5"/>
        <v>1</v>
      </c>
    </row>
    <row r="43" spans="1:29" ht="15">
      <c r="A43" s="472"/>
      <c r="B43" s="422" t="s">
        <v>2564</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2"/>
      <c r="M43" s="1133"/>
      <c r="N43" s="1133"/>
      <c r="O43" s="1133"/>
      <c r="P43" s="3270"/>
      <c r="Q43" s="1812" t="str">
        <f t="shared" si="11"/>
        <v>内部装修维护情况</v>
      </c>
      <c r="R43" s="774" t="s">
        <v>17</v>
      </c>
      <c r="S43" s="775">
        <f t="shared" si="12"/>
        <v>100</v>
      </c>
      <c r="T43" s="774" t="s">
        <v>17</v>
      </c>
      <c r="U43" s="775">
        <f t="shared" si="13"/>
        <v>100</v>
      </c>
      <c r="V43" s="774" t="s">
        <v>17</v>
      </c>
      <c r="W43" s="775">
        <f t="shared" si="14"/>
        <v>100</v>
      </c>
      <c r="X43" s="1815"/>
      <c r="Y43" s="3209"/>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70"/>
      <c r="Q44" s="1797">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70"/>
      <c r="Q45" s="1812">
        <f t="shared" si="11"/>
        <v>111</v>
      </c>
      <c r="R45" s="774" t="s">
        <v>17</v>
      </c>
      <c r="S45" s="775">
        <f t="shared" si="12"/>
        <v>100</v>
      </c>
      <c r="T45" s="774" t="s">
        <v>17</v>
      </c>
      <c r="U45" s="775">
        <f t="shared" si="13"/>
        <v>100</v>
      </c>
      <c r="V45" s="774" t="s">
        <v>17</v>
      </c>
      <c r="W45" s="775">
        <f t="shared" si="14"/>
        <v>100</v>
      </c>
      <c r="X45" s="1815"/>
      <c r="Y45" s="3209"/>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71"/>
      <c r="Q46" s="1812">
        <f t="shared" si="11"/>
        <v>111</v>
      </c>
      <c r="R46" s="774" t="s">
        <v>17</v>
      </c>
      <c r="S46" s="775">
        <f t="shared" si="12"/>
        <v>100</v>
      </c>
      <c r="T46" s="774" t="s">
        <v>17</v>
      </c>
      <c r="U46" s="775">
        <f t="shared" si="13"/>
        <v>100</v>
      </c>
      <c r="V46" s="774" t="s">
        <v>17</v>
      </c>
      <c r="W46" s="775">
        <f t="shared" si="14"/>
        <v>100</v>
      </c>
      <c r="X46" s="1815"/>
      <c r="Y46" s="3210"/>
      <c r="Z46" s="1816">
        <f t="shared" si="15"/>
        <v>111</v>
      </c>
      <c r="AA46" s="1813">
        <f t="shared" si="3"/>
        <v>1</v>
      </c>
      <c r="AB46" s="1813">
        <f t="shared" si="4"/>
        <v>1</v>
      </c>
      <c r="AC46" s="1813">
        <f t="shared" si="5"/>
        <v>1</v>
      </c>
    </row>
    <row r="47" spans="1:29" ht="15">
      <c r="A47" s="479" t="s">
        <v>2565</v>
      </c>
      <c r="B47" s="480"/>
      <c r="C47" s="1409" t="s">
        <v>1</v>
      </c>
      <c r="D47" s="1410"/>
      <c r="E47" s="1411"/>
      <c r="F47" s="1412"/>
      <c r="G47" s="1413"/>
      <c r="H47" s="1414"/>
      <c r="I47" s="1411"/>
      <c r="J47" s="1414"/>
      <c r="K47" s="783"/>
      <c r="L47" s="1145"/>
      <c r="M47" s="1146"/>
      <c r="N47" s="1133"/>
      <c r="O47" s="1146"/>
      <c r="P47" s="3201" t="str">
        <f>A47</f>
        <v>成交单价（元/平方米）</v>
      </c>
      <c r="Q47" s="3201"/>
      <c r="R47" s="3230">
        <f>E47</f>
        <v>0</v>
      </c>
      <c r="S47" s="3230"/>
      <c r="T47" s="3230">
        <f>G47</f>
        <v>0</v>
      </c>
      <c r="U47" s="3230"/>
      <c r="V47" s="3230">
        <f>I47</f>
        <v>0</v>
      </c>
      <c r="W47" s="3230"/>
      <c r="X47" s="759"/>
      <c r="Y47" s="781"/>
      <c r="Z47" s="759"/>
      <c r="AA47" s="759"/>
      <c r="AB47" s="759"/>
      <c r="AC47" s="759"/>
    </row>
    <row r="48" spans="1:29" ht="15.75" thickBot="1">
      <c r="A48" s="486" t="s">
        <v>2657</v>
      </c>
      <c r="B48" s="487"/>
      <c r="C48" s="1415" t="e">
        <f>R49</f>
        <v>#DIV/0!</v>
      </c>
      <c r="D48" s="1416"/>
      <c r="E48" s="1417" t="e">
        <f>R48</f>
        <v>#DIV/0!</v>
      </c>
      <c r="F48" s="1417"/>
      <c r="G48" s="1415" t="e">
        <f>T48</f>
        <v>#DIV/0!</v>
      </c>
      <c r="H48" s="1416"/>
      <c r="I48" s="1417" t="e">
        <f>V48</f>
        <v>#DIV/0!</v>
      </c>
      <c r="J48" s="1416"/>
      <c r="K48" s="784"/>
      <c r="L48" s="1145"/>
      <c r="M48" s="1146"/>
      <c r="N48" s="1133"/>
      <c r="O48" s="1146"/>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2658</v>
      </c>
      <c r="B49" s="493"/>
      <c r="C49" s="1419" t="e">
        <f>R49</f>
        <v>#DIV/0!</v>
      </c>
      <c r="D49" s="1419"/>
      <c r="E49" s="1419"/>
      <c r="F49" s="1419"/>
      <c r="G49" s="1419"/>
      <c r="H49" s="1419"/>
      <c r="I49" s="1419"/>
      <c r="J49" s="1419"/>
      <c r="K49" s="785"/>
      <c r="L49" s="1145"/>
      <c r="M49" s="1146"/>
      <c r="N49" s="1133"/>
      <c r="O49" s="1146"/>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2"/>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2"/>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3"/>
      <c r="M57" s="1161"/>
      <c r="N57" s="1161"/>
      <c r="O57" s="1161"/>
      <c r="P57" s="2663"/>
      <c r="Q57" s="2664"/>
      <c r="R57" s="759"/>
      <c r="S57" s="759"/>
      <c r="T57" s="759"/>
      <c r="U57" s="759"/>
      <c r="V57" s="759"/>
      <c r="W57" s="759"/>
      <c r="X57" s="759"/>
      <c r="Y57" s="759"/>
      <c r="Z57" s="759"/>
      <c r="AA57" s="759"/>
      <c r="AB57" s="759"/>
      <c r="AC57" s="759"/>
    </row>
    <row r="58" spans="1:29" s="508" customFormat="1" ht="15">
      <c r="A58" s="505" t="s">
        <v>2536</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2538</v>
      </c>
      <c r="B61" s="510"/>
      <c r="C61" s="522" t="s">
        <v>2640</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2576</v>
      </c>
      <c r="B63" s="528" t="s">
        <v>2542</v>
      </c>
      <c r="C63" s="529">
        <f>C9</f>
        <v>0</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4"/>
      <c r="O65" s="1154"/>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6"/>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6"/>
      <c r="Q67" s="504"/>
    </row>
    <row r="68" spans="1:17" ht="15">
      <c r="A68" s="534"/>
      <c r="B68" s="548"/>
      <c r="C68" s="549"/>
      <c r="D68" s="549"/>
      <c r="E68" s="549"/>
      <c r="F68" s="549"/>
      <c r="G68" s="549"/>
      <c r="H68" s="549"/>
      <c r="I68" s="549"/>
      <c r="J68" s="549"/>
      <c r="K68" s="550"/>
      <c r="L68" s="551"/>
      <c r="M68" s="552"/>
      <c r="N68" s="1154"/>
      <c r="O68" s="1154"/>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36"/>
      <c r="E73" s="536"/>
      <c r="F73" s="536"/>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4"/>
      <c r="O76" s="1154"/>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4"/>
      <c r="O78" s="1154"/>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4"/>
      <c r="O80" s="1154"/>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6"/>
      <c r="Q81" s="504"/>
    </row>
    <row r="82" spans="1:17" ht="15.75" thickTop="1">
      <c r="A82" s="534"/>
      <c r="B82" s="546" t="s">
        <v>2643</v>
      </c>
      <c r="C82" s="660" t="s">
        <v>2663</v>
      </c>
      <c r="D82" s="660" t="s">
        <v>2664</v>
      </c>
      <c r="E82" s="660" t="s">
        <v>2665</v>
      </c>
      <c r="F82" s="660" t="s">
        <v>2666</v>
      </c>
      <c r="G82" s="660" t="s">
        <v>2667</v>
      </c>
      <c r="H82" s="539"/>
      <c r="I82" s="539"/>
      <c r="J82" s="539"/>
      <c r="K82" s="539"/>
      <c r="L82" s="539"/>
      <c r="M82" s="1384"/>
      <c r="N82" s="1155"/>
      <c r="O82" s="1155"/>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4"/>
      <c r="O84" s="1154"/>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6"/>
      <c r="Q85" s="504"/>
    </row>
    <row r="86" spans="1:17" s="117" customFormat="1" ht="15.75" thickTop="1">
      <c r="A86" s="579"/>
      <c r="B86" s="538" t="s">
        <v>2668</v>
      </c>
      <c r="C86" s="554"/>
      <c r="D86" s="554"/>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3"/>
      <c r="O88" s="1153"/>
      <c r="P88" s="2626"/>
      <c r="Q88" s="504"/>
    </row>
    <row r="89" spans="1:17" s="117" customFormat="1" ht="15.75" thickBot="1">
      <c r="A89" s="579"/>
      <c r="B89" s="543"/>
      <c r="C89" s="560"/>
      <c r="D89" s="536"/>
      <c r="E89" s="536"/>
      <c r="F89" s="536"/>
      <c r="G89" s="536"/>
      <c r="H89" s="536"/>
      <c r="I89" s="536"/>
      <c r="J89" s="536"/>
      <c r="K89" s="536"/>
      <c r="L89" s="536"/>
      <c r="M89" s="536"/>
      <c r="N89" s="1155"/>
      <c r="O89" s="1155"/>
      <c r="P89" s="2626"/>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7"/>
      <c r="Q91" s="559"/>
    </row>
    <row r="92" spans="1:17" ht="15.75" thickTop="1">
      <c r="A92" s="534"/>
      <c r="B92" s="538" t="str">
        <f>B28</f>
        <v>楼层</v>
      </c>
      <c r="C92" s="554"/>
      <c r="D92" s="554"/>
      <c r="E92" s="554"/>
      <c r="F92" s="554"/>
      <c r="G92" s="554"/>
      <c r="H92" s="554"/>
      <c r="I92" s="554"/>
      <c r="J92" s="554"/>
      <c r="K92" s="554"/>
      <c r="L92" s="580"/>
      <c r="M92" s="581"/>
      <c r="N92" s="1154"/>
      <c r="O92" s="1154"/>
      <c r="P92" s="2626"/>
      <c r="Q92" s="504"/>
    </row>
    <row r="93" spans="1:17" ht="15.75" thickBot="1">
      <c r="A93" s="534"/>
      <c r="B93" s="543"/>
      <c r="C93" s="536"/>
      <c r="D93" s="536"/>
      <c r="E93" s="536"/>
      <c r="F93" s="536"/>
      <c r="G93" s="536"/>
      <c r="H93" s="536"/>
      <c r="I93" s="536"/>
      <c r="J93" s="536"/>
      <c r="K93" s="536"/>
      <c r="L93" s="536"/>
      <c r="M93" s="537"/>
      <c r="N93" s="1155"/>
      <c r="O93" s="1155"/>
      <c r="P93" s="2626"/>
      <c r="Q93" s="504"/>
    </row>
    <row r="94" spans="1:17" ht="15.75" thickTop="1">
      <c r="A94" s="534"/>
      <c r="B94" s="538">
        <f>B29</f>
        <v>111</v>
      </c>
      <c r="C94" s="554"/>
      <c r="D94" s="554"/>
      <c r="E94" s="554"/>
      <c r="F94" s="554"/>
      <c r="G94" s="583"/>
      <c r="H94" s="583"/>
      <c r="I94" s="583"/>
      <c r="J94" s="583"/>
      <c r="K94" s="584"/>
      <c r="L94" s="585"/>
      <c r="M94" s="586"/>
      <c r="N94" s="1154"/>
      <c r="O94" s="1154"/>
      <c r="P94" s="2626"/>
      <c r="Q94" s="504"/>
    </row>
    <row r="95" spans="1:17" ht="15.75" thickBot="1">
      <c r="A95" s="534"/>
      <c r="B95" s="543"/>
      <c r="C95" s="560"/>
      <c r="D95" s="536"/>
      <c r="E95" s="536"/>
      <c r="F95" s="536"/>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60"/>
      <c r="D97" s="536"/>
      <c r="E97" s="536"/>
      <c r="F97" s="536"/>
      <c r="G97" s="536"/>
      <c r="H97" s="536"/>
      <c r="I97" s="536"/>
      <c r="J97" s="536"/>
      <c r="K97" s="536"/>
      <c r="L97" s="536"/>
      <c r="M97" s="537"/>
      <c r="N97" s="1155"/>
      <c r="O97" s="1155"/>
      <c r="P97" s="2626"/>
      <c r="Q97" s="504"/>
    </row>
    <row r="98" spans="1:17" ht="15.75" thickTop="1">
      <c r="A98" s="534"/>
      <c r="B98" s="546">
        <f>B31</f>
        <v>111</v>
      </c>
      <c r="C98" s="554"/>
      <c r="D98" s="554"/>
      <c r="E98" s="554"/>
      <c r="F98" s="554"/>
      <c r="G98" s="587"/>
      <c r="H98" s="587"/>
      <c r="I98" s="587"/>
      <c r="J98" s="587"/>
      <c r="K98" s="588"/>
      <c r="L98" s="589"/>
      <c r="M98" s="590"/>
      <c r="N98" s="1154"/>
      <c r="O98" s="1154"/>
      <c r="P98" s="2626"/>
      <c r="Q98" s="504"/>
    </row>
    <row r="99" spans="1:17" ht="15.75" thickBot="1">
      <c r="A99" s="2632"/>
      <c r="B99" s="569"/>
      <c r="C99" s="570"/>
      <c r="D99" s="570"/>
      <c r="E99" s="570"/>
      <c r="F99" s="570"/>
      <c r="G99" s="591"/>
      <c r="H99" s="591"/>
      <c r="I99" s="591"/>
      <c r="J99" s="591"/>
      <c r="K99" s="591"/>
      <c r="L99" s="591"/>
      <c r="M99" s="592"/>
      <c r="N99" s="1155"/>
      <c r="O99" s="1155"/>
      <c r="P99" s="2626"/>
      <c r="Q99" s="504"/>
    </row>
    <row r="100" spans="1:17">
      <c r="A100" s="527" t="s">
        <v>2551</v>
      </c>
      <c r="B100" s="528" t="s">
        <v>2669</v>
      </c>
      <c r="C100" s="530"/>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6"/>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6"/>
      <c r="Q102" s="504"/>
    </row>
    <row r="103" spans="1:17" s="471" customFormat="1">
      <c r="A103" s="593"/>
      <c r="B103" s="594"/>
      <c r="C103" s="595"/>
      <c r="D103" s="595"/>
      <c r="E103" s="595"/>
      <c r="F103" s="595"/>
      <c r="G103" s="595"/>
      <c r="H103" s="595"/>
      <c r="I103" s="595"/>
      <c r="J103" s="596"/>
      <c r="K103" s="596"/>
      <c r="L103" s="597"/>
      <c r="M103" s="598"/>
      <c r="N103" s="1156"/>
      <c r="O103" s="1156"/>
      <c r="P103" s="2627"/>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7"/>
      <c r="Q104" s="559"/>
    </row>
    <row r="105" spans="1:17" ht="15" thickTop="1">
      <c r="A105" s="599"/>
      <c r="B105" s="538" t="s">
        <v>2602</v>
      </c>
      <c r="C105" s="554"/>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6"/>
      <c r="Q106" s="504"/>
    </row>
    <row r="107" spans="1:17" ht="15" thickTop="1">
      <c r="A107" s="599"/>
      <c r="B107" s="538" t="s">
        <v>2604</v>
      </c>
      <c r="C107" s="554"/>
      <c r="D107" s="554"/>
      <c r="E107" s="554"/>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6"/>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6"/>
      <c r="Q111" s="504"/>
    </row>
    <row r="112" spans="1:17" s="471" customFormat="1" ht="15" thickTop="1">
      <c r="A112" s="593"/>
      <c r="B112" s="538" t="s">
        <v>2606</v>
      </c>
      <c r="C112" s="554"/>
      <c r="D112" s="554"/>
      <c r="E112" s="554"/>
      <c r="F112" s="554"/>
      <c r="G112" s="554"/>
      <c r="H112" s="583"/>
      <c r="I112" s="583"/>
      <c r="J112" s="583"/>
      <c r="K112" s="584"/>
      <c r="L112" s="585"/>
      <c r="M112" s="586"/>
      <c r="N112" s="1156"/>
      <c r="O112" s="1156"/>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7"/>
      <c r="Q113" s="559"/>
    </row>
    <row r="114" spans="1:17" ht="15" thickTop="1">
      <c r="A114" s="599"/>
      <c r="B114" s="538" t="s">
        <v>2670</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6"/>
      <c r="Q115" s="504"/>
    </row>
    <row r="116" spans="1:17" ht="15" thickTop="1">
      <c r="A116" s="599"/>
      <c r="B116" s="538" t="s">
        <v>2671</v>
      </c>
      <c r="C116" s="554"/>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6"/>
      <c r="Q117" s="504"/>
    </row>
    <row r="118" spans="1:17" ht="15" thickTop="1">
      <c r="A118" s="599"/>
      <c r="B118" s="538" t="s">
        <v>2672</v>
      </c>
      <c r="C118" s="627"/>
      <c r="D118" s="627"/>
      <c r="E118" s="627"/>
      <c r="F118" s="627"/>
      <c r="G118" s="627"/>
      <c r="H118" s="555"/>
      <c r="I118" s="555"/>
      <c r="J118" s="555"/>
      <c r="K118" s="555"/>
      <c r="L118" s="556"/>
      <c r="M118" s="557"/>
      <c r="N118" s="1154"/>
      <c r="O118" s="1154"/>
      <c r="P118" s="2626"/>
      <c r="Q118" s="504"/>
    </row>
    <row r="119" spans="1:17" ht="15.75" thickBot="1">
      <c r="A119" s="534"/>
      <c r="B119" s="543"/>
      <c r="C119" s="560"/>
      <c r="D119" s="536"/>
      <c r="E119" s="536"/>
      <c r="F119" s="536"/>
      <c r="G119" s="536"/>
      <c r="H119" s="536"/>
      <c r="I119" s="536"/>
      <c r="J119" s="536"/>
      <c r="K119" s="536"/>
      <c r="L119" s="536"/>
      <c r="M119" s="537"/>
      <c r="N119" s="1155"/>
      <c r="O119" s="1155"/>
      <c r="P119" s="2626"/>
      <c r="Q119" s="504"/>
    </row>
    <row r="120" spans="1:17" s="471" customFormat="1" ht="15" thickTop="1">
      <c r="A120" s="593"/>
      <c r="B120" s="538" t="s">
        <v>2673</v>
      </c>
      <c r="C120" s="583"/>
      <c r="D120" s="583"/>
      <c r="E120" s="583"/>
      <c r="F120" s="583"/>
      <c r="G120" s="555"/>
      <c r="H120" s="555"/>
      <c r="I120" s="555"/>
      <c r="J120" s="555"/>
      <c r="K120" s="555"/>
      <c r="L120" s="556"/>
      <c r="M120" s="557"/>
      <c r="N120" s="1156"/>
      <c r="O120" s="1156"/>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7"/>
      <c r="Q121" s="559"/>
    </row>
    <row r="122" spans="1:17" ht="15" thickTop="1">
      <c r="A122" s="599"/>
      <c r="B122" s="538" t="s">
        <v>2608</v>
      </c>
      <c r="C122" s="554"/>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4"/>
      <c r="O124" s="1154"/>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36"/>
      <c r="E129" s="536"/>
      <c r="F129" s="536"/>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北京厦诚科技有限公司：</v>
      </c>
    </row>
    <row r="4" spans="1:1" ht="36">
      <c r="A4" s="1950" t="str">
        <f>"受贵公司委托，我公司对"&amp;项目基本情况!S1&amp;"进行了预评估。"</f>
        <v>受贵公司委托，我公司对北京市昌平区超前路37号院20号楼1至4层101号房地产抵押价值进行了预评估。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估价对象为北京市昌平区超前路37号院20号楼1至4层101号房地产，为北京厦诚科技有限公司所有。根据《不动产权证书》，估价对象（分摊）出让国有建设用地使用权面积为0平方米，建筑面积为1246.4平方米。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超前路37号院20号楼1至4层101号房地产,属北京厦诚科技有限公司开发建设的工业项目，该项目尚在开发建设中。根据《不动产权证书》，估价对象（分摊）出让国有建设用地使用权面积为0平方米，规划建筑面积为1246.4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为估价委托人在向工商银行总行北京分行昌平支行办理贷款手续过程中，确定房地产抵押贷款额度提供参考依据而评估房地产抵押价值。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2018年3月6日（评估专业人员实地查勘之日）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工业，土地取得方式为出让，出让国有建设用地使用权剩余土地使用年限为工业43.03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43.03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5" t="s">
        <v>2674</v>
      </c>
      <c r="C1" s="1622" t="s">
        <v>2518</v>
      </c>
      <c r="D1" s="1623"/>
      <c r="E1" s="1632"/>
      <c r="F1" s="2580"/>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IF(C2="——",ROUND(C50*D3/10000,0),ROUND(C50*D3/10000,0)-D2)</f>
        <v>#DIV/0!</v>
      </c>
      <c r="C2" s="2582"/>
      <c r="D2" s="1367" t="e">
        <f ca="1">SUMIF(INDIRECT("'"&amp;F2&amp;"'"&amp;"!A:A"),"承租人权益价值",INDIRECT("'"&amp;F2&amp;"'"&amp;"!c:c"))</f>
        <v>#REF!</v>
      </c>
      <c r="E2" s="2583" t="s">
        <v>2316</v>
      </c>
      <c r="F2" s="2584"/>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1246.4000000000001</v>
      </c>
      <c r="E3" s="2659"/>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2633</v>
      </c>
      <c r="B4" s="402"/>
      <c r="C4" s="3214" t="s">
        <v>2634</v>
      </c>
      <c r="D4" s="3215"/>
      <c r="E4" s="3216" t="s">
        <v>2635</v>
      </c>
      <c r="F4" s="3217"/>
      <c r="G4" s="3214" t="s">
        <v>2636</v>
      </c>
      <c r="H4" s="3215"/>
      <c r="I4" s="3214" t="s">
        <v>2637</v>
      </c>
      <c r="J4" s="3215"/>
      <c r="K4" s="610" t="s">
        <v>2638</v>
      </c>
      <c r="L4" s="1132"/>
      <c r="M4" s="1133"/>
      <c r="N4" s="1133"/>
      <c r="O4" s="1133"/>
      <c r="P4" s="3283" t="s">
        <v>2639</v>
      </c>
      <c r="Q4" s="3284"/>
      <c r="R4" s="3287" t="s">
        <v>2635</v>
      </c>
      <c r="S4" s="3288"/>
      <c r="T4" s="3287" t="s">
        <v>2636</v>
      </c>
      <c r="U4" s="3288"/>
      <c r="V4" s="3289" t="s">
        <v>2637</v>
      </c>
      <c r="W4" s="3289"/>
      <c r="X4" s="2666"/>
      <c r="Y4" s="3287" t="s">
        <v>2639</v>
      </c>
      <c r="Z4" s="3288"/>
      <c r="AA4" s="3291" t="s">
        <v>2635</v>
      </c>
      <c r="AB4" s="3291" t="s">
        <v>2636</v>
      </c>
      <c r="AC4" s="3280" t="s">
        <v>2637</v>
      </c>
    </row>
    <row r="5" spans="1:29" ht="15">
      <c r="A5" s="404"/>
      <c r="B5" s="405"/>
      <c r="C5" s="3275" t="s">
        <v>2530</v>
      </c>
      <c r="D5" s="3239"/>
      <c r="E5" s="3276" t="s">
        <v>2531</v>
      </c>
      <c r="F5" s="3234"/>
      <c r="G5" s="3275" t="s">
        <v>2532</v>
      </c>
      <c r="H5" s="3239"/>
      <c r="I5" s="3275" t="s">
        <v>2533</v>
      </c>
      <c r="J5" s="3239"/>
      <c r="K5" s="610"/>
      <c r="L5" s="1132"/>
      <c r="M5" s="1133"/>
      <c r="N5" s="1133"/>
      <c r="O5" s="1133"/>
      <c r="P5" s="3285"/>
      <c r="Q5" s="3221"/>
      <c r="R5" s="3226"/>
      <c r="S5" s="3227"/>
      <c r="T5" s="3226"/>
      <c r="U5" s="3227"/>
      <c r="V5" s="3230"/>
      <c r="W5" s="3230"/>
      <c r="X5" s="1815"/>
      <c r="Y5" s="3226"/>
      <c r="Z5" s="3227"/>
      <c r="AA5" s="3212"/>
      <c r="AB5" s="3212"/>
      <c r="AC5" s="3281"/>
    </row>
    <row r="6" spans="1:29" ht="15.75" thickBot="1">
      <c r="A6" s="406"/>
      <c r="B6" s="407"/>
      <c r="C6" s="3231" t="s">
        <v>2534</v>
      </c>
      <c r="D6" s="3232"/>
      <c r="E6" s="3240" t="s">
        <v>2534</v>
      </c>
      <c r="F6" s="3241"/>
      <c r="G6" s="3231" t="s">
        <v>2534</v>
      </c>
      <c r="H6" s="3232"/>
      <c r="I6" s="3231" t="s">
        <v>2534</v>
      </c>
      <c r="J6" s="3232"/>
      <c r="K6" s="610" t="s">
        <v>2535</v>
      </c>
      <c r="L6" s="1132"/>
      <c r="M6" s="1133"/>
      <c r="N6" s="1133"/>
      <c r="O6" s="1133"/>
      <c r="P6" s="3286"/>
      <c r="Q6" s="3223"/>
      <c r="R6" s="3226"/>
      <c r="S6" s="3227"/>
      <c r="T6" s="3228"/>
      <c r="U6" s="3229"/>
      <c r="V6" s="3230"/>
      <c r="W6" s="3230"/>
      <c r="X6" s="1815"/>
      <c r="Y6" s="3228"/>
      <c r="Z6" s="3229"/>
      <c r="AA6" s="3213"/>
      <c r="AB6" s="3213"/>
      <c r="AC6" s="3282"/>
    </row>
    <row r="7" spans="1:29" s="117" customFormat="1" ht="15.75" thickBot="1">
      <c r="A7" s="408" t="s">
        <v>2536</v>
      </c>
      <c r="B7" s="409"/>
      <c r="C7" s="410">
        <f>'数据-取费表'!B2</f>
        <v>43165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90" t="s">
        <v>2537</v>
      </c>
      <c r="Q7" s="3237"/>
      <c r="R7" s="770" t="s">
        <v>17</v>
      </c>
      <c r="S7" s="771">
        <f t="shared" ref="S7:S15" si="0">F7</f>
        <v>0</v>
      </c>
      <c r="T7" s="770" t="s">
        <v>17</v>
      </c>
      <c r="U7" s="771">
        <f t="shared" ref="U7:U15" si="1">H7</f>
        <v>0</v>
      </c>
      <c r="V7" s="770" t="s">
        <v>17</v>
      </c>
      <c r="W7" s="771">
        <f t="shared" ref="W7:W15" si="2">J7</f>
        <v>0</v>
      </c>
      <c r="X7" s="772"/>
      <c r="Y7" s="3235" t="s">
        <v>2537</v>
      </c>
      <c r="Z7" s="3236"/>
      <c r="AA7" s="773" t="e">
        <f>D7/F7</f>
        <v>#DIV/0!</v>
      </c>
      <c r="AB7" s="773" t="e">
        <f>D7/H7</f>
        <v>#DIV/0!</v>
      </c>
      <c r="AC7" s="2667"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90" t="s">
        <v>2540</v>
      </c>
      <c r="Q8" s="3236"/>
      <c r="R8" s="770" t="s">
        <v>17</v>
      </c>
      <c r="S8" s="771">
        <f t="shared" si="0"/>
        <v>0</v>
      </c>
      <c r="T8" s="770" t="s">
        <v>17</v>
      </c>
      <c r="U8" s="771">
        <f t="shared" si="1"/>
        <v>0</v>
      </c>
      <c r="V8" s="770" t="s">
        <v>17</v>
      </c>
      <c r="W8" s="771">
        <f t="shared" si="2"/>
        <v>0</v>
      </c>
      <c r="X8" s="772"/>
      <c r="Y8" s="3235" t="s">
        <v>2540</v>
      </c>
      <c r="Z8" s="3236"/>
      <c r="AA8" s="773" t="e">
        <f t="shared" ref="AA8:AA47" si="3">D8/F8</f>
        <v>#DIV/0!</v>
      </c>
      <c r="AB8" s="773" t="e">
        <f t="shared" ref="AB8:AB47" si="4">D8/H8</f>
        <v>#DIV/0!</v>
      </c>
      <c r="AC8" s="2667"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74" t="s">
        <v>2543</v>
      </c>
      <c r="Q9" s="1797" t="str">
        <f t="shared" ref="Q9:Q15" si="6">B9</f>
        <v>用途</v>
      </c>
      <c r="R9" s="770" t="s">
        <v>17</v>
      </c>
      <c r="S9" s="771">
        <f t="shared" si="0"/>
        <v>100</v>
      </c>
      <c r="T9" s="770" t="s">
        <v>17</v>
      </c>
      <c r="U9" s="771">
        <f t="shared" si="1"/>
        <v>100</v>
      </c>
      <c r="V9" s="770" t="s">
        <v>17</v>
      </c>
      <c r="W9" s="771">
        <f t="shared" si="2"/>
        <v>100</v>
      </c>
      <c r="X9" s="772"/>
      <c r="Y9" s="3039" t="s">
        <v>2544</v>
      </c>
      <c r="Z9" s="55" t="str">
        <f t="shared" ref="Z9:Z15" si="7">Q9</f>
        <v>用途</v>
      </c>
      <c r="AA9" s="773">
        <f t="shared" si="3"/>
        <v>1</v>
      </c>
      <c r="AB9" s="773">
        <f t="shared" si="4"/>
        <v>1</v>
      </c>
      <c r="AC9" s="2667">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74"/>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67">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74"/>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4"/>
      <c r="M12" s="1135"/>
      <c r="N12" s="1135"/>
      <c r="O12" s="1135"/>
      <c r="P12" s="3274"/>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2"/>
      <c r="M13" s="1133"/>
      <c r="N13" s="1133"/>
      <c r="O13" s="1133"/>
      <c r="P13" s="3274"/>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2"/>
      <c r="M14" s="1133"/>
      <c r="N14" s="1133"/>
      <c r="O14" s="1133"/>
      <c r="P14" s="3274"/>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67">
        <f t="shared" si="5"/>
        <v>1</v>
      </c>
    </row>
    <row r="15" spans="1:29" ht="15">
      <c r="A15" s="440" t="s">
        <v>2547</v>
      </c>
      <c r="B15" s="629" t="s">
        <v>2675</v>
      </c>
      <c r="C15" s="266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72" t="s">
        <v>2548</v>
      </c>
      <c r="Q15" s="1812" t="str">
        <f t="shared" si="6"/>
        <v>办公集聚程度</v>
      </c>
      <c r="R15" s="774" t="s">
        <v>17</v>
      </c>
      <c r="S15" s="775">
        <f t="shared" si="0"/>
        <v>100</v>
      </c>
      <c r="T15" s="774" t="s">
        <v>17</v>
      </c>
      <c r="U15" s="775">
        <f t="shared" si="1"/>
        <v>100</v>
      </c>
      <c r="V15" s="774" t="s">
        <v>17</v>
      </c>
      <c r="W15" s="775">
        <f t="shared" si="2"/>
        <v>100</v>
      </c>
      <c r="X15" s="1815"/>
      <c r="Y15" s="3206" t="s">
        <v>2548</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2"/>
      <c r="M16" s="1133"/>
      <c r="N16" s="1133"/>
      <c r="O16" s="1133"/>
      <c r="P16" s="3273"/>
      <c r="Q16" s="1812"/>
      <c r="R16" s="774"/>
      <c r="S16" s="775"/>
      <c r="T16" s="774"/>
      <c r="U16" s="775"/>
      <c r="V16" s="774"/>
      <c r="W16" s="775"/>
      <c r="X16" s="1815"/>
      <c r="Y16" s="3207"/>
      <c r="Z16" s="1816"/>
      <c r="AA16" s="1813">
        <v>1</v>
      </c>
      <c r="AB16" s="1813">
        <v>1</v>
      </c>
      <c r="AC16" s="2670">
        <v>1</v>
      </c>
    </row>
    <row r="17" spans="1:29" ht="15">
      <c r="A17" s="428"/>
      <c r="B17" s="631" t="s">
        <v>2089</v>
      </c>
      <c r="C17" s="267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73"/>
      <c r="Q17" s="1812" t="str">
        <f>B17</f>
        <v>交通便捷度</v>
      </c>
      <c r="R17" s="774" t="s">
        <v>17</v>
      </c>
      <c r="S17" s="775">
        <f>F17</f>
        <v>100</v>
      </c>
      <c r="T17" s="774" t="s">
        <v>17</v>
      </c>
      <c r="U17" s="775">
        <f>H17</f>
        <v>100</v>
      </c>
      <c r="V17" s="774" t="s">
        <v>17</v>
      </c>
      <c r="W17" s="775">
        <f>J17</f>
        <v>100</v>
      </c>
      <c r="X17" s="1815"/>
      <c r="Y17" s="3207"/>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2"/>
      <c r="M18" s="1133"/>
      <c r="N18" s="1133"/>
      <c r="O18" s="1133"/>
      <c r="P18" s="3273"/>
      <c r="Q18" s="1812"/>
      <c r="R18" s="774"/>
      <c r="S18" s="775"/>
      <c r="T18" s="774"/>
      <c r="U18" s="775"/>
      <c r="V18" s="774"/>
      <c r="W18" s="775"/>
      <c r="X18" s="1815"/>
      <c r="Y18" s="3207"/>
      <c r="Z18" s="1816"/>
      <c r="AA18" s="1813">
        <v>1</v>
      </c>
      <c r="AB18" s="1813">
        <v>1</v>
      </c>
      <c r="AC18" s="2670">
        <v>1</v>
      </c>
    </row>
    <row r="19" spans="1:29" ht="15">
      <c r="A19" s="428"/>
      <c r="B19" s="631" t="s">
        <v>2676</v>
      </c>
      <c r="C19" s="267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73"/>
      <c r="Q19" s="1812" t="str">
        <f>B19</f>
        <v>公共配套设施</v>
      </c>
      <c r="R19" s="774" t="s">
        <v>17</v>
      </c>
      <c r="S19" s="775">
        <f>F19</f>
        <v>100</v>
      </c>
      <c r="T19" s="774" t="s">
        <v>17</v>
      </c>
      <c r="U19" s="775">
        <f>H19</f>
        <v>100</v>
      </c>
      <c r="V19" s="774" t="s">
        <v>17</v>
      </c>
      <c r="W19" s="775">
        <f>J19</f>
        <v>100</v>
      </c>
      <c r="X19" s="1815"/>
      <c r="Y19" s="3207"/>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2"/>
      <c r="M20" s="1133"/>
      <c r="N20" s="1133"/>
      <c r="O20" s="1133"/>
      <c r="P20" s="3273"/>
      <c r="Q20" s="1812"/>
      <c r="R20" s="774"/>
      <c r="S20" s="775"/>
      <c r="T20" s="774"/>
      <c r="U20" s="775"/>
      <c r="V20" s="774"/>
      <c r="W20" s="775"/>
      <c r="X20" s="1815"/>
      <c r="Y20" s="3207"/>
      <c r="Z20" s="1816"/>
      <c r="AA20" s="1813">
        <v>1</v>
      </c>
      <c r="AB20" s="1813">
        <v>1</v>
      </c>
      <c r="AC20" s="2670">
        <v>1</v>
      </c>
    </row>
    <row r="21" spans="1:29" ht="15">
      <c r="A21" s="428"/>
      <c r="B21" s="633" t="s">
        <v>2677</v>
      </c>
      <c r="C21" s="267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73"/>
      <c r="Q21" s="1812" t="str">
        <f>B21</f>
        <v>基础设施水平</v>
      </c>
      <c r="R21" s="774" t="s">
        <v>17</v>
      </c>
      <c r="S21" s="775">
        <f>F21</f>
        <v>100</v>
      </c>
      <c r="T21" s="774" t="s">
        <v>17</v>
      </c>
      <c r="U21" s="775">
        <f>H21</f>
        <v>100</v>
      </c>
      <c r="V21" s="774" t="s">
        <v>17</v>
      </c>
      <c r="W21" s="775">
        <f>J21</f>
        <v>100</v>
      </c>
      <c r="X21" s="1815"/>
      <c r="Y21" s="3207"/>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5"/>
      <c r="L22" s="1142"/>
      <c r="M22" s="1133"/>
      <c r="N22" s="1133"/>
      <c r="O22" s="1133"/>
      <c r="P22" s="3273"/>
      <c r="Q22" s="1812"/>
      <c r="R22" s="774"/>
      <c r="S22" s="775"/>
      <c r="T22" s="774"/>
      <c r="U22" s="775"/>
      <c r="V22" s="774"/>
      <c r="W22" s="775"/>
      <c r="X22" s="1815"/>
      <c r="Y22" s="3207"/>
      <c r="Z22" s="1816"/>
      <c r="AA22" s="1813">
        <v>1</v>
      </c>
      <c r="AB22" s="1813">
        <v>1</v>
      </c>
      <c r="AC22" s="2670">
        <v>1</v>
      </c>
    </row>
    <row r="23" spans="1:29" ht="15">
      <c r="A23" s="428"/>
      <c r="B23" s="631" t="s">
        <v>2678</v>
      </c>
      <c r="C23" s="267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73"/>
      <c r="Q23" s="1812" t="str">
        <f>B23</f>
        <v>环境质量</v>
      </c>
      <c r="R23" s="774" t="s">
        <v>17</v>
      </c>
      <c r="S23" s="775">
        <f>F23</f>
        <v>100</v>
      </c>
      <c r="T23" s="774" t="s">
        <v>17</v>
      </c>
      <c r="U23" s="775">
        <f>H23</f>
        <v>100</v>
      </c>
      <c r="V23" s="774" t="s">
        <v>17</v>
      </c>
      <c r="W23" s="775">
        <f>J23</f>
        <v>100</v>
      </c>
      <c r="X23" s="1815"/>
      <c r="Y23" s="3207"/>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2"/>
      <c r="M24" s="1133"/>
      <c r="N24" s="1133"/>
      <c r="O24" s="1133"/>
      <c r="P24" s="3273"/>
      <c r="Q24" s="1812"/>
      <c r="R24" s="774"/>
      <c r="S24" s="775"/>
      <c r="T24" s="774"/>
      <c r="U24" s="775"/>
      <c r="V24" s="774"/>
      <c r="W24" s="775"/>
      <c r="X24" s="1815"/>
      <c r="Y24" s="3207"/>
      <c r="Z24" s="1816"/>
      <c r="AA24" s="1813">
        <v>1</v>
      </c>
      <c r="AB24" s="1813">
        <v>1</v>
      </c>
      <c r="AC24" s="2670">
        <v>1</v>
      </c>
    </row>
    <row r="25" spans="1:29" ht="27">
      <c r="A25" s="404"/>
      <c r="B25" s="631" t="s">
        <v>2679</v>
      </c>
      <c r="C25" s="2611"/>
      <c r="D25" s="435">
        <v>100</v>
      </c>
      <c r="E25" s="434"/>
      <c r="F25" s="435">
        <f>SUMIF(87:87,E26,88:88)-SUMIF(87:87,C26,88:88)+100</f>
        <v>100</v>
      </c>
      <c r="G25" s="2611"/>
      <c r="H25" s="435">
        <f>SUMIF(87:87,G26,88:88)-SUMIF(87:87,C26,88:88)+100</f>
        <v>100</v>
      </c>
      <c r="I25" s="434"/>
      <c r="J25" s="435">
        <f>SUMIF(87:87,I26,88:88)-SUMIF(87:87,C26,88:88)+100</f>
        <v>100</v>
      </c>
      <c r="K25" s="614"/>
      <c r="L25" s="1142"/>
      <c r="M25" s="1133"/>
      <c r="N25" s="1133"/>
      <c r="O25" s="1133"/>
      <c r="P25" s="3273"/>
      <c r="Q25" s="1812" t="str">
        <f>B25</f>
        <v>毗邻道路的类型与等级</v>
      </c>
      <c r="R25" s="774" t="s">
        <v>17</v>
      </c>
      <c r="S25" s="775">
        <f>F25</f>
        <v>100</v>
      </c>
      <c r="T25" s="774" t="s">
        <v>17</v>
      </c>
      <c r="U25" s="775">
        <f>H25</f>
        <v>100</v>
      </c>
      <c r="V25" s="774" t="s">
        <v>17</v>
      </c>
      <c r="W25" s="775">
        <f>J25</f>
        <v>100</v>
      </c>
      <c r="X25" s="1815"/>
      <c r="Y25" s="3207"/>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2"/>
      <c r="M26" s="1133"/>
      <c r="N26" s="1133"/>
      <c r="O26" s="1133"/>
      <c r="P26" s="3273"/>
      <c r="Q26" s="1812"/>
      <c r="R26" s="774"/>
      <c r="S26" s="775"/>
      <c r="T26" s="774"/>
      <c r="U26" s="775"/>
      <c r="V26" s="774"/>
      <c r="W26" s="775"/>
      <c r="X26" s="1815"/>
      <c r="Y26" s="3207"/>
      <c r="Z26" s="1816"/>
      <c r="AA26" s="1813">
        <v>1</v>
      </c>
      <c r="AB26" s="1813">
        <v>1</v>
      </c>
      <c r="AC26" s="2670">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73"/>
      <c r="Q27" s="1812" t="str">
        <f t="shared" ref="Q27:Q47" si="11">B27</f>
        <v>楼层</v>
      </c>
      <c r="R27" s="774" t="s">
        <v>17</v>
      </c>
      <c r="S27" s="775">
        <f>F27</f>
        <v>100</v>
      </c>
      <c r="T27" s="774" t="s">
        <v>17</v>
      </c>
      <c r="U27" s="775">
        <f>H27</f>
        <v>100</v>
      </c>
      <c r="V27" s="774" t="s">
        <v>17</v>
      </c>
      <c r="W27" s="775">
        <f>J27</f>
        <v>100</v>
      </c>
      <c r="X27" s="1815"/>
      <c r="Y27" s="3207"/>
      <c r="Z27" s="1816" t="str">
        <f>Q27</f>
        <v>楼层</v>
      </c>
      <c r="AA27" s="1813">
        <f t="shared" si="3"/>
        <v>1</v>
      </c>
      <c r="AB27" s="1813">
        <f t="shared" si="4"/>
        <v>1</v>
      </c>
      <c r="AC27" s="2670">
        <f t="shared" si="5"/>
        <v>1</v>
      </c>
    </row>
    <row r="28" spans="1:29" s="117" customFormat="1" ht="15">
      <c r="A28" s="431"/>
      <c r="B28" s="631" t="s">
        <v>2680</v>
      </c>
      <c r="C28" s="2673"/>
      <c r="D28" s="462">
        <v>100</v>
      </c>
      <c r="E28" s="2661"/>
      <c r="F28" s="462">
        <f>SUMIF(91:91,E28,92:92)-SUMIF(91:91,C28,92:92)+100</f>
        <v>100</v>
      </c>
      <c r="G28" s="2673"/>
      <c r="H28" s="462">
        <f>SUMIF(91:91,G28,92:92)-SUMIF(91:91,C28,92:92)+100</f>
        <v>100</v>
      </c>
      <c r="I28" s="2661"/>
      <c r="J28" s="462">
        <f>SUMIF(91:91,I28,92:92)-SUMIF(91:91,C28,92:92)+100</f>
        <v>100</v>
      </c>
      <c r="K28" s="612"/>
      <c r="L28" s="1134"/>
      <c r="M28" s="1135"/>
      <c r="N28" s="1135"/>
      <c r="O28" s="1135"/>
      <c r="P28" s="3273"/>
      <c r="Q28" s="1797" t="str">
        <f t="shared" si="11"/>
        <v>朝向</v>
      </c>
      <c r="R28" s="770" t="s">
        <v>17</v>
      </c>
      <c r="S28" s="771">
        <f>F28</f>
        <v>100</v>
      </c>
      <c r="T28" s="770" t="s">
        <v>17</v>
      </c>
      <c r="U28" s="771">
        <f>H28</f>
        <v>100</v>
      </c>
      <c r="V28" s="770" t="s">
        <v>17</v>
      </c>
      <c r="W28" s="771">
        <f>J28</f>
        <v>100</v>
      </c>
      <c r="X28" s="772"/>
      <c r="Y28" s="3207"/>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2"/>
      <c r="M29" s="1133"/>
      <c r="N29" s="1133"/>
      <c r="O29" s="1133"/>
      <c r="P29" s="3273"/>
      <c r="Q29" s="1812">
        <f t="shared" si="11"/>
        <v>111</v>
      </c>
      <c r="R29" s="774" t="s">
        <v>17</v>
      </c>
      <c r="S29" s="775">
        <f t="shared" ref="S29:S47" si="12">F29</f>
        <v>100</v>
      </c>
      <c r="T29" s="774" t="s">
        <v>17</v>
      </c>
      <c r="U29" s="775">
        <f t="shared" ref="U29:U47" si="13">H29</f>
        <v>100</v>
      </c>
      <c r="V29" s="774" t="s">
        <v>17</v>
      </c>
      <c r="W29" s="775">
        <f t="shared" ref="W29:W47" si="14">J29</f>
        <v>100</v>
      </c>
      <c r="X29" s="1815"/>
      <c r="Y29" s="3207"/>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2"/>
      <c r="M30" s="1133"/>
      <c r="N30" s="1133"/>
      <c r="O30" s="1133"/>
      <c r="P30" s="3273"/>
      <c r="Q30" s="1812">
        <f t="shared" si="11"/>
        <v>111</v>
      </c>
      <c r="R30" s="774" t="s">
        <v>17</v>
      </c>
      <c r="S30" s="775">
        <f t="shared" si="12"/>
        <v>100</v>
      </c>
      <c r="T30" s="774" t="s">
        <v>17</v>
      </c>
      <c r="U30" s="775">
        <f t="shared" si="13"/>
        <v>100</v>
      </c>
      <c r="V30" s="774" t="s">
        <v>17</v>
      </c>
      <c r="W30" s="775">
        <f t="shared" si="14"/>
        <v>100</v>
      </c>
      <c r="X30" s="1815"/>
      <c r="Y30" s="3207"/>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2"/>
      <c r="M31" s="1133"/>
      <c r="N31" s="1133"/>
      <c r="O31" s="1133"/>
      <c r="P31" s="3273"/>
      <c r="Q31" s="1812">
        <f t="shared" si="11"/>
        <v>111</v>
      </c>
      <c r="R31" s="774" t="s">
        <v>17</v>
      </c>
      <c r="S31" s="775">
        <f t="shared" si="12"/>
        <v>100</v>
      </c>
      <c r="T31" s="774" t="s">
        <v>17</v>
      </c>
      <c r="U31" s="775">
        <f t="shared" si="13"/>
        <v>100</v>
      </c>
      <c r="V31" s="774" t="s">
        <v>17</v>
      </c>
      <c r="W31" s="775">
        <f t="shared" si="14"/>
        <v>100</v>
      </c>
      <c r="X31" s="1815"/>
      <c r="Y31" s="3207"/>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2"/>
      <c r="M32" s="1133"/>
      <c r="N32" s="1133"/>
      <c r="O32" s="1133"/>
      <c r="P32" s="3273"/>
      <c r="Q32" s="1812">
        <f t="shared" si="11"/>
        <v>111</v>
      </c>
      <c r="R32" s="774" t="s">
        <v>17</v>
      </c>
      <c r="S32" s="775">
        <f t="shared" si="12"/>
        <v>100</v>
      </c>
      <c r="T32" s="774" t="s">
        <v>17</v>
      </c>
      <c r="U32" s="775">
        <f t="shared" si="13"/>
        <v>100</v>
      </c>
      <c r="V32" s="774" t="s">
        <v>17</v>
      </c>
      <c r="W32" s="775">
        <f t="shared" si="14"/>
        <v>100</v>
      </c>
      <c r="X32" s="1815"/>
      <c r="Y32" s="3207"/>
      <c r="Z32" s="1816">
        <f t="shared" si="15"/>
        <v>111</v>
      </c>
      <c r="AA32" s="1813">
        <f t="shared" si="3"/>
        <v>1</v>
      </c>
      <c r="AB32" s="1813">
        <f t="shared" si="4"/>
        <v>1</v>
      </c>
      <c r="AC32" s="2670">
        <f t="shared" si="5"/>
        <v>1</v>
      </c>
    </row>
    <row r="33" spans="1:29" ht="15">
      <c r="A33" s="440" t="s">
        <v>2551</v>
      </c>
      <c r="B33" s="71" t="s">
        <v>2681</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2"/>
      <c r="M33" s="1133"/>
      <c r="N33" s="1133"/>
      <c r="O33" s="1133"/>
      <c r="P33" s="3269" t="s">
        <v>2553</v>
      </c>
      <c r="Q33" s="1812" t="str">
        <f t="shared" si="11"/>
        <v>建筑类型</v>
      </c>
      <c r="R33" s="774" t="s">
        <v>17</v>
      </c>
      <c r="S33" s="775">
        <f t="shared" si="12"/>
        <v>100</v>
      </c>
      <c r="T33" s="774" t="s">
        <v>17</v>
      </c>
      <c r="U33" s="775">
        <f t="shared" si="13"/>
        <v>100</v>
      </c>
      <c r="V33" s="774" t="s">
        <v>17</v>
      </c>
      <c r="W33" s="775">
        <f t="shared" si="14"/>
        <v>100</v>
      </c>
      <c r="X33" s="1815"/>
      <c r="Y33" s="3209" t="s">
        <v>2553</v>
      </c>
      <c r="Z33" s="1816" t="str">
        <f t="shared" si="15"/>
        <v>建筑类型</v>
      </c>
      <c r="AA33" s="1813">
        <f t="shared" si="3"/>
        <v>1</v>
      </c>
      <c r="AB33" s="1813">
        <f t="shared" si="4"/>
        <v>1</v>
      </c>
      <c r="AC33" s="2670">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70"/>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3" t="e">
        <f t="shared" si="3"/>
        <v>#N/A</v>
      </c>
      <c r="AB34" s="1813" t="e">
        <f t="shared" si="4"/>
        <v>#N/A</v>
      </c>
      <c r="AC34" s="2670"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70"/>
      <c r="Q35" s="1812" t="str">
        <f t="shared" si="11"/>
        <v>建筑结构</v>
      </c>
      <c r="R35" s="774" t="s">
        <v>17</v>
      </c>
      <c r="S35" s="775">
        <f t="shared" si="12"/>
        <v>100</v>
      </c>
      <c r="T35" s="774" t="s">
        <v>17</v>
      </c>
      <c r="U35" s="775">
        <f t="shared" si="13"/>
        <v>100</v>
      </c>
      <c r="V35" s="774" t="s">
        <v>17</v>
      </c>
      <c r="W35" s="775">
        <f t="shared" si="14"/>
        <v>100</v>
      </c>
      <c r="X35" s="1815"/>
      <c r="Y35" s="3209"/>
      <c r="Z35" s="1816" t="str">
        <f t="shared" si="15"/>
        <v>建筑结构</v>
      </c>
      <c r="AA35" s="1813">
        <f t="shared" si="3"/>
        <v>1</v>
      </c>
      <c r="AB35" s="1813">
        <f t="shared" si="4"/>
        <v>1</v>
      </c>
      <c r="AC35" s="2670">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70"/>
      <c r="Q36" s="1812" t="str">
        <f t="shared" si="11"/>
        <v>公共部分装修</v>
      </c>
      <c r="R36" s="774" t="s">
        <v>17</v>
      </c>
      <c r="S36" s="775">
        <f t="shared" si="12"/>
        <v>100</v>
      </c>
      <c r="T36" s="774" t="s">
        <v>17</v>
      </c>
      <c r="U36" s="775">
        <f t="shared" si="13"/>
        <v>100</v>
      </c>
      <c r="V36" s="774" t="s">
        <v>17</v>
      </c>
      <c r="W36" s="775">
        <f t="shared" si="14"/>
        <v>100</v>
      </c>
      <c r="X36" s="1815"/>
      <c r="Y36" s="3209"/>
      <c r="Z36" s="1816" t="str">
        <f t="shared" si="15"/>
        <v>公共部分装修</v>
      </c>
      <c r="AA36" s="1813">
        <f t="shared" si="3"/>
        <v>1</v>
      </c>
      <c r="AB36" s="1813">
        <f t="shared" si="4"/>
        <v>1</v>
      </c>
      <c r="AC36" s="2670">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70"/>
      <c r="Q37" s="1812" t="str">
        <f t="shared" si="11"/>
        <v>成新度</v>
      </c>
      <c r="R37" s="774" t="s">
        <v>17</v>
      </c>
      <c r="S37" s="775" t="e">
        <f t="shared" si="12"/>
        <v>#N/A</v>
      </c>
      <c r="T37" s="774" t="s">
        <v>17</v>
      </c>
      <c r="U37" s="775" t="e">
        <f t="shared" si="13"/>
        <v>#N/A</v>
      </c>
      <c r="V37" s="774" t="s">
        <v>17</v>
      </c>
      <c r="W37" s="775" t="e">
        <f t="shared" si="14"/>
        <v>#N/A</v>
      </c>
      <c r="X37" s="1815"/>
      <c r="Y37" s="3209"/>
      <c r="Z37" s="1816" t="str">
        <f t="shared" si="15"/>
        <v>成新度</v>
      </c>
      <c r="AA37" s="1813" t="e">
        <f t="shared" si="3"/>
        <v>#N/A</v>
      </c>
      <c r="AB37" s="1813" t="e">
        <f t="shared" si="4"/>
        <v>#N/A</v>
      </c>
      <c r="AC37" s="2670"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70"/>
      <c r="Q38" s="1797"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67">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70" t="s">
        <v>2553</v>
      </c>
      <c r="Q39" s="1812" t="str">
        <f t="shared" si="11"/>
        <v>物业管理</v>
      </c>
      <c r="R39" s="774" t="s">
        <v>17</v>
      </c>
      <c r="S39" s="775">
        <f t="shared" si="12"/>
        <v>100</v>
      </c>
      <c r="T39" s="774" t="s">
        <v>17</v>
      </c>
      <c r="U39" s="775">
        <f t="shared" si="13"/>
        <v>100</v>
      </c>
      <c r="V39" s="774" t="s">
        <v>17</v>
      </c>
      <c r="W39" s="775">
        <f t="shared" si="14"/>
        <v>100</v>
      </c>
      <c r="X39" s="1815"/>
      <c r="Y39" s="3209" t="s">
        <v>2553</v>
      </c>
      <c r="Z39" s="1816" t="str">
        <f t="shared" si="15"/>
        <v>物业管理</v>
      </c>
      <c r="AA39" s="1813">
        <f t="shared" si="3"/>
        <v>1</v>
      </c>
      <c r="AB39" s="1813">
        <f t="shared" si="4"/>
        <v>1</v>
      </c>
      <c r="AC39" s="2670">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70"/>
      <c r="Q40" s="1812" t="str">
        <f t="shared" si="11"/>
        <v>市政基础设施</v>
      </c>
      <c r="R40" s="774" t="s">
        <v>17</v>
      </c>
      <c r="S40" s="775">
        <f t="shared" si="12"/>
        <v>100</v>
      </c>
      <c r="T40" s="774" t="s">
        <v>17</v>
      </c>
      <c r="U40" s="775">
        <f t="shared" si="13"/>
        <v>100</v>
      </c>
      <c r="V40" s="774" t="s">
        <v>17</v>
      </c>
      <c r="W40" s="775">
        <f t="shared" si="14"/>
        <v>100</v>
      </c>
      <c r="X40" s="1815"/>
      <c r="Y40" s="3209"/>
      <c r="Z40" s="1816" t="str">
        <f t="shared" si="15"/>
        <v>市政基础设施</v>
      </c>
      <c r="AA40" s="1813">
        <f t="shared" si="3"/>
        <v>1</v>
      </c>
      <c r="AB40" s="1813">
        <f t="shared" si="4"/>
        <v>1</v>
      </c>
      <c r="AC40" s="2670">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70"/>
      <c r="Q41" s="1812" t="str">
        <f t="shared" si="11"/>
        <v>层高</v>
      </c>
      <c r="R41" s="774" t="s">
        <v>17</v>
      </c>
      <c r="S41" s="775">
        <f t="shared" si="12"/>
        <v>100</v>
      </c>
      <c r="T41" s="774" t="s">
        <v>17</v>
      </c>
      <c r="U41" s="775">
        <f t="shared" si="13"/>
        <v>100</v>
      </c>
      <c r="V41" s="774" t="s">
        <v>17</v>
      </c>
      <c r="W41" s="775">
        <f t="shared" si="14"/>
        <v>100</v>
      </c>
      <c r="X41" s="1815"/>
      <c r="Y41" s="3209"/>
      <c r="Z41" s="1816" t="str">
        <f t="shared" si="15"/>
        <v>层高</v>
      </c>
      <c r="AA41" s="1813">
        <f t="shared" si="3"/>
        <v>1</v>
      </c>
      <c r="AB41" s="1813">
        <f t="shared" si="4"/>
        <v>1</v>
      </c>
      <c r="AC41" s="2670">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70"/>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3">
        <f t="shared" si="3"/>
        <v>1</v>
      </c>
      <c r="AB42" s="1813">
        <f t="shared" si="4"/>
        <v>1</v>
      </c>
      <c r="AC42" s="2670">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70"/>
      <c r="Q43" s="1812" t="str">
        <f t="shared" si="11"/>
        <v>内部装修</v>
      </c>
      <c r="R43" s="774" t="s">
        <v>17</v>
      </c>
      <c r="S43" s="775">
        <f t="shared" si="12"/>
        <v>100</v>
      </c>
      <c r="T43" s="774" t="s">
        <v>17</v>
      </c>
      <c r="U43" s="775">
        <f t="shared" si="13"/>
        <v>100</v>
      </c>
      <c r="V43" s="774" t="s">
        <v>17</v>
      </c>
      <c r="W43" s="775">
        <f t="shared" si="14"/>
        <v>100</v>
      </c>
      <c r="X43" s="1815"/>
      <c r="Y43" s="3209"/>
      <c r="Z43" s="1816" t="str">
        <f t="shared" si="15"/>
        <v>内部装修</v>
      </c>
      <c r="AA43" s="1813">
        <f t="shared" si="3"/>
        <v>1</v>
      </c>
      <c r="AB43" s="1813">
        <f t="shared" si="4"/>
        <v>1</v>
      </c>
      <c r="AC43" s="2670">
        <f t="shared" si="5"/>
        <v>1</v>
      </c>
    </row>
    <row r="44" spans="1:29" ht="15">
      <c r="A44" s="472"/>
      <c r="B44" s="422" t="s">
        <v>2564</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2"/>
      <c r="M44" s="1133"/>
      <c r="N44" s="1133"/>
      <c r="O44" s="1133"/>
      <c r="P44" s="3270"/>
      <c r="Q44" s="1812" t="str">
        <f t="shared" si="11"/>
        <v>内部装修维护情况</v>
      </c>
      <c r="R44" s="774" t="s">
        <v>17</v>
      </c>
      <c r="S44" s="775">
        <f t="shared" si="12"/>
        <v>100</v>
      </c>
      <c r="T44" s="774" t="s">
        <v>17</v>
      </c>
      <c r="U44" s="775">
        <f t="shared" si="13"/>
        <v>100</v>
      </c>
      <c r="V44" s="774" t="s">
        <v>17</v>
      </c>
      <c r="W44" s="775">
        <f t="shared" si="14"/>
        <v>100</v>
      </c>
      <c r="X44" s="1815"/>
      <c r="Y44" s="3209"/>
      <c r="Z44" s="1816" t="str">
        <f t="shared" si="15"/>
        <v>内部装修维护情况</v>
      </c>
      <c r="AA44" s="1813">
        <f t="shared" si="3"/>
        <v>1</v>
      </c>
      <c r="AB44" s="1813">
        <f t="shared" si="4"/>
        <v>1</v>
      </c>
      <c r="AC44" s="267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70"/>
      <c r="Q45" s="1797">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6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70"/>
      <c r="Q46" s="1812">
        <f t="shared" si="11"/>
        <v>111</v>
      </c>
      <c r="R46" s="774" t="s">
        <v>17</v>
      </c>
      <c r="S46" s="775">
        <f t="shared" si="12"/>
        <v>100</v>
      </c>
      <c r="T46" s="774" t="s">
        <v>17</v>
      </c>
      <c r="U46" s="775">
        <f t="shared" si="13"/>
        <v>100</v>
      </c>
      <c r="V46" s="774" t="s">
        <v>17</v>
      </c>
      <c r="W46" s="775">
        <f t="shared" si="14"/>
        <v>100</v>
      </c>
      <c r="X46" s="1815"/>
      <c r="Y46" s="3209"/>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71"/>
      <c r="Q47" s="1812">
        <f t="shared" si="11"/>
        <v>111</v>
      </c>
      <c r="R47" s="774" t="s">
        <v>17</v>
      </c>
      <c r="S47" s="775">
        <f t="shared" si="12"/>
        <v>100</v>
      </c>
      <c r="T47" s="774" t="s">
        <v>17</v>
      </c>
      <c r="U47" s="775">
        <f t="shared" si="13"/>
        <v>100</v>
      </c>
      <c r="V47" s="774" t="s">
        <v>17</v>
      </c>
      <c r="W47" s="775">
        <f t="shared" si="14"/>
        <v>100</v>
      </c>
      <c r="X47" s="1815"/>
      <c r="Y47" s="3210"/>
      <c r="Z47" s="1816">
        <f t="shared" si="15"/>
        <v>111</v>
      </c>
      <c r="AA47" s="1813">
        <f t="shared" si="3"/>
        <v>1</v>
      </c>
      <c r="AB47" s="1813">
        <f t="shared" si="4"/>
        <v>1</v>
      </c>
      <c r="AC47" s="2670">
        <f t="shared" si="5"/>
        <v>1</v>
      </c>
    </row>
    <row r="48" spans="1:29" ht="15">
      <c r="A48" s="479" t="s">
        <v>2565</v>
      </c>
      <c r="B48" s="480"/>
      <c r="C48" s="1409" t="s">
        <v>1</v>
      </c>
      <c r="D48" s="1410"/>
      <c r="E48" s="1411"/>
      <c r="F48" s="1412"/>
      <c r="G48" s="1413"/>
      <c r="H48" s="1414"/>
      <c r="I48" s="1411"/>
      <c r="J48" s="485"/>
      <c r="K48" s="783"/>
      <c r="L48" s="1145"/>
      <c r="M48" s="1133"/>
      <c r="N48" s="1133"/>
      <c r="O48" s="1133"/>
      <c r="P48" s="3274"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2657</v>
      </c>
      <c r="B49" s="487"/>
      <c r="C49" s="1415" t="e">
        <f>R50</f>
        <v>#DIV/0!</v>
      </c>
      <c r="D49" s="1416"/>
      <c r="E49" s="1417" t="e">
        <f>R49</f>
        <v>#DIV/0!</v>
      </c>
      <c r="F49" s="1417"/>
      <c r="G49" s="1415" t="e">
        <f>T49</f>
        <v>#DIV/0!</v>
      </c>
      <c r="H49" s="1416"/>
      <c r="I49" s="1417" t="e">
        <f>V49</f>
        <v>#DIV/0!</v>
      </c>
      <c r="J49" s="489"/>
      <c r="K49" s="784"/>
      <c r="L49" s="1145"/>
      <c r="M49" s="1133"/>
      <c r="N49" s="1133"/>
      <c r="O49" s="1133"/>
      <c r="P49" s="3274"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2658</v>
      </c>
      <c r="B50" s="493"/>
      <c r="C50" s="1419" t="e">
        <f>R50</f>
        <v>#DIV/0!</v>
      </c>
      <c r="D50" s="1419"/>
      <c r="E50" s="1419"/>
      <c r="F50" s="1419"/>
      <c r="G50" s="1419"/>
      <c r="H50" s="1419"/>
      <c r="I50" s="1419"/>
      <c r="J50" s="494"/>
      <c r="K50" s="785"/>
      <c r="L50" s="1145"/>
      <c r="M50" s="1133"/>
      <c r="N50" s="1133"/>
      <c r="O50" s="1133"/>
      <c r="P50" s="3277" t="str">
        <f>A50</f>
        <v>估价对象XX用房的比较价值（楼面单价，元/平方米）</v>
      </c>
      <c r="Q50" s="3278"/>
      <c r="R50" s="3279" t="e">
        <f>IF(F1="售价",ROUND(AVERAGE(R49:V49),0),ROUND(AVERAGE(R49:V49),1))</f>
        <v>#DIV/0!</v>
      </c>
      <c r="S50" s="3279"/>
      <c r="T50" s="3279"/>
      <c r="U50" s="3279"/>
      <c r="V50" s="3279"/>
      <c r="W50" s="3279"/>
      <c r="X50" s="2650"/>
      <c r="Y50" s="2650"/>
      <c r="Z50" s="2650"/>
      <c r="AA50" s="2650"/>
      <c r="AB50" s="2650"/>
      <c r="AC50" s="265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6"/>
    </row>
    <row r="56" spans="1:29" s="502" customFormat="1">
      <c r="A56" s="1147"/>
      <c r="B56" s="1148"/>
      <c r="C56" s="1152"/>
      <c r="D56" s="1147"/>
      <c r="E56" s="1147"/>
      <c r="F56" s="1147"/>
      <c r="G56" s="1147"/>
      <c r="H56" s="1147"/>
      <c r="I56" s="1147"/>
      <c r="J56" s="1147"/>
      <c r="K56" s="1150"/>
      <c r="L56" s="1151"/>
      <c r="M56" s="1147"/>
      <c r="N56" s="1147"/>
      <c r="O56" s="1147"/>
      <c r="P56" s="2676"/>
    </row>
    <row r="57" spans="1:29">
      <c r="A57" s="1146"/>
      <c r="B57" s="1148"/>
      <c r="C57" s="1152"/>
      <c r="D57" s="1146"/>
      <c r="E57" s="1146"/>
      <c r="F57" s="1146"/>
      <c r="G57" s="1146"/>
      <c r="H57" s="1146"/>
      <c r="I57" s="1146"/>
      <c r="J57" s="1146"/>
      <c r="K57" s="1107"/>
      <c r="L57" s="1108"/>
      <c r="M57" s="1146"/>
      <c r="N57" s="1146"/>
      <c r="O57" s="1146"/>
    </row>
    <row r="58" spans="1:29" ht="21.75" thickBot="1">
      <c r="A58" s="763" t="s">
        <v>2662</v>
      </c>
      <c r="B58" s="759"/>
      <c r="C58" s="764"/>
      <c r="D58" s="764"/>
      <c r="E58" s="764"/>
      <c r="F58" s="765"/>
      <c r="G58" s="765"/>
      <c r="H58" s="764"/>
      <c r="I58" s="764"/>
      <c r="J58" s="764"/>
      <c r="K58" s="766"/>
      <c r="L58" s="1163"/>
      <c r="M58" s="1161"/>
      <c r="N58" s="1161"/>
      <c r="O58" s="1161"/>
      <c r="P58" s="2677"/>
      <c r="Q58" s="504"/>
    </row>
    <row r="59" spans="1:29" s="508" customFormat="1" ht="15">
      <c r="A59" s="505" t="s">
        <v>2536</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2573</v>
      </c>
      <c r="B61" s="516"/>
      <c r="C61" s="517"/>
      <c r="D61" s="518"/>
      <c r="E61" s="518"/>
      <c r="F61" s="518"/>
      <c r="G61" s="518"/>
      <c r="H61" s="518"/>
      <c r="I61" s="518"/>
      <c r="J61" s="518"/>
      <c r="K61" s="518"/>
      <c r="L61" s="518"/>
      <c r="M61" s="519"/>
      <c r="N61" s="518"/>
      <c r="O61" s="519"/>
      <c r="P61" s="2678"/>
      <c r="Q61" s="504"/>
    </row>
    <row r="62" spans="1:29" s="117" customFormat="1" ht="15">
      <c r="A62" s="521" t="s">
        <v>2538</v>
      </c>
      <c r="B62" s="510"/>
      <c r="C62" s="522" t="s">
        <v>2640</v>
      </c>
      <c r="D62" s="523"/>
      <c r="E62" s="523"/>
      <c r="F62" s="523"/>
      <c r="G62" s="523"/>
      <c r="H62" s="523"/>
      <c r="I62" s="523"/>
      <c r="J62" s="523"/>
      <c r="K62" s="523"/>
      <c r="L62" s="524"/>
      <c r="M62" s="525"/>
      <c r="N62" s="1153"/>
      <c r="O62" s="1153"/>
      <c r="P62" s="2679"/>
      <c r="Q62" s="504"/>
    </row>
    <row r="63" spans="1:29" s="117" customFormat="1" ht="15.75" thickBot="1">
      <c r="A63" s="521"/>
      <c r="B63" s="510"/>
      <c r="C63" s="511">
        <v>100</v>
      </c>
      <c r="D63" s="512"/>
      <c r="E63" s="512"/>
      <c r="F63" s="512"/>
      <c r="G63" s="512"/>
      <c r="H63" s="512"/>
      <c r="I63" s="512"/>
      <c r="J63" s="512"/>
      <c r="K63" s="512"/>
      <c r="L63" s="512"/>
      <c r="M63" s="514"/>
      <c r="N63" s="1153"/>
      <c r="O63" s="1153"/>
      <c r="P63" s="2678"/>
      <c r="Q63" s="504"/>
    </row>
    <row r="64" spans="1:29">
      <c r="A64" s="527" t="s">
        <v>2576</v>
      </c>
      <c r="B64" s="528" t="s">
        <v>2542</v>
      </c>
      <c r="C64" s="529">
        <f>C9</f>
        <v>0</v>
      </c>
      <c r="D64" s="530"/>
      <c r="E64" s="530"/>
      <c r="F64" s="530"/>
      <c r="G64" s="530"/>
      <c r="H64" s="530"/>
      <c r="I64" s="530"/>
      <c r="J64" s="530"/>
      <c r="K64" s="531"/>
      <c r="L64" s="532"/>
      <c r="M64" s="533"/>
      <c r="N64" s="1154"/>
      <c r="O64" s="1154"/>
      <c r="P64" s="2680"/>
      <c r="Q64" s="504"/>
    </row>
    <row r="65" spans="1:17" ht="15.75" thickBot="1">
      <c r="A65" s="534"/>
      <c r="B65" s="535"/>
      <c r="C65" s="536">
        <v>100</v>
      </c>
      <c r="D65" s="536"/>
      <c r="E65" s="536"/>
      <c r="F65" s="536"/>
      <c r="G65" s="536"/>
      <c r="H65" s="536"/>
      <c r="I65" s="536"/>
      <c r="J65" s="536"/>
      <c r="K65" s="536"/>
      <c r="L65" s="536"/>
      <c r="M65" s="537"/>
      <c r="N65" s="1155"/>
      <c r="O65" s="1155"/>
      <c r="P65" s="2680"/>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4"/>
      <c r="O66" s="1154"/>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0"/>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0"/>
      <c r="Q68" s="504"/>
    </row>
    <row r="69" spans="1:17" ht="15">
      <c r="A69" s="534"/>
      <c r="B69" s="548"/>
      <c r="C69" s="549"/>
      <c r="D69" s="549"/>
      <c r="E69" s="549"/>
      <c r="F69" s="549"/>
      <c r="G69" s="549"/>
      <c r="H69" s="549"/>
      <c r="I69" s="549"/>
      <c r="J69" s="549"/>
      <c r="K69" s="550"/>
      <c r="L69" s="551"/>
      <c r="M69" s="552"/>
      <c r="N69" s="1154"/>
      <c r="O69" s="1154"/>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0"/>
      <c r="Q70" s="504"/>
    </row>
    <row r="71" spans="1:17" s="471" customFormat="1" ht="15.75" thickTop="1">
      <c r="A71" s="553"/>
      <c r="B71" s="538">
        <f>B12</f>
        <v>111</v>
      </c>
      <c r="C71" s="554"/>
      <c r="D71" s="554"/>
      <c r="E71" s="554"/>
      <c r="F71" s="554"/>
      <c r="G71" s="554"/>
      <c r="H71" s="555"/>
      <c r="I71" s="555"/>
      <c r="J71" s="555"/>
      <c r="K71" s="555"/>
      <c r="L71" s="556"/>
      <c r="M71" s="557"/>
      <c r="N71" s="1156"/>
      <c r="O71" s="1156"/>
      <c r="P71" s="2681"/>
      <c r="Q71" s="559"/>
    </row>
    <row r="72" spans="1:17" s="471" customFormat="1" ht="15.75" thickBot="1">
      <c r="A72" s="553"/>
      <c r="B72" s="543"/>
      <c r="C72" s="560"/>
      <c r="D72" s="536"/>
      <c r="E72" s="536"/>
      <c r="F72" s="536"/>
      <c r="G72" s="536"/>
      <c r="H72" s="536"/>
      <c r="I72" s="536"/>
      <c r="J72" s="536"/>
      <c r="K72" s="536"/>
      <c r="L72" s="536"/>
      <c r="M72" s="537"/>
      <c r="N72" s="1155"/>
      <c r="O72" s="1155"/>
      <c r="P72" s="2681"/>
      <c r="Q72" s="559"/>
    </row>
    <row r="73" spans="1:17" s="471" customFormat="1" ht="15.75" thickTop="1">
      <c r="A73" s="553"/>
      <c r="B73" s="538">
        <f>B13</f>
        <v>111</v>
      </c>
      <c r="C73" s="554"/>
      <c r="D73" s="554"/>
      <c r="E73" s="554"/>
      <c r="F73" s="554"/>
      <c r="G73" s="554"/>
      <c r="H73" s="555"/>
      <c r="I73" s="555"/>
      <c r="J73" s="555"/>
      <c r="K73" s="555"/>
      <c r="L73" s="556"/>
      <c r="M73" s="557"/>
      <c r="N73" s="1156"/>
      <c r="O73" s="1156"/>
      <c r="P73" s="2682"/>
      <c r="Q73" s="561"/>
    </row>
    <row r="74" spans="1:17" s="471" customFormat="1" ht="15.75" thickBot="1">
      <c r="A74" s="553"/>
      <c r="B74" s="543"/>
      <c r="C74" s="560"/>
      <c r="D74" s="560"/>
      <c r="E74" s="560"/>
      <c r="F74" s="560"/>
      <c r="G74" s="560"/>
      <c r="H74" s="562"/>
      <c r="I74" s="562"/>
      <c r="J74" s="562"/>
      <c r="K74" s="562"/>
      <c r="L74" s="562"/>
      <c r="M74" s="563"/>
      <c r="N74" s="1156"/>
      <c r="O74" s="1156"/>
      <c r="P74" s="2681"/>
      <c r="Q74" s="559"/>
    </row>
    <row r="75" spans="1:17" s="471" customFormat="1" ht="15.75" thickTop="1">
      <c r="A75" s="553"/>
      <c r="B75" s="546">
        <f>B14</f>
        <v>111</v>
      </c>
      <c r="C75" s="523"/>
      <c r="D75" s="523"/>
      <c r="E75" s="523"/>
      <c r="F75" s="523"/>
      <c r="G75" s="523"/>
      <c r="H75" s="564"/>
      <c r="I75" s="564"/>
      <c r="J75" s="564"/>
      <c r="K75" s="564"/>
      <c r="L75" s="565"/>
      <c r="M75" s="566"/>
      <c r="N75" s="1156"/>
      <c r="O75" s="1156"/>
      <c r="P75" s="2683"/>
      <c r="Q75" s="559"/>
    </row>
    <row r="76" spans="1:17" s="471" customFormat="1" ht="15.75" thickBot="1">
      <c r="A76" s="568"/>
      <c r="B76" s="569"/>
      <c r="C76" s="570"/>
      <c r="D76" s="570"/>
      <c r="E76" s="570"/>
      <c r="F76" s="570"/>
      <c r="G76" s="570"/>
      <c r="H76" s="571"/>
      <c r="I76" s="571"/>
      <c r="J76" s="571"/>
      <c r="K76" s="571"/>
      <c r="L76" s="571"/>
      <c r="M76" s="572"/>
      <c r="N76" s="1156"/>
      <c r="O76" s="1156"/>
      <c r="P76" s="2681"/>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4"/>
      <c r="O77" s="1154"/>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0"/>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4"/>
      <c r="O79" s="1154"/>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0"/>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4"/>
      <c r="O81" s="1154"/>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0"/>
      <c r="Q82" s="504"/>
    </row>
    <row r="83" spans="1:17" ht="15.75" thickTop="1">
      <c r="A83" s="534"/>
      <c r="B83" s="546" t="s">
        <v>2677</v>
      </c>
      <c r="C83" s="660" t="s">
        <v>2663</v>
      </c>
      <c r="D83" s="660" t="s">
        <v>2664</v>
      </c>
      <c r="E83" s="660" t="s">
        <v>2665</v>
      </c>
      <c r="F83" s="660" t="s">
        <v>2666</v>
      </c>
      <c r="G83" s="660" t="s">
        <v>2667</v>
      </c>
      <c r="H83" s="539"/>
      <c r="I83" s="539"/>
      <c r="J83" s="539"/>
      <c r="K83" s="539"/>
      <c r="L83" s="539"/>
      <c r="M83" s="1384"/>
      <c r="N83" s="1155"/>
      <c r="O83" s="1155"/>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0"/>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4"/>
      <c r="O85" s="1154"/>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0"/>
      <c r="Q86" s="504"/>
    </row>
    <row r="87" spans="1:17" s="117" customFormat="1" ht="27.75" thickTop="1">
      <c r="A87" s="579"/>
      <c r="B87" s="538" t="s">
        <v>2687</v>
      </c>
      <c r="C87" s="554"/>
      <c r="D87" s="554"/>
      <c r="E87" s="554"/>
      <c r="F87" s="554"/>
      <c r="G87" s="554"/>
      <c r="H87" s="554"/>
      <c r="I87" s="554"/>
      <c r="J87" s="554"/>
      <c r="K87" s="554"/>
      <c r="L87" s="580"/>
      <c r="M87" s="581"/>
      <c r="N87" s="1153"/>
      <c r="O87" s="1153"/>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0"/>
      <c r="Q88" s="504"/>
    </row>
    <row r="89" spans="1:17" s="117" customFormat="1" ht="15.75" thickTop="1">
      <c r="A89" s="579"/>
      <c r="B89" s="538" t="str">
        <f>B27</f>
        <v>楼层</v>
      </c>
      <c r="C89" s="554"/>
      <c r="D89" s="554"/>
      <c r="E89" s="554"/>
      <c r="F89" s="2631"/>
      <c r="G89" s="554"/>
      <c r="H89" s="554"/>
      <c r="I89" s="554"/>
      <c r="J89" s="554"/>
      <c r="K89" s="554"/>
      <c r="L89" s="554"/>
      <c r="M89" s="581"/>
      <c r="N89" s="1153"/>
      <c r="O89" s="1153"/>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0"/>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1"/>
      <c r="Q92" s="559"/>
    </row>
    <row r="93" spans="1:17" ht="15.75" thickTop="1">
      <c r="A93" s="534"/>
      <c r="B93" s="538">
        <f>B29</f>
        <v>111</v>
      </c>
      <c r="C93" s="554"/>
      <c r="D93" s="554"/>
      <c r="E93" s="554"/>
      <c r="F93" s="554"/>
      <c r="G93" s="554"/>
      <c r="H93" s="554"/>
      <c r="I93" s="554"/>
      <c r="J93" s="554"/>
      <c r="K93" s="554"/>
      <c r="L93" s="580"/>
      <c r="M93" s="581"/>
      <c r="N93" s="1154"/>
      <c r="O93" s="1154"/>
      <c r="P93" s="2680"/>
      <c r="Q93" s="504"/>
    </row>
    <row r="94" spans="1:17" ht="15.75" thickBot="1">
      <c r="A94" s="534"/>
      <c r="B94" s="543"/>
      <c r="C94" s="560"/>
      <c r="D94" s="536"/>
      <c r="E94" s="536"/>
      <c r="F94" s="536"/>
      <c r="G94" s="536"/>
      <c r="H94" s="536"/>
      <c r="I94" s="536"/>
      <c r="J94" s="536"/>
      <c r="K94" s="536"/>
      <c r="L94" s="536"/>
      <c r="M94" s="537"/>
      <c r="N94" s="1155"/>
      <c r="O94" s="1155"/>
      <c r="P94" s="2680"/>
      <c r="Q94" s="504"/>
    </row>
    <row r="95" spans="1:17" ht="15.75" thickTop="1">
      <c r="A95" s="534"/>
      <c r="B95" s="538">
        <f>B30</f>
        <v>111</v>
      </c>
      <c r="C95" s="554"/>
      <c r="D95" s="554"/>
      <c r="E95" s="554"/>
      <c r="F95" s="554"/>
      <c r="G95" s="583"/>
      <c r="H95" s="583"/>
      <c r="I95" s="583"/>
      <c r="J95" s="583"/>
      <c r="K95" s="584"/>
      <c r="L95" s="585"/>
      <c r="M95" s="586"/>
      <c r="N95" s="1154"/>
      <c r="O95" s="1154"/>
      <c r="P95" s="2680"/>
      <c r="Q95" s="504"/>
    </row>
    <row r="96" spans="1:17" ht="15.75" thickBot="1">
      <c r="A96" s="534"/>
      <c r="B96" s="543"/>
      <c r="C96" s="560"/>
      <c r="D96" s="560"/>
      <c r="E96" s="560"/>
      <c r="F96" s="560"/>
      <c r="G96" s="536"/>
      <c r="H96" s="536"/>
      <c r="I96" s="536"/>
      <c r="J96" s="536"/>
      <c r="K96" s="536"/>
      <c r="L96" s="536"/>
      <c r="M96" s="537"/>
      <c r="N96" s="1155"/>
      <c r="O96" s="1155"/>
      <c r="P96" s="2680"/>
      <c r="Q96" s="504"/>
    </row>
    <row r="97" spans="1:17" ht="15.75" thickTop="1">
      <c r="A97" s="534"/>
      <c r="B97" s="538">
        <f>B31</f>
        <v>111</v>
      </c>
      <c r="C97" s="554"/>
      <c r="D97" s="554"/>
      <c r="E97" s="554"/>
      <c r="F97" s="554"/>
      <c r="G97" s="583"/>
      <c r="H97" s="583"/>
      <c r="I97" s="583"/>
      <c r="J97" s="583"/>
      <c r="K97" s="584"/>
      <c r="L97" s="585"/>
      <c r="M97" s="586"/>
      <c r="N97" s="1154"/>
      <c r="O97" s="1154"/>
      <c r="P97" s="2680"/>
      <c r="Q97" s="504"/>
    </row>
    <row r="98" spans="1:17" ht="15.75" thickBot="1">
      <c r="A98" s="534"/>
      <c r="B98" s="543"/>
      <c r="C98" s="560"/>
      <c r="D98" s="536"/>
      <c r="E98" s="536"/>
      <c r="F98" s="536"/>
      <c r="G98" s="536"/>
      <c r="H98" s="536"/>
      <c r="I98" s="536"/>
      <c r="J98" s="536"/>
      <c r="K98" s="536"/>
      <c r="L98" s="536"/>
      <c r="M98" s="537"/>
      <c r="N98" s="1155"/>
      <c r="O98" s="1155"/>
      <c r="P98" s="2680"/>
      <c r="Q98" s="504"/>
    </row>
    <row r="99" spans="1:17" ht="15.75" thickTop="1">
      <c r="A99" s="534"/>
      <c r="B99" s="546">
        <f>B32</f>
        <v>111</v>
      </c>
      <c r="C99" s="523"/>
      <c r="D99" s="523"/>
      <c r="E99" s="523"/>
      <c r="F99" s="523"/>
      <c r="G99" s="587"/>
      <c r="H99" s="587"/>
      <c r="I99" s="587"/>
      <c r="J99" s="587"/>
      <c r="K99" s="588"/>
      <c r="L99" s="589"/>
      <c r="M99" s="590"/>
      <c r="N99" s="1154"/>
      <c r="O99" s="1154"/>
      <c r="P99" s="2680"/>
      <c r="Q99" s="504"/>
    </row>
    <row r="100" spans="1:17" ht="15.75" thickBot="1">
      <c r="A100" s="2632"/>
      <c r="B100" s="569"/>
      <c r="C100" s="570"/>
      <c r="D100" s="570"/>
      <c r="E100" s="570"/>
      <c r="F100" s="570"/>
      <c r="G100" s="591"/>
      <c r="H100" s="591"/>
      <c r="I100" s="591"/>
      <c r="J100" s="591"/>
      <c r="K100" s="591"/>
      <c r="L100" s="591"/>
      <c r="M100" s="592"/>
      <c r="N100" s="1155"/>
      <c r="O100" s="1155"/>
      <c r="P100" s="2680"/>
      <c r="Q100" s="504"/>
    </row>
    <row r="101" spans="1:17">
      <c r="A101" s="527" t="s">
        <v>2551</v>
      </c>
      <c r="B101" s="528" t="s">
        <v>2600</v>
      </c>
      <c r="C101" s="530"/>
      <c r="D101" s="530"/>
      <c r="E101" s="530"/>
      <c r="F101" s="530"/>
      <c r="G101" s="530"/>
      <c r="H101" s="530"/>
      <c r="I101" s="530"/>
      <c r="J101" s="530"/>
      <c r="K101" s="531"/>
      <c r="L101" s="532"/>
      <c r="M101" s="533"/>
      <c r="N101" s="1154"/>
      <c r="O101" s="1154"/>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0"/>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0"/>
      <c r="Q103" s="504"/>
    </row>
    <row r="104" spans="1:17" s="471" customFormat="1">
      <c r="A104" s="593"/>
      <c r="B104" s="594"/>
      <c r="C104" s="595"/>
      <c r="D104" s="595"/>
      <c r="E104" s="595"/>
      <c r="F104" s="595"/>
      <c r="G104" s="595"/>
      <c r="H104" s="595"/>
      <c r="I104" s="595"/>
      <c r="J104" s="596"/>
      <c r="K104" s="596"/>
      <c r="L104" s="597"/>
      <c r="M104" s="598"/>
      <c r="N104" s="1156"/>
      <c r="O104" s="1156"/>
      <c r="P104" s="2681"/>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1"/>
      <c r="Q105" s="559"/>
    </row>
    <row r="106" spans="1:17" ht="15" thickTop="1">
      <c r="A106" s="599"/>
      <c r="B106" s="538" t="s">
        <v>2602</v>
      </c>
      <c r="C106" s="554"/>
      <c r="D106" s="554"/>
      <c r="E106" s="583"/>
      <c r="F106" s="583"/>
      <c r="G106" s="583"/>
      <c r="H106" s="583"/>
      <c r="I106" s="583"/>
      <c r="J106" s="583"/>
      <c r="K106" s="584"/>
      <c r="L106" s="585"/>
      <c r="M106" s="586"/>
      <c r="N106" s="1154"/>
      <c r="O106" s="1154"/>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0"/>
      <c r="Q107" s="504"/>
    </row>
    <row r="108" spans="1:17" ht="15" thickTop="1">
      <c r="A108" s="599"/>
      <c r="B108" s="538" t="s">
        <v>2604</v>
      </c>
      <c r="C108" s="554"/>
      <c r="D108" s="554"/>
      <c r="E108" s="554"/>
      <c r="F108" s="583"/>
      <c r="G108" s="583"/>
      <c r="H108" s="583"/>
      <c r="I108" s="583"/>
      <c r="J108" s="583"/>
      <c r="K108" s="584"/>
      <c r="L108" s="585"/>
      <c r="M108" s="586"/>
      <c r="N108" s="1154"/>
      <c r="O108" s="1154"/>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0"/>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0"/>
      <c r="Q112" s="504"/>
    </row>
    <row r="113" spans="1:17" s="471" customFormat="1" ht="15" thickTop="1">
      <c r="A113" s="593"/>
      <c r="B113" s="538" t="s">
        <v>2688</v>
      </c>
      <c r="C113" s="554"/>
      <c r="D113" s="554"/>
      <c r="E113" s="554"/>
      <c r="F113" s="554"/>
      <c r="G113" s="554"/>
      <c r="H113" s="583"/>
      <c r="I113" s="583"/>
      <c r="J113" s="583"/>
      <c r="K113" s="584"/>
      <c r="L113" s="585"/>
      <c r="M113" s="586"/>
      <c r="N113" s="1156"/>
      <c r="O113" s="1156"/>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1"/>
      <c r="Q114" s="559"/>
    </row>
    <row r="115" spans="1:17" ht="15" thickTop="1">
      <c r="A115" s="599"/>
      <c r="B115" s="538" t="s">
        <v>2605</v>
      </c>
      <c r="C115" s="554"/>
      <c r="D115" s="554"/>
      <c r="E115" s="583"/>
      <c r="F115" s="583"/>
      <c r="G115" s="583"/>
      <c r="H115" s="583"/>
      <c r="I115" s="583"/>
      <c r="J115" s="583"/>
      <c r="K115" s="584"/>
      <c r="L115" s="585"/>
      <c r="M115" s="586"/>
      <c r="N115" s="1154"/>
      <c r="O115" s="1154"/>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0"/>
      <c r="Q116" s="504"/>
    </row>
    <row r="117" spans="1:17" ht="15" thickTop="1">
      <c r="A117" s="599"/>
      <c r="B117" s="538" t="s">
        <v>2606</v>
      </c>
      <c r="C117" s="554"/>
      <c r="D117" s="554"/>
      <c r="E117" s="554"/>
      <c r="F117" s="554"/>
      <c r="G117" s="554"/>
      <c r="H117" s="583"/>
      <c r="I117" s="583"/>
      <c r="J117" s="583"/>
      <c r="K117" s="584"/>
      <c r="L117" s="585"/>
      <c r="M117" s="586"/>
      <c r="N117" s="1154"/>
      <c r="O117" s="1154"/>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0"/>
      <c r="Q118" s="504"/>
    </row>
    <row r="119" spans="1:17" ht="15" thickTop="1">
      <c r="A119" s="599"/>
      <c r="B119" s="636" t="s">
        <v>2689</v>
      </c>
      <c r="C119" s="583"/>
      <c r="D119" s="583"/>
      <c r="E119" s="583"/>
      <c r="F119" s="583"/>
      <c r="G119" s="583"/>
      <c r="H119" s="583"/>
      <c r="I119" s="583"/>
      <c r="J119" s="583"/>
      <c r="K119" s="583"/>
      <c r="L119" s="2685"/>
      <c r="M119" s="2686"/>
      <c r="N119" s="1155"/>
      <c r="O119" s="1155"/>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0"/>
      <c r="Q120" s="504"/>
    </row>
    <row r="121" spans="1:17" s="471" customFormat="1" ht="15" thickTop="1">
      <c r="A121" s="593"/>
      <c r="B121" s="538" t="s">
        <v>2672</v>
      </c>
      <c r="C121" s="554"/>
      <c r="D121" s="554"/>
      <c r="E121" s="554"/>
      <c r="F121" s="583"/>
      <c r="G121" s="555"/>
      <c r="H121" s="555"/>
      <c r="I121" s="555"/>
      <c r="J121" s="555"/>
      <c r="K121" s="555"/>
      <c r="L121" s="556"/>
      <c r="M121" s="557"/>
      <c r="N121" s="1156"/>
      <c r="O121" s="1156"/>
      <c r="P121" s="2681"/>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1"/>
      <c r="Q122" s="559"/>
    </row>
    <row r="123" spans="1:17" ht="15" thickTop="1">
      <c r="A123" s="599"/>
      <c r="B123" s="538" t="s">
        <v>2608</v>
      </c>
      <c r="C123" s="554"/>
      <c r="D123" s="554"/>
      <c r="E123" s="554"/>
      <c r="F123" s="583"/>
      <c r="G123" s="583"/>
      <c r="H123" s="583"/>
      <c r="I123" s="583"/>
      <c r="J123" s="583"/>
      <c r="K123" s="584"/>
      <c r="L123" s="585"/>
      <c r="M123" s="586"/>
      <c r="N123" s="1154"/>
      <c r="O123" s="1154"/>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0"/>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4"/>
      <c r="O125" s="1154"/>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0"/>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1"/>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1"/>
      <c r="Q128" s="559"/>
    </row>
    <row r="129" spans="1:17" ht="15" thickTop="1">
      <c r="A129" s="599"/>
      <c r="B129" s="538">
        <f>B46</f>
        <v>111</v>
      </c>
      <c r="C129" s="554"/>
      <c r="D129" s="554"/>
      <c r="E129" s="554"/>
      <c r="F129" s="554"/>
      <c r="G129" s="583"/>
      <c r="H129" s="583"/>
      <c r="I129" s="583"/>
      <c r="J129" s="583"/>
      <c r="K129" s="584"/>
      <c r="L129" s="585"/>
      <c r="M129" s="586"/>
      <c r="N129" s="1154"/>
      <c r="O129" s="1154"/>
      <c r="P129" s="2680"/>
      <c r="Q129" s="504"/>
    </row>
    <row r="130" spans="1:17" ht="15.75" thickBot="1">
      <c r="A130" s="534"/>
      <c r="B130" s="543"/>
      <c r="C130" s="560"/>
      <c r="D130" s="560"/>
      <c r="E130" s="560"/>
      <c r="F130" s="560"/>
      <c r="G130" s="536"/>
      <c r="H130" s="536"/>
      <c r="I130" s="536"/>
      <c r="J130" s="536"/>
      <c r="K130" s="536"/>
      <c r="L130" s="536"/>
      <c r="M130" s="537"/>
      <c r="N130" s="1155"/>
      <c r="O130" s="1155"/>
      <c r="P130" s="2680"/>
      <c r="Q130" s="504"/>
    </row>
    <row r="131" spans="1:17" ht="15" thickTop="1">
      <c r="A131" s="599"/>
      <c r="B131" s="546">
        <f>B47</f>
        <v>111</v>
      </c>
      <c r="C131" s="523"/>
      <c r="D131" s="523"/>
      <c r="E131" s="523"/>
      <c r="F131" s="523"/>
      <c r="G131" s="587"/>
      <c r="H131" s="587"/>
      <c r="I131" s="587"/>
      <c r="J131" s="587"/>
      <c r="K131" s="523"/>
      <c r="L131" s="524"/>
      <c r="M131" s="590"/>
      <c r="N131" s="1154"/>
      <c r="O131" s="1154"/>
      <c r="P131" s="2680"/>
      <c r="Q131" s="504"/>
    </row>
    <row r="132" spans="1:17" ht="15.75" thickBot="1">
      <c r="A132" s="2632"/>
      <c r="B132" s="569"/>
      <c r="C132" s="570"/>
      <c r="D132" s="570"/>
      <c r="E132" s="570"/>
      <c r="F132" s="570"/>
      <c r="G132" s="591"/>
      <c r="H132" s="591"/>
      <c r="I132" s="591"/>
      <c r="J132" s="591"/>
      <c r="K132" s="591"/>
      <c r="L132" s="591"/>
      <c r="M132" s="592"/>
      <c r="N132" s="1155"/>
      <c r="O132" s="1155"/>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24"/>
      <c r="F1" s="2580"/>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2315</v>
      </c>
      <c r="B2" s="1420" t="e">
        <f ca="1">IF(C2="——",IF(B37="元/平方米",ROUND(C39*D3/10000,0),ROUND(F3*C39/10000,0)),IF(B37="元/平方米",ROUND(C39*D3/10000,0),ROUND(F3*C39/10000,0))-D2)</f>
        <v>#DIV/0!</v>
      </c>
      <c r="C2" s="2582"/>
      <c r="D2" s="1126" t="e">
        <f ca="1">SUMIF(INDIRECT("'"&amp;F2&amp;"'"&amp;"!A:A"),"承租人权益价值",INDIRECT("'"&amp;F2&amp;"'"&amp;"!c:c"))</f>
        <v>#REF!</v>
      </c>
      <c r="E2" s="2583" t="s">
        <v>2316</v>
      </c>
      <c r="F2" s="2584"/>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2633</v>
      </c>
      <c r="B4" s="402"/>
      <c r="C4" s="3214" t="s">
        <v>2634</v>
      </c>
      <c r="D4" s="3215"/>
      <c r="E4" s="3216" t="s">
        <v>2635</v>
      </c>
      <c r="F4" s="3217"/>
      <c r="G4" s="3214" t="s">
        <v>2636</v>
      </c>
      <c r="H4" s="3215"/>
      <c r="I4" s="3214" t="s">
        <v>2637</v>
      </c>
      <c r="J4" s="3215"/>
      <c r="K4" s="610" t="s">
        <v>2638</v>
      </c>
      <c r="L4" s="1132"/>
      <c r="M4" s="1133"/>
      <c r="N4" s="1133"/>
      <c r="O4" s="1133"/>
      <c r="P4" s="3218" t="s">
        <v>2639</v>
      </c>
      <c r="Q4" s="3219"/>
      <c r="R4" s="3224" t="s">
        <v>2635</v>
      </c>
      <c r="S4" s="3225"/>
      <c r="T4" s="3224" t="s">
        <v>2636</v>
      </c>
      <c r="U4" s="3225"/>
      <c r="V4" s="3230" t="s">
        <v>2637</v>
      </c>
      <c r="W4" s="3230"/>
      <c r="X4" s="1815"/>
      <c r="Y4" s="3224" t="s">
        <v>2639</v>
      </c>
      <c r="Z4" s="3225"/>
      <c r="AA4" s="3211" t="s">
        <v>2635</v>
      </c>
      <c r="AB4" s="3212" t="s">
        <v>2636</v>
      </c>
      <c r="AC4" s="3211" t="s">
        <v>2637</v>
      </c>
    </row>
    <row r="5" spans="1:29" ht="15">
      <c r="A5" s="404"/>
      <c r="B5" s="405"/>
      <c r="C5" s="3275" t="s">
        <v>2530</v>
      </c>
      <c r="D5" s="3239"/>
      <c r="E5" s="3276" t="s">
        <v>2531</v>
      </c>
      <c r="F5" s="3234"/>
      <c r="G5" s="3275" t="s">
        <v>2532</v>
      </c>
      <c r="H5" s="3239"/>
      <c r="I5" s="3275" t="s">
        <v>2533</v>
      </c>
      <c r="J5" s="3239"/>
      <c r="K5" s="610"/>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31" t="s">
        <v>2534</v>
      </c>
      <c r="D6" s="3232"/>
      <c r="E6" s="3240" t="s">
        <v>2534</v>
      </c>
      <c r="F6" s="3241"/>
      <c r="G6" s="3231" t="s">
        <v>2534</v>
      </c>
      <c r="H6" s="3232"/>
      <c r="I6" s="3231" t="s">
        <v>2534</v>
      </c>
      <c r="J6" s="3232"/>
      <c r="K6" s="610" t="s">
        <v>2535</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2536</v>
      </c>
      <c r="B7" s="409"/>
      <c r="C7" s="410">
        <f>'数据-取费表'!B2</f>
        <v>43165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5" t="s">
        <v>2537</v>
      </c>
      <c r="Q7" s="3237"/>
      <c r="R7" s="770" t="s">
        <v>17</v>
      </c>
      <c r="S7" s="771">
        <f t="shared" ref="S7:S14" si="0">F7</f>
        <v>0</v>
      </c>
      <c r="T7" s="770" t="s">
        <v>17</v>
      </c>
      <c r="U7" s="771">
        <f t="shared" ref="U7:U14" si="1">H7</f>
        <v>0</v>
      </c>
      <c r="V7" s="770" t="s">
        <v>17</v>
      </c>
      <c r="W7" s="771">
        <f t="shared" ref="W7:W14" si="2">J7</f>
        <v>0</v>
      </c>
      <c r="X7" s="772"/>
      <c r="Y7" s="3235" t="s">
        <v>2537</v>
      </c>
      <c r="Z7" s="3236"/>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5" t="s">
        <v>2540</v>
      </c>
      <c r="Q8" s="3236"/>
      <c r="R8" s="770" t="s">
        <v>17</v>
      </c>
      <c r="S8" s="771">
        <f t="shared" si="0"/>
        <v>0</v>
      </c>
      <c r="T8" s="770" t="s">
        <v>17</v>
      </c>
      <c r="U8" s="771">
        <f t="shared" si="1"/>
        <v>0</v>
      </c>
      <c r="V8" s="770" t="s">
        <v>17</v>
      </c>
      <c r="W8" s="771">
        <f t="shared" si="2"/>
        <v>0</v>
      </c>
      <c r="X8" s="772"/>
      <c r="Y8" s="3235" t="s">
        <v>2540</v>
      </c>
      <c r="Z8" s="3236"/>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1" t="s">
        <v>2543</v>
      </c>
      <c r="Q9" s="1797" t="str">
        <f t="shared" ref="Q9:Q14" si="6">B9</f>
        <v>用途</v>
      </c>
      <c r="R9" s="770" t="s">
        <v>17</v>
      </c>
      <c r="S9" s="771">
        <f t="shared" si="0"/>
        <v>100</v>
      </c>
      <c r="T9" s="770" t="s">
        <v>17</v>
      </c>
      <c r="U9" s="771">
        <f t="shared" si="1"/>
        <v>100</v>
      </c>
      <c r="V9" s="770" t="s">
        <v>17</v>
      </c>
      <c r="W9" s="771">
        <f t="shared" si="2"/>
        <v>100</v>
      </c>
      <c r="X9" s="772"/>
      <c r="Y9" s="3039"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1"/>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1"/>
      <c r="Q11" s="1797">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1"/>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1"/>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
      <c r="A14" s="401" t="s">
        <v>2547</v>
      </c>
      <c r="B14" s="629" t="s">
        <v>2697</v>
      </c>
      <c r="C14" s="268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6" t="s">
        <v>2548</v>
      </c>
      <c r="Q14" s="1812" t="str">
        <f t="shared" si="6"/>
        <v>交通便捷度</v>
      </c>
      <c r="R14" s="774" t="s">
        <v>17</v>
      </c>
      <c r="S14" s="775">
        <f t="shared" si="0"/>
        <v>100</v>
      </c>
      <c r="T14" s="774" t="s">
        <v>17</v>
      </c>
      <c r="U14" s="775">
        <f t="shared" si="1"/>
        <v>100</v>
      </c>
      <c r="V14" s="774" t="s">
        <v>17</v>
      </c>
      <c r="W14" s="775">
        <f t="shared" si="2"/>
        <v>100</v>
      </c>
      <c r="X14" s="1815"/>
      <c r="Y14" s="3206"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07"/>
      <c r="Q15" s="1812"/>
      <c r="R15" s="774"/>
      <c r="S15" s="775"/>
      <c r="T15" s="774"/>
      <c r="U15" s="775"/>
      <c r="V15" s="774"/>
      <c r="W15" s="775"/>
      <c r="X15" s="1815"/>
      <c r="Y15" s="3207"/>
      <c r="Z15" s="1816"/>
      <c r="AA15" s="1813">
        <v>1</v>
      </c>
      <c r="AB15" s="1813">
        <v>1</v>
      </c>
      <c r="AC15" s="1813">
        <v>1</v>
      </c>
    </row>
    <row r="16" spans="1:29" ht="15">
      <c r="A16" s="404"/>
      <c r="B16" s="631" t="s">
        <v>2676</v>
      </c>
      <c r="C16" s="260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7"/>
      <c r="Q16" s="1812" t="str">
        <f>B16</f>
        <v>公共配套设施</v>
      </c>
      <c r="R16" s="774" t="s">
        <v>17</v>
      </c>
      <c r="S16" s="775">
        <f>F16</f>
        <v>100</v>
      </c>
      <c r="T16" s="774" t="s">
        <v>17</v>
      </c>
      <c r="U16" s="775">
        <f>H16</f>
        <v>100</v>
      </c>
      <c r="V16" s="774" t="s">
        <v>17</v>
      </c>
      <c r="W16" s="775">
        <f>J16</f>
        <v>100</v>
      </c>
      <c r="X16" s="1815"/>
      <c r="Y16" s="3207"/>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2"/>
      <c r="M17" s="1133"/>
      <c r="N17" s="1133"/>
      <c r="O17" s="1133"/>
      <c r="P17" s="3207"/>
      <c r="Q17" s="1812"/>
      <c r="R17" s="774"/>
      <c r="S17" s="775"/>
      <c r="T17" s="774"/>
      <c r="U17" s="775"/>
      <c r="V17" s="774"/>
      <c r="W17" s="775"/>
      <c r="X17" s="1815"/>
      <c r="Y17" s="3207"/>
      <c r="Z17" s="1816"/>
      <c r="AA17" s="1813">
        <v>1</v>
      </c>
      <c r="AB17" s="1813">
        <v>1</v>
      </c>
      <c r="AC17" s="1813">
        <v>1</v>
      </c>
    </row>
    <row r="18" spans="1:29" ht="15">
      <c r="A18" s="404"/>
      <c r="B18" s="633" t="s">
        <v>2677</v>
      </c>
      <c r="C18" s="260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7"/>
      <c r="Q18" s="1812" t="str">
        <f>B18</f>
        <v>基础设施水平</v>
      </c>
      <c r="R18" s="774" t="s">
        <v>17</v>
      </c>
      <c r="S18" s="775">
        <f>F18</f>
        <v>100</v>
      </c>
      <c r="T18" s="774" t="s">
        <v>17</v>
      </c>
      <c r="U18" s="775">
        <f>H18</f>
        <v>100</v>
      </c>
      <c r="V18" s="774" t="s">
        <v>17</v>
      </c>
      <c r="W18" s="775">
        <f>J18</f>
        <v>100</v>
      </c>
      <c r="X18" s="1815"/>
      <c r="Y18" s="3207"/>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5"/>
      <c r="L19" s="1142"/>
      <c r="M19" s="1133"/>
      <c r="N19" s="1133"/>
      <c r="O19" s="1133"/>
      <c r="P19" s="3207"/>
      <c r="Q19" s="1812"/>
      <c r="R19" s="774"/>
      <c r="S19" s="775"/>
      <c r="T19" s="774"/>
      <c r="U19" s="775"/>
      <c r="V19" s="774"/>
      <c r="W19" s="775"/>
      <c r="X19" s="1815"/>
      <c r="Y19" s="3207"/>
      <c r="Z19" s="1816"/>
      <c r="AA19" s="1813">
        <v>1</v>
      </c>
      <c r="AB19" s="1813">
        <v>1</v>
      </c>
      <c r="AC19" s="1813">
        <v>1</v>
      </c>
    </row>
    <row r="20" spans="1:29" ht="15">
      <c r="A20" s="404"/>
      <c r="B20" s="631" t="s">
        <v>2698</v>
      </c>
      <c r="C20" s="260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7"/>
      <c r="Q20" s="1812" t="str">
        <f>B20</f>
        <v>自然及人文环境</v>
      </c>
      <c r="R20" s="774" t="s">
        <v>17</v>
      </c>
      <c r="S20" s="775">
        <f>F20</f>
        <v>100</v>
      </c>
      <c r="T20" s="774" t="s">
        <v>17</v>
      </c>
      <c r="U20" s="775">
        <f>H20</f>
        <v>100</v>
      </c>
      <c r="V20" s="774" t="s">
        <v>17</v>
      </c>
      <c r="W20" s="775">
        <f>J20</f>
        <v>100</v>
      </c>
      <c r="X20" s="1815"/>
      <c r="Y20" s="320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07"/>
      <c r="Q21" s="1812"/>
      <c r="R21" s="774"/>
      <c r="S21" s="775"/>
      <c r="T21" s="774"/>
      <c r="U21" s="775"/>
      <c r="V21" s="774"/>
      <c r="W21" s="775"/>
      <c r="X21" s="1815"/>
      <c r="Y21" s="3207"/>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7"/>
      <c r="Q22" s="1812" t="str">
        <f>B22</f>
        <v>楼层</v>
      </c>
      <c r="R22" s="774" t="s">
        <v>17</v>
      </c>
      <c r="S22" s="775">
        <f>F22</f>
        <v>100</v>
      </c>
      <c r="T22" s="774" t="s">
        <v>17</v>
      </c>
      <c r="U22" s="775">
        <f>H22</f>
        <v>100</v>
      </c>
      <c r="V22" s="774" t="s">
        <v>17</v>
      </c>
      <c r="W22" s="775">
        <f>J22</f>
        <v>100</v>
      </c>
      <c r="X22" s="1815"/>
      <c r="Y22" s="320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7"/>
      <c r="Q23" s="1812">
        <f>B23</f>
        <v>111</v>
      </c>
      <c r="R23" s="774" t="s">
        <v>17</v>
      </c>
      <c r="S23" s="775">
        <f>F23</f>
        <v>100</v>
      </c>
      <c r="T23" s="774" t="s">
        <v>17</v>
      </c>
      <c r="U23" s="775">
        <f>H23</f>
        <v>100</v>
      </c>
      <c r="V23" s="774" t="s">
        <v>17</v>
      </c>
      <c r="W23" s="775">
        <f>J23</f>
        <v>100</v>
      </c>
      <c r="X23" s="1815"/>
      <c r="Y23" s="320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7"/>
      <c r="Q24" s="1812">
        <f t="shared" ref="Q24:Q36" si="11">B24</f>
        <v>111</v>
      </c>
      <c r="R24" s="774" t="s">
        <v>17</v>
      </c>
      <c r="S24" s="775">
        <f>F24</f>
        <v>100</v>
      </c>
      <c r="T24" s="774" t="s">
        <v>17</v>
      </c>
      <c r="U24" s="775">
        <f>H24</f>
        <v>100</v>
      </c>
      <c r="V24" s="774" t="s">
        <v>17</v>
      </c>
      <c r="W24" s="775">
        <f>J24</f>
        <v>100</v>
      </c>
      <c r="X24" s="1815"/>
      <c r="Y24" s="320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7"/>
      <c r="Q25" s="1797">
        <f t="shared" si="11"/>
        <v>111</v>
      </c>
      <c r="R25" s="770" t="s">
        <v>17</v>
      </c>
      <c r="S25" s="771">
        <f>F25</f>
        <v>100</v>
      </c>
      <c r="T25" s="770" t="s">
        <v>17</v>
      </c>
      <c r="U25" s="771">
        <f>H25</f>
        <v>100</v>
      </c>
      <c r="V25" s="770" t="s">
        <v>17</v>
      </c>
      <c r="W25" s="771">
        <f>J25</f>
        <v>100</v>
      </c>
      <c r="X25" s="772"/>
      <c r="Y25" s="3207"/>
      <c r="Z25" s="55">
        <f>Q25</f>
        <v>111</v>
      </c>
      <c r="AA25" s="1813">
        <f>D25/F25</f>
        <v>1</v>
      </c>
      <c r="AB25" s="1813">
        <f>D25/H25</f>
        <v>1</v>
      </c>
      <c r="AC25" s="1813">
        <f>D25/J25</f>
        <v>1</v>
      </c>
    </row>
    <row r="26" spans="1:29" ht="15">
      <c r="A26" s="652" t="s">
        <v>2551</v>
      </c>
      <c r="B26" s="70" t="s">
        <v>2700</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8"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9"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09"/>
      <c r="Q28" s="1812" t="str">
        <f t="shared" si="11"/>
        <v>公共部分装修</v>
      </c>
      <c r="R28" s="774" t="s">
        <v>17</v>
      </c>
      <c r="S28" s="775">
        <f t="shared" si="12"/>
        <v>100</v>
      </c>
      <c r="T28" s="774" t="s">
        <v>17</v>
      </c>
      <c r="U28" s="775">
        <f t="shared" si="13"/>
        <v>100</v>
      </c>
      <c r="V28" s="774" t="s">
        <v>17</v>
      </c>
      <c r="W28" s="775">
        <f t="shared" si="14"/>
        <v>100</v>
      </c>
      <c r="X28" s="1815"/>
      <c r="Y28" s="3209"/>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09"/>
      <c r="Q29" s="1812" t="str">
        <f t="shared" si="11"/>
        <v>成新率</v>
      </c>
      <c r="R29" s="774" t="s">
        <v>17</v>
      </c>
      <c r="S29" s="775" t="e">
        <f t="shared" si="12"/>
        <v>#N/A</v>
      </c>
      <c r="T29" s="774" t="s">
        <v>17</v>
      </c>
      <c r="U29" s="775" t="e">
        <f t="shared" si="13"/>
        <v>#N/A</v>
      </c>
      <c r="V29" s="774" t="s">
        <v>17</v>
      </c>
      <c r="W29" s="775" t="e">
        <f t="shared" si="14"/>
        <v>#N/A</v>
      </c>
      <c r="X29" s="1815"/>
      <c r="Y29" s="3209"/>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09"/>
      <c r="Q30" s="1812" t="str">
        <f t="shared" si="11"/>
        <v>物业等级</v>
      </c>
      <c r="R30" s="774" t="s">
        <v>17</v>
      </c>
      <c r="S30" s="775">
        <f t="shared" si="12"/>
        <v>100</v>
      </c>
      <c r="T30" s="774" t="s">
        <v>17</v>
      </c>
      <c r="U30" s="775">
        <f t="shared" si="13"/>
        <v>100</v>
      </c>
      <c r="V30" s="774" t="s">
        <v>17</v>
      </c>
      <c r="W30" s="775">
        <f t="shared" si="14"/>
        <v>100</v>
      </c>
      <c r="X30" s="1815"/>
      <c r="Y30" s="3209"/>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09"/>
      <c r="Q31" s="1797"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09" t="s">
        <v>2553</v>
      </c>
      <c r="Q32" s="1812" t="str">
        <f t="shared" si="11"/>
        <v>车位类型</v>
      </c>
      <c r="R32" s="774" t="s">
        <v>17</v>
      </c>
      <c r="S32" s="775">
        <f t="shared" si="12"/>
        <v>100</v>
      </c>
      <c r="T32" s="774" t="s">
        <v>17</v>
      </c>
      <c r="U32" s="775">
        <f t="shared" si="13"/>
        <v>100</v>
      </c>
      <c r="V32" s="774" t="s">
        <v>17</v>
      </c>
      <c r="W32" s="775">
        <f t="shared" si="14"/>
        <v>100</v>
      </c>
      <c r="X32" s="1815"/>
      <c r="Y32" s="3209"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09"/>
      <c r="Q33" s="1812" t="str">
        <f t="shared" si="11"/>
        <v>是否直接入户</v>
      </c>
      <c r="R33" s="774" t="s">
        <v>17</v>
      </c>
      <c r="S33" s="775">
        <f t="shared" si="12"/>
        <v>100</v>
      </c>
      <c r="T33" s="774" t="s">
        <v>17</v>
      </c>
      <c r="U33" s="775">
        <f t="shared" si="13"/>
        <v>100</v>
      </c>
      <c r="V33" s="774" t="s">
        <v>17</v>
      </c>
      <c r="W33" s="775">
        <f t="shared" si="14"/>
        <v>100</v>
      </c>
      <c r="X33" s="1815"/>
      <c r="Y33" s="320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9"/>
      <c r="Q34" s="1812">
        <f t="shared" si="11"/>
        <v>111</v>
      </c>
      <c r="R34" s="774" t="s">
        <v>17</v>
      </c>
      <c r="S34" s="775">
        <f t="shared" si="12"/>
        <v>100</v>
      </c>
      <c r="T34" s="774" t="s">
        <v>17</v>
      </c>
      <c r="U34" s="775">
        <f t="shared" si="13"/>
        <v>100</v>
      </c>
      <c r="V34" s="774" t="s">
        <v>17</v>
      </c>
      <c r="W34" s="775">
        <f t="shared" si="14"/>
        <v>100</v>
      </c>
      <c r="X34" s="1815"/>
      <c r="Y34" s="320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9"/>
      <c r="Q36" s="1812">
        <f t="shared" si="11"/>
        <v>111</v>
      </c>
      <c r="R36" s="774" t="s">
        <v>17</v>
      </c>
      <c r="S36" s="775">
        <f t="shared" si="12"/>
        <v>100</v>
      </c>
      <c r="T36" s="774" t="s">
        <v>17</v>
      </c>
      <c r="U36" s="775">
        <f t="shared" si="13"/>
        <v>100</v>
      </c>
      <c r="V36" s="774" t="s">
        <v>17</v>
      </c>
      <c r="W36" s="775">
        <f t="shared" si="14"/>
        <v>100</v>
      </c>
      <c r="X36" s="1815"/>
      <c r="Y36" s="3209"/>
      <c r="Z36" s="1816">
        <f t="shared" si="15"/>
        <v>111</v>
      </c>
      <c r="AA36" s="1813">
        <f t="shared" si="3"/>
        <v>1</v>
      </c>
      <c r="AB36" s="1813">
        <f t="shared" si="4"/>
        <v>1</v>
      </c>
      <c r="AC36" s="1813">
        <f t="shared" si="5"/>
        <v>1</v>
      </c>
    </row>
    <row r="37" spans="1:29" ht="15">
      <c r="A37" s="479" t="s">
        <v>2708</v>
      </c>
      <c r="B37" s="2691" t="s">
        <v>2709</v>
      </c>
      <c r="C37" s="1409" t="s">
        <v>1</v>
      </c>
      <c r="D37" s="1410"/>
      <c r="E37" s="1411"/>
      <c r="F37" s="1412"/>
      <c r="G37" s="1413"/>
      <c r="H37" s="1414"/>
      <c r="I37" s="1411"/>
      <c r="J37" s="1414"/>
      <c r="K37" s="619"/>
      <c r="L37" s="1145"/>
      <c r="M37" s="1146"/>
      <c r="N37" s="1133"/>
      <c r="O37" s="1146"/>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2710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2711</v>
      </c>
      <c r="B39" s="493"/>
      <c r="C39" s="1419" t="e">
        <f>R39</f>
        <v>#DIV/0!</v>
      </c>
      <c r="D39" s="1419"/>
      <c r="E39" s="1419"/>
      <c r="F39" s="1419"/>
      <c r="G39" s="1419"/>
      <c r="H39" s="1419"/>
      <c r="I39" s="1419"/>
      <c r="J39" s="1419"/>
      <c r="K39" s="621"/>
      <c r="L39" s="1145"/>
      <c r="M39" s="1146"/>
      <c r="N39" s="1146"/>
      <c r="O39" s="1146"/>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2716</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2538</v>
      </c>
      <c r="B51" s="510"/>
      <c r="C51" s="522" t="s">
        <v>2640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2576</v>
      </c>
      <c r="B53" s="528" t="s">
        <v>2542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2591</v>
      </c>
      <c r="C65" s="578" t="s">
        <v>2585</v>
      </c>
      <c r="D65" s="578" t="s">
        <v>2586</v>
      </c>
      <c r="E65" s="578" t="s">
        <v>2587</v>
      </c>
      <c r="F65" s="578" t="s">
        <v>2588</v>
      </c>
      <c r="G65" s="578" t="s">
        <v>2589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2677</v>
      </c>
      <c r="C67" s="660" t="s">
        <v>2663</v>
      </c>
      <c r="D67" s="660" t="s">
        <v>2664</v>
      </c>
      <c r="E67" s="660" t="s">
        <v>2665</v>
      </c>
      <c r="F67" s="660" t="s">
        <v>2666</v>
      </c>
      <c r="G67" s="660" t="s">
        <v>2667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2597</v>
      </c>
      <c r="C69" s="578" t="s">
        <v>2585</v>
      </c>
      <c r="D69" s="578" t="s">
        <v>2586</v>
      </c>
      <c r="E69" s="578" t="s">
        <v>2587</v>
      </c>
      <c r="F69" s="578" t="s">
        <v>2588</v>
      </c>
      <c r="G69" s="578" t="s">
        <v>2589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2551</v>
      </c>
      <c r="B79" s="528" t="s">
        <v>2718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32"/>
      <c r="F1" s="2580"/>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IF(C2="——",ROUND(C37*D3/10000,0),ROUND(C37*D3/10000,0)-D2)</f>
        <v>#DIV/0!</v>
      </c>
      <c r="C2" s="2582"/>
      <c r="D2" s="1126" t="e">
        <f ca="1">SUMIF(INDIRECT("'"&amp;F2&amp;"'"&amp;"!A:A"),"承租人权益价值",INDIRECT("'"&amp;F2&amp;"'"&amp;"!c:c"))</f>
        <v>#REF!</v>
      </c>
      <c r="E2" s="2583" t="s">
        <v>2316</v>
      </c>
      <c r="F2" s="2584"/>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4" t="s">
        <v>2634</v>
      </c>
      <c r="D4" s="3215"/>
      <c r="E4" s="3216" t="s">
        <v>2635</v>
      </c>
      <c r="F4" s="3217"/>
      <c r="G4" s="3214" t="s">
        <v>2636</v>
      </c>
      <c r="H4" s="3215"/>
      <c r="I4" s="3214" t="s">
        <v>2637</v>
      </c>
      <c r="J4" s="3215"/>
      <c r="K4" s="610" t="s">
        <v>2638</v>
      </c>
      <c r="L4" s="1132"/>
      <c r="M4" s="1133"/>
      <c r="N4" s="1133"/>
      <c r="O4" s="1133"/>
      <c r="P4" s="3218" t="s">
        <v>2639</v>
      </c>
      <c r="Q4" s="3219"/>
      <c r="R4" s="3224" t="s">
        <v>2635</v>
      </c>
      <c r="S4" s="3225"/>
      <c r="T4" s="3224" t="s">
        <v>2636</v>
      </c>
      <c r="U4" s="3225"/>
      <c r="V4" s="3230" t="s">
        <v>2637</v>
      </c>
      <c r="W4" s="3230"/>
      <c r="X4" s="1815"/>
      <c r="Y4" s="3224" t="s">
        <v>2639</v>
      </c>
      <c r="Z4" s="3225"/>
      <c r="AA4" s="3211" t="s">
        <v>2635</v>
      </c>
      <c r="AB4" s="3212" t="s">
        <v>2636</v>
      </c>
      <c r="AC4" s="3211" t="s">
        <v>2637</v>
      </c>
    </row>
    <row r="5" spans="1:29" ht="15">
      <c r="A5" s="404"/>
      <c r="B5" s="405"/>
      <c r="C5" s="3275" t="s">
        <v>2530</v>
      </c>
      <c r="D5" s="3239"/>
      <c r="E5" s="3276" t="s">
        <v>2531</v>
      </c>
      <c r="F5" s="3234"/>
      <c r="G5" s="3275" t="s">
        <v>2532</v>
      </c>
      <c r="H5" s="3239"/>
      <c r="I5" s="3275" t="s">
        <v>2533</v>
      </c>
      <c r="J5" s="3239"/>
      <c r="K5" s="610"/>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31" t="s">
        <v>2534</v>
      </c>
      <c r="D6" s="3232"/>
      <c r="E6" s="3240" t="s">
        <v>2534</v>
      </c>
      <c r="F6" s="3241"/>
      <c r="G6" s="3231" t="s">
        <v>2534</v>
      </c>
      <c r="H6" s="3232"/>
      <c r="I6" s="3231" t="s">
        <v>2534</v>
      </c>
      <c r="J6" s="3232"/>
      <c r="K6" s="610" t="s">
        <v>2535</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2536</v>
      </c>
      <c r="B7" s="409"/>
      <c r="C7" s="410">
        <f>'数据-取费表'!B2</f>
        <v>43165</v>
      </c>
      <c r="D7" s="411">
        <v>100</v>
      </c>
      <c r="E7" s="412"/>
      <c r="F7" s="413">
        <f>SUMIF(46:46,YEAR(E7)&amp;"-"&amp;MONTH(E7),47:47)</f>
        <v>0</v>
      </c>
      <c r="G7" s="2692"/>
      <c r="H7" s="411">
        <f>SUMIF(46:46,YEAR(G7)&amp;"-"&amp;MONTH(G7),47:47)</f>
        <v>0</v>
      </c>
      <c r="I7" s="412"/>
      <c r="J7" s="411">
        <f>SUMIF(46:46,YEAR(I7)&amp;"-"&amp;MONTH(I7),47:47)</f>
        <v>0</v>
      </c>
      <c r="K7" s="611"/>
      <c r="L7" s="1134"/>
      <c r="M7" s="1135"/>
      <c r="N7" s="1135"/>
      <c r="O7" s="1135"/>
      <c r="P7" s="3235" t="s">
        <v>2537</v>
      </c>
      <c r="Q7" s="3237"/>
      <c r="R7" s="770" t="s">
        <v>17</v>
      </c>
      <c r="S7" s="771">
        <f t="shared" ref="S7:S14" si="0">F7</f>
        <v>0</v>
      </c>
      <c r="T7" s="770" t="s">
        <v>17</v>
      </c>
      <c r="U7" s="771">
        <f t="shared" ref="U7:U14" si="1">H7</f>
        <v>0</v>
      </c>
      <c r="V7" s="770" t="s">
        <v>17</v>
      </c>
      <c r="W7" s="771">
        <f t="shared" ref="W7:W14" si="2">J7</f>
        <v>0</v>
      </c>
      <c r="X7" s="772"/>
      <c r="Y7" s="3235" t="s">
        <v>2537</v>
      </c>
      <c r="Z7" s="3236"/>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5" t="s">
        <v>2540</v>
      </c>
      <c r="Q8" s="3236"/>
      <c r="R8" s="770" t="s">
        <v>17</v>
      </c>
      <c r="S8" s="771">
        <f t="shared" si="0"/>
        <v>0</v>
      </c>
      <c r="T8" s="770" t="s">
        <v>17</v>
      </c>
      <c r="U8" s="771">
        <f t="shared" si="1"/>
        <v>0</v>
      </c>
      <c r="V8" s="770" t="s">
        <v>17</v>
      </c>
      <c r="W8" s="771">
        <f t="shared" si="2"/>
        <v>0</v>
      </c>
      <c r="X8" s="772"/>
      <c r="Y8" s="3235" t="s">
        <v>2540</v>
      </c>
      <c r="Z8" s="3236"/>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1" t="s">
        <v>2543</v>
      </c>
      <c r="Q9" s="1797" t="str">
        <f t="shared" ref="Q9:Q14" si="6">B9</f>
        <v>用途</v>
      </c>
      <c r="R9" s="770" t="s">
        <v>17</v>
      </c>
      <c r="S9" s="771">
        <f t="shared" si="0"/>
        <v>100</v>
      </c>
      <c r="T9" s="770" t="s">
        <v>17</v>
      </c>
      <c r="U9" s="771">
        <f t="shared" si="1"/>
        <v>100</v>
      </c>
      <c r="V9" s="770" t="s">
        <v>17</v>
      </c>
      <c r="W9" s="771">
        <f t="shared" si="2"/>
        <v>100</v>
      </c>
      <c r="X9" s="772"/>
      <c r="Y9" s="3039"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1"/>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1"/>
      <c r="Q11" s="1797">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1"/>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2"/>
      <c r="M13" s="1133"/>
      <c r="N13" s="1133"/>
      <c r="O13" s="1141"/>
      <c r="P13" s="3201"/>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
      <c r="A14" s="440" t="s">
        <v>2547</v>
      </c>
      <c r="B14" s="69" t="s">
        <v>2697</v>
      </c>
      <c r="C14" s="268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6" t="s">
        <v>2548</v>
      </c>
      <c r="Q14" s="1812" t="str">
        <f t="shared" si="6"/>
        <v>交通便捷度</v>
      </c>
      <c r="R14" s="774" t="s">
        <v>17</v>
      </c>
      <c r="S14" s="775">
        <f t="shared" si="0"/>
        <v>100</v>
      </c>
      <c r="T14" s="774" t="s">
        <v>17</v>
      </c>
      <c r="U14" s="775">
        <f t="shared" si="1"/>
        <v>100</v>
      </c>
      <c r="V14" s="774" t="s">
        <v>17</v>
      </c>
      <c r="W14" s="775">
        <f t="shared" si="2"/>
        <v>100</v>
      </c>
      <c r="X14" s="1815"/>
      <c r="Y14" s="3206"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07"/>
      <c r="Q15" s="1812"/>
      <c r="R15" s="774"/>
      <c r="S15" s="775"/>
      <c r="T15" s="774"/>
      <c r="U15" s="775"/>
      <c r="V15" s="774"/>
      <c r="W15" s="775"/>
      <c r="X15" s="1815"/>
      <c r="Y15" s="3207"/>
      <c r="Z15" s="1816"/>
      <c r="AA15" s="1813">
        <v>1</v>
      </c>
      <c r="AB15" s="1813">
        <v>1</v>
      </c>
      <c r="AC15" s="1813">
        <v>1</v>
      </c>
    </row>
    <row r="16" spans="1:29" ht="15">
      <c r="A16" s="428"/>
      <c r="B16" s="451" t="s">
        <v>2676</v>
      </c>
      <c r="C16" s="260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7"/>
      <c r="Q16" s="1812" t="str">
        <f>B16</f>
        <v>公共配套设施</v>
      </c>
      <c r="R16" s="774" t="s">
        <v>17</v>
      </c>
      <c r="S16" s="775">
        <f>F16</f>
        <v>100</v>
      </c>
      <c r="T16" s="774" t="s">
        <v>17</v>
      </c>
      <c r="U16" s="775">
        <f>H16</f>
        <v>100</v>
      </c>
      <c r="V16" s="774" t="s">
        <v>17</v>
      </c>
      <c r="W16" s="775">
        <f>J16</f>
        <v>100</v>
      </c>
      <c r="X16" s="1815"/>
      <c r="Y16" s="3207"/>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2"/>
      <c r="M17" s="1133"/>
      <c r="N17" s="1133"/>
      <c r="O17" s="1141"/>
      <c r="P17" s="3207"/>
      <c r="Q17" s="1812"/>
      <c r="R17" s="774"/>
      <c r="S17" s="775"/>
      <c r="T17" s="774"/>
      <c r="U17" s="775"/>
      <c r="V17" s="774"/>
      <c r="W17" s="775"/>
      <c r="X17" s="1815"/>
      <c r="Y17" s="3207"/>
      <c r="Z17" s="1816"/>
      <c r="AA17" s="1813">
        <v>1</v>
      </c>
      <c r="AB17" s="1813">
        <v>1</v>
      </c>
      <c r="AC17" s="1813">
        <v>1</v>
      </c>
    </row>
    <row r="18" spans="1:29" ht="15">
      <c r="A18" s="428"/>
      <c r="B18" s="1386" t="s">
        <v>2677</v>
      </c>
      <c r="C18" s="260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7"/>
      <c r="Q18" s="1812" t="str">
        <f>B18</f>
        <v>基础设施水平</v>
      </c>
      <c r="R18" s="774" t="s">
        <v>17</v>
      </c>
      <c r="S18" s="775">
        <f>F18</f>
        <v>100</v>
      </c>
      <c r="T18" s="774" t="s">
        <v>17</v>
      </c>
      <c r="U18" s="775">
        <f>H18</f>
        <v>100</v>
      </c>
      <c r="V18" s="774" t="s">
        <v>17</v>
      </c>
      <c r="W18" s="775">
        <f>J18</f>
        <v>100</v>
      </c>
      <c r="X18" s="1815"/>
      <c r="Y18" s="3207"/>
      <c r="Z18" s="1816" t="str">
        <f>Q18</f>
        <v>基础设施水平</v>
      </c>
      <c r="AA18" s="1813">
        <f t="shared" ref="AA18" si="8">D18/F18</f>
        <v>1</v>
      </c>
      <c r="AB18" s="1813">
        <f t="shared" ref="AB18" si="9">D18/H18</f>
        <v>1</v>
      </c>
      <c r="AC18" s="1813">
        <f t="shared" ref="AC18" si="10">D18/J18</f>
        <v>1</v>
      </c>
    </row>
    <row r="19" spans="1:29" ht="15">
      <c r="A19" s="428"/>
      <c r="B19" s="1386"/>
      <c r="C19" s="2604"/>
      <c r="D19" s="450"/>
      <c r="E19" s="2604"/>
      <c r="F19" s="453"/>
      <c r="G19" s="2604"/>
      <c r="H19" s="448"/>
      <c r="I19" s="447"/>
      <c r="J19" s="448"/>
      <c r="K19" s="1385"/>
      <c r="L19" s="1142"/>
      <c r="M19" s="1133"/>
      <c r="N19" s="1133"/>
      <c r="O19" s="1141"/>
      <c r="P19" s="3207"/>
      <c r="Q19" s="1812"/>
      <c r="R19" s="774"/>
      <c r="S19" s="775"/>
      <c r="T19" s="774"/>
      <c r="U19" s="775"/>
      <c r="V19" s="774"/>
      <c r="W19" s="775"/>
      <c r="X19" s="1815"/>
      <c r="Y19" s="3207"/>
      <c r="Z19" s="1816"/>
      <c r="AA19" s="1813">
        <v>1</v>
      </c>
      <c r="AB19" s="1813">
        <v>1</v>
      </c>
      <c r="AC19" s="1813">
        <v>1</v>
      </c>
    </row>
    <row r="20" spans="1:29" ht="15">
      <c r="A20" s="428"/>
      <c r="B20" s="451" t="s">
        <v>2698</v>
      </c>
      <c r="C20" s="260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7"/>
      <c r="Q20" s="1812" t="str">
        <f>B20</f>
        <v>自然及人文环境</v>
      </c>
      <c r="R20" s="774" t="s">
        <v>17</v>
      </c>
      <c r="S20" s="775">
        <f>F20</f>
        <v>100</v>
      </c>
      <c r="T20" s="774" t="s">
        <v>17</v>
      </c>
      <c r="U20" s="775">
        <f>H20</f>
        <v>100</v>
      </c>
      <c r="V20" s="774" t="s">
        <v>17</v>
      </c>
      <c r="W20" s="775">
        <f>J20</f>
        <v>100</v>
      </c>
      <c r="X20" s="1815"/>
      <c r="Y20" s="320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07"/>
      <c r="Q21" s="1812"/>
      <c r="R21" s="774"/>
      <c r="S21" s="775"/>
      <c r="T21" s="774"/>
      <c r="U21" s="775"/>
      <c r="V21" s="774"/>
      <c r="W21" s="775"/>
      <c r="X21" s="1815"/>
      <c r="Y21" s="3207"/>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7"/>
      <c r="Q22" s="1812" t="str">
        <f>B22</f>
        <v>楼层</v>
      </c>
      <c r="R22" s="774" t="s">
        <v>17</v>
      </c>
      <c r="S22" s="775">
        <f>F22</f>
        <v>100</v>
      </c>
      <c r="T22" s="774" t="s">
        <v>17</v>
      </c>
      <c r="U22" s="775">
        <f>H22</f>
        <v>100</v>
      </c>
      <c r="V22" s="774" t="s">
        <v>17</v>
      </c>
      <c r="W22" s="775">
        <f>J22</f>
        <v>100</v>
      </c>
      <c r="X22" s="1815"/>
      <c r="Y22" s="3207"/>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7"/>
      <c r="Q23" s="1812">
        <f>B23</f>
        <v>111</v>
      </c>
      <c r="R23" s="774" t="s">
        <v>17</v>
      </c>
      <c r="S23" s="775">
        <f>F23</f>
        <v>100</v>
      </c>
      <c r="T23" s="774" t="s">
        <v>17</v>
      </c>
      <c r="U23" s="775">
        <f>H23</f>
        <v>100</v>
      </c>
      <c r="V23" s="774" t="s">
        <v>17</v>
      </c>
      <c r="W23" s="775">
        <f>J23</f>
        <v>100</v>
      </c>
      <c r="X23" s="1815"/>
      <c r="Y23" s="3207"/>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7"/>
      <c r="Q24" s="1812">
        <f t="shared" ref="Q24:Q34" si="11">B24</f>
        <v>111</v>
      </c>
      <c r="R24" s="774" t="s">
        <v>17</v>
      </c>
      <c r="S24" s="775">
        <f>F24</f>
        <v>100</v>
      </c>
      <c r="T24" s="774" t="s">
        <v>17</v>
      </c>
      <c r="U24" s="775">
        <f>H24</f>
        <v>100</v>
      </c>
      <c r="V24" s="774" t="s">
        <v>17</v>
      </c>
      <c r="W24" s="775">
        <f>J24</f>
        <v>100</v>
      </c>
      <c r="X24" s="1815"/>
      <c r="Y24" s="3207"/>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4"/>
      <c r="M25" s="1135"/>
      <c r="N25" s="1135"/>
      <c r="O25" s="1136"/>
      <c r="P25" s="3207"/>
      <c r="Q25" s="1797">
        <f t="shared" si="11"/>
        <v>111</v>
      </c>
      <c r="R25" s="770" t="s">
        <v>17</v>
      </c>
      <c r="S25" s="771">
        <f>F25</f>
        <v>100</v>
      </c>
      <c r="T25" s="770" t="s">
        <v>17</v>
      </c>
      <c r="U25" s="771">
        <f>H25</f>
        <v>100</v>
      </c>
      <c r="V25" s="770" t="s">
        <v>17</v>
      </c>
      <c r="W25" s="771">
        <f>J25</f>
        <v>100</v>
      </c>
      <c r="X25" s="772"/>
      <c r="Y25" s="3207"/>
      <c r="Z25" s="55">
        <f>Q25</f>
        <v>111</v>
      </c>
      <c r="AA25" s="1813">
        <f>D25/F25</f>
        <v>1</v>
      </c>
      <c r="AB25" s="1813">
        <f>D25/H25</f>
        <v>1</v>
      </c>
      <c r="AC25" s="1813">
        <f>D25/J25</f>
        <v>1</v>
      </c>
    </row>
    <row r="26" spans="1:29" ht="15">
      <c r="A26" s="466" t="s">
        <v>2551</v>
      </c>
      <c r="B26" s="71" t="s">
        <v>2702</v>
      </c>
      <c r="C26" s="2675"/>
      <c r="D26" s="467">
        <v>100</v>
      </c>
      <c r="E26" s="2675"/>
      <c r="F26" s="667">
        <f>SUMIF(77:77,E26,78:78)-SUMIF(77:77,C26,78:78)+100</f>
        <v>100</v>
      </c>
      <c r="G26" s="2675"/>
      <c r="H26" s="467">
        <f>SUMIF(77:77,G26,78:78)-SUMIF(77:77,C26,78:78)+100</f>
        <v>100</v>
      </c>
      <c r="I26" s="2675"/>
      <c r="J26" s="467">
        <f>SUMIF(77:77,I26,78:78)-SUMIF(77:77,C26,78:78)+100</f>
        <v>100</v>
      </c>
      <c r="K26" s="612"/>
      <c r="L26" s="1142"/>
      <c r="M26" s="1133"/>
      <c r="N26" s="1133"/>
      <c r="O26" s="1141"/>
      <c r="P26" s="3208"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9"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9"/>
      <c r="Q28" s="1812" t="str">
        <f t="shared" si="11"/>
        <v>物业等级</v>
      </c>
      <c r="R28" s="774" t="s">
        <v>17</v>
      </c>
      <c r="S28" s="775">
        <f t="shared" si="12"/>
        <v>100</v>
      </c>
      <c r="T28" s="774" t="s">
        <v>17</v>
      </c>
      <c r="U28" s="775">
        <f t="shared" si="13"/>
        <v>100</v>
      </c>
      <c r="V28" s="774" t="s">
        <v>17</v>
      </c>
      <c r="W28" s="775">
        <f t="shared" si="14"/>
        <v>100</v>
      </c>
      <c r="X28" s="1815"/>
      <c r="Y28" s="3209"/>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09"/>
      <c r="Q29" s="1812" t="str">
        <f t="shared" si="11"/>
        <v>有无电梯</v>
      </c>
      <c r="R29" s="774" t="s">
        <v>17</v>
      </c>
      <c r="S29" s="775">
        <f t="shared" si="12"/>
        <v>100</v>
      </c>
      <c r="T29" s="774" t="s">
        <v>17</v>
      </c>
      <c r="U29" s="775">
        <f t="shared" si="13"/>
        <v>100</v>
      </c>
      <c r="V29" s="774" t="s">
        <v>17</v>
      </c>
      <c r="W29" s="775">
        <f t="shared" si="14"/>
        <v>100</v>
      </c>
      <c r="X29" s="1815"/>
      <c r="Y29" s="3209"/>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9"/>
      <c r="Q30" s="1812" t="str">
        <f t="shared" si="11"/>
        <v>建筑面积</v>
      </c>
      <c r="R30" s="774" t="s">
        <v>17</v>
      </c>
      <c r="S30" s="775" t="e">
        <f t="shared" si="12"/>
        <v>#N/A</v>
      </c>
      <c r="T30" s="774" t="s">
        <v>17</v>
      </c>
      <c r="U30" s="775" t="e">
        <f t="shared" si="13"/>
        <v>#N/A</v>
      </c>
      <c r="V30" s="774" t="s">
        <v>17</v>
      </c>
      <c r="W30" s="775" t="e">
        <f t="shared" si="14"/>
        <v>#N/A</v>
      </c>
      <c r="X30" s="1815"/>
      <c r="Y30" s="3209"/>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09"/>
      <c r="Q31" s="1797"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9" t="s">
        <v>2553</v>
      </c>
      <c r="Q32" s="1812">
        <f t="shared" si="11"/>
        <v>111</v>
      </c>
      <c r="R32" s="774" t="s">
        <v>17</v>
      </c>
      <c r="S32" s="775">
        <f t="shared" si="12"/>
        <v>100</v>
      </c>
      <c r="T32" s="774" t="s">
        <v>17</v>
      </c>
      <c r="U32" s="775">
        <f t="shared" si="13"/>
        <v>100</v>
      </c>
      <c r="V32" s="774" t="s">
        <v>17</v>
      </c>
      <c r="W32" s="775">
        <f t="shared" si="14"/>
        <v>100</v>
      </c>
      <c r="X32" s="1815"/>
      <c r="Y32" s="3209" t="s">
        <v>2553</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9"/>
      <c r="Q33" s="1812">
        <f t="shared" si="11"/>
        <v>111</v>
      </c>
      <c r="R33" s="774" t="s">
        <v>17</v>
      </c>
      <c r="S33" s="775">
        <f t="shared" si="12"/>
        <v>100</v>
      </c>
      <c r="T33" s="774" t="s">
        <v>17</v>
      </c>
      <c r="U33" s="775">
        <f t="shared" si="13"/>
        <v>100</v>
      </c>
      <c r="V33" s="774" t="s">
        <v>17</v>
      </c>
      <c r="W33" s="775">
        <f t="shared" si="14"/>
        <v>100</v>
      </c>
      <c r="X33" s="1815"/>
      <c r="Y33" s="3209"/>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2"/>
      <c r="M34" s="1133"/>
      <c r="N34" s="1133"/>
      <c r="O34" s="1141"/>
      <c r="P34" s="3209"/>
      <c r="Q34" s="1812">
        <f t="shared" si="11"/>
        <v>111</v>
      </c>
      <c r="R34" s="774" t="s">
        <v>17</v>
      </c>
      <c r="S34" s="775">
        <f t="shared" si="12"/>
        <v>100</v>
      </c>
      <c r="T34" s="774" t="s">
        <v>17</v>
      </c>
      <c r="U34" s="775">
        <f t="shared" si="13"/>
        <v>100</v>
      </c>
      <c r="V34" s="774" t="s">
        <v>17</v>
      </c>
      <c r="W34" s="775">
        <f t="shared" si="14"/>
        <v>100</v>
      </c>
      <c r="X34" s="1815"/>
      <c r="Y34" s="3209"/>
      <c r="Z34" s="1816">
        <f t="shared" si="15"/>
        <v>111</v>
      </c>
      <c r="AA34" s="1813">
        <f t="shared" si="3"/>
        <v>1</v>
      </c>
      <c r="AB34" s="1813">
        <f t="shared" si="4"/>
        <v>1</v>
      </c>
      <c r="AC34" s="1813">
        <f t="shared" si="5"/>
        <v>1</v>
      </c>
    </row>
    <row r="35" spans="1:29" ht="15">
      <c r="A35" s="479" t="s">
        <v>2565</v>
      </c>
      <c r="B35" s="480"/>
      <c r="C35" s="1409" t="s">
        <v>1</v>
      </c>
      <c r="D35" s="1410"/>
      <c r="E35" s="1411"/>
      <c r="F35" s="1412"/>
      <c r="G35" s="1413"/>
      <c r="H35" s="1414"/>
      <c r="I35" s="1411"/>
      <c r="J35" s="1414"/>
      <c r="K35" s="783"/>
      <c r="L35" s="1145"/>
      <c r="M35" s="1146"/>
      <c r="N35" s="1133"/>
      <c r="O35" s="1146"/>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2657</v>
      </c>
      <c r="B36" s="487"/>
      <c r="C36" s="1415" t="e">
        <f>R37</f>
        <v>#DIV/0!</v>
      </c>
      <c r="D36" s="1416"/>
      <c r="E36" s="1417" t="e">
        <f>R36</f>
        <v>#DIV/0!</v>
      </c>
      <c r="F36" s="1417"/>
      <c r="G36" s="1415" t="e">
        <f>T36</f>
        <v>#DIV/0!</v>
      </c>
      <c r="H36" s="1416"/>
      <c r="I36" s="1417" t="e">
        <f>V36</f>
        <v>#DIV/0!</v>
      </c>
      <c r="J36" s="1416"/>
      <c r="K36" s="784"/>
      <c r="L36" s="1145"/>
      <c r="M36" s="1146"/>
      <c r="N36" s="1133"/>
      <c r="O36" s="1146"/>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2658</v>
      </c>
      <c r="B37" s="493"/>
      <c r="C37" s="1419" t="e">
        <f>R37</f>
        <v>#DIV/0!</v>
      </c>
      <c r="D37" s="1419"/>
      <c r="E37" s="1419"/>
      <c r="F37" s="1419"/>
      <c r="G37" s="1419"/>
      <c r="H37" s="1419"/>
      <c r="I37" s="1419"/>
      <c r="J37" s="1419"/>
      <c r="K37" s="785"/>
      <c r="L37" s="1145"/>
      <c r="M37" s="1146"/>
      <c r="N37" s="1146"/>
      <c r="O37" s="1146"/>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2576</v>
      </c>
      <c r="B51" s="528" t="s">
        <v>2542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2551</v>
      </c>
      <c r="B77" s="528" t="s">
        <v>2604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2633</v>
      </c>
      <c r="B4" s="402"/>
      <c r="C4" s="3214" t="s">
        <v>2634</v>
      </c>
      <c r="D4" s="3215"/>
      <c r="E4" s="3216" t="s">
        <v>2635</v>
      </c>
      <c r="F4" s="3217"/>
      <c r="G4" s="3214" t="s">
        <v>2636</v>
      </c>
      <c r="H4" s="3215"/>
      <c r="I4" s="3214" t="s">
        <v>2637</v>
      </c>
      <c r="J4" s="3215"/>
      <c r="K4" s="610" t="s">
        <v>2638</v>
      </c>
      <c r="L4" s="1132"/>
      <c r="M4" s="1133"/>
      <c r="N4" s="1133"/>
      <c r="O4" s="1133"/>
      <c r="P4" s="3218" t="s">
        <v>2639</v>
      </c>
      <c r="Q4" s="3219"/>
      <c r="R4" s="3224" t="s">
        <v>2635</v>
      </c>
      <c r="S4" s="3225"/>
      <c r="T4" s="3224" t="s">
        <v>2636</v>
      </c>
      <c r="U4" s="3225"/>
      <c r="V4" s="3230" t="s">
        <v>2637</v>
      </c>
      <c r="W4" s="3230"/>
      <c r="X4" s="1815"/>
      <c r="Y4" s="3224" t="s">
        <v>2639</v>
      </c>
      <c r="Z4" s="3225"/>
      <c r="AA4" s="3211" t="s">
        <v>2635</v>
      </c>
      <c r="AB4" s="3212" t="s">
        <v>2636</v>
      </c>
      <c r="AC4" s="3211" t="s">
        <v>2637</v>
      </c>
    </row>
    <row r="5" spans="1:30" ht="15">
      <c r="A5" s="404"/>
      <c r="B5" s="405"/>
      <c r="C5" s="3275" t="s">
        <v>2530</v>
      </c>
      <c r="D5" s="3239"/>
      <c r="E5" s="3276" t="s">
        <v>2531</v>
      </c>
      <c r="F5" s="3234"/>
      <c r="G5" s="3275" t="s">
        <v>2532</v>
      </c>
      <c r="H5" s="3239"/>
      <c r="I5" s="3275" t="s">
        <v>2533</v>
      </c>
      <c r="J5" s="3239"/>
      <c r="K5" s="610"/>
      <c r="L5" s="1132"/>
      <c r="M5" s="1133"/>
      <c r="N5" s="1133"/>
      <c r="O5" s="1133"/>
      <c r="P5" s="3220"/>
      <c r="Q5" s="3221"/>
      <c r="R5" s="3226"/>
      <c r="S5" s="3227"/>
      <c r="T5" s="3226"/>
      <c r="U5" s="3227"/>
      <c r="V5" s="3230"/>
      <c r="W5" s="3230"/>
      <c r="X5" s="1815"/>
      <c r="Y5" s="3226"/>
      <c r="Z5" s="3227"/>
      <c r="AA5" s="3212"/>
      <c r="AB5" s="3212"/>
      <c r="AC5" s="3212"/>
    </row>
    <row r="6" spans="1:30" ht="15.75" thickBot="1">
      <c r="A6" s="406"/>
      <c r="B6" s="407"/>
      <c r="C6" s="3231" t="s">
        <v>2534</v>
      </c>
      <c r="D6" s="3232"/>
      <c r="E6" s="3240" t="s">
        <v>2534</v>
      </c>
      <c r="F6" s="3241"/>
      <c r="G6" s="3231" t="s">
        <v>2534</v>
      </c>
      <c r="H6" s="3232"/>
      <c r="I6" s="3231" t="s">
        <v>2534</v>
      </c>
      <c r="J6" s="3232"/>
      <c r="K6" s="610" t="s">
        <v>2535</v>
      </c>
      <c r="L6" s="1132"/>
      <c r="M6" s="1133"/>
      <c r="N6" s="1133"/>
      <c r="O6" s="1133"/>
      <c r="P6" s="3222"/>
      <c r="Q6" s="3223"/>
      <c r="R6" s="3226"/>
      <c r="S6" s="3227"/>
      <c r="T6" s="3228"/>
      <c r="U6" s="3229"/>
      <c r="V6" s="3230"/>
      <c r="W6" s="3230"/>
      <c r="X6" s="1815"/>
      <c r="Y6" s="3228"/>
      <c r="Z6" s="3229"/>
      <c r="AA6" s="3213"/>
      <c r="AB6" s="3213"/>
      <c r="AC6" s="3213"/>
    </row>
    <row r="7" spans="1:30" s="117" customFormat="1" ht="15.75" thickBot="1">
      <c r="A7" s="408" t="s">
        <v>2536</v>
      </c>
      <c r="B7" s="409"/>
      <c r="C7" s="410">
        <f>'数据-取费表'!B2</f>
        <v>43165</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4"/>
      <c r="M7" s="1135"/>
      <c r="N7" s="1135"/>
      <c r="O7" s="1135"/>
      <c r="P7" s="3235" t="s">
        <v>2537</v>
      </c>
      <c r="Q7" s="3237"/>
      <c r="R7" s="770" t="s">
        <v>17</v>
      </c>
      <c r="S7" s="771">
        <f t="shared" ref="S7:S15" si="0">F7</f>
        <v>0</v>
      </c>
      <c r="T7" s="770" t="s">
        <v>17</v>
      </c>
      <c r="U7" s="771">
        <f t="shared" ref="U7:U15" si="1">H7</f>
        <v>0</v>
      </c>
      <c r="V7" s="770" t="s">
        <v>17</v>
      </c>
      <c r="W7" s="771">
        <f t="shared" ref="W7:W15" si="2">J7</f>
        <v>0</v>
      </c>
      <c r="X7" s="772"/>
      <c r="Y7" s="3235" t="s">
        <v>2537</v>
      </c>
      <c r="Z7" s="3236"/>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35" t="s">
        <v>2540</v>
      </c>
      <c r="Q8" s="3236"/>
      <c r="R8" s="770" t="s">
        <v>17</v>
      </c>
      <c r="S8" s="771">
        <f t="shared" si="0"/>
        <v>0</v>
      </c>
      <c r="T8" s="770" t="s">
        <v>17</v>
      </c>
      <c r="U8" s="771">
        <f t="shared" si="1"/>
        <v>0</v>
      </c>
      <c r="V8" s="770" t="s">
        <v>17</v>
      </c>
      <c r="W8" s="771">
        <f t="shared" si="2"/>
        <v>0</v>
      </c>
      <c r="X8" s="772"/>
      <c r="Y8" s="3235" t="s">
        <v>2540</v>
      </c>
      <c r="Z8" s="3236"/>
      <c r="AA8" s="773" t="e">
        <f t="shared" ref="AA8:AA45" si="3">D8/F8</f>
        <v>#DIV/0!</v>
      </c>
      <c r="AB8" s="773" t="e">
        <f t="shared" ref="AB8:AB45" si="4">D8/H8</f>
        <v>#DIV/0!</v>
      </c>
      <c r="AC8" s="773" t="e">
        <f t="shared" ref="AC8:AC45" si="5">D8/J8</f>
        <v>#DIV/0!</v>
      </c>
    </row>
    <row r="9" spans="1:30" s="117" customFormat="1">
      <c r="A9" s="415" t="s">
        <v>2541</v>
      </c>
      <c r="B9" s="71" t="s">
        <v>2542</v>
      </c>
      <c r="C9" s="2695"/>
      <c r="D9" s="135">
        <v>100</v>
      </c>
      <c r="E9" s="2695"/>
      <c r="F9" s="135">
        <f>SUMIF(75:75,E9,76:76)-SUMIF(75:75,C9,76:76)+100</f>
        <v>100</v>
      </c>
      <c r="G9" s="2695"/>
      <c r="H9" s="135">
        <f>SUMIF(75:75,G9,76:76)-SUMIF(75:75,C9,76:76)+100</f>
        <v>100</v>
      </c>
      <c r="I9" s="2695"/>
      <c r="J9" s="135">
        <f>SUMIF(75:75,I9,76:76)-SUMIF(75:75,C9,76:76)+100</f>
        <v>100</v>
      </c>
      <c r="K9" s="611"/>
      <c r="L9" s="1134"/>
      <c r="M9" s="1135"/>
      <c r="N9" s="1135"/>
      <c r="O9" s="1136"/>
      <c r="P9" s="3201" t="s">
        <v>2543</v>
      </c>
      <c r="Q9" s="1797" t="str">
        <f t="shared" ref="Q9:Q15" si="6">B9</f>
        <v>用途</v>
      </c>
      <c r="R9" s="770" t="s">
        <v>17</v>
      </c>
      <c r="S9" s="771">
        <f t="shared" si="0"/>
        <v>100</v>
      </c>
      <c r="T9" s="770" t="s">
        <v>17</v>
      </c>
      <c r="U9" s="771">
        <f t="shared" si="1"/>
        <v>100</v>
      </c>
      <c r="V9" s="770" t="s">
        <v>17</v>
      </c>
      <c r="W9" s="771">
        <f t="shared" si="2"/>
        <v>100</v>
      </c>
      <c r="X9" s="772"/>
      <c r="Y9" s="3039"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201"/>
      <c r="Q10" s="1797" t="str">
        <f t="shared" si="6"/>
        <v>土地使用年限（年）</v>
      </c>
      <c r="R10" s="770" t="s">
        <v>17</v>
      </c>
      <c r="S10" s="771">
        <f t="shared" si="0"/>
        <v>104</v>
      </c>
      <c r="T10" s="770" t="s">
        <v>17</v>
      </c>
      <c r="U10" s="771">
        <f t="shared" si="1"/>
        <v>104</v>
      </c>
      <c r="V10" s="770" t="s">
        <v>17</v>
      </c>
      <c r="W10" s="771">
        <f t="shared" si="2"/>
        <v>104</v>
      </c>
      <c r="X10" s="772"/>
      <c r="Y10" s="3039"/>
      <c r="Z10" s="55" t="str">
        <f t="shared" si="7"/>
        <v>土地使用年限（年）</v>
      </c>
      <c r="AA10" s="773">
        <f t="shared" si="3"/>
        <v>0.96153846153846156</v>
      </c>
      <c r="AB10" s="773">
        <f t="shared" si="4"/>
        <v>0.96153846153846156</v>
      </c>
      <c r="AC10" s="773">
        <f t="shared" si="5"/>
        <v>0.96153846153846156</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1"/>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
      <c r="A12" s="431"/>
      <c r="B12" s="2596" t="s">
        <v>2735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1"/>
      <c r="Q12" s="1797"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1"/>
      <c r="Q13" s="1797">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1"/>
      <c r="Q14" s="1797">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15">
      <c r="A15" s="440" t="s">
        <v>2547</v>
      </c>
      <c r="B15" s="69" t="s">
        <v>2083</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06" t="s">
        <v>2548</v>
      </c>
      <c r="Q15" s="1812" t="str">
        <f t="shared" si="6"/>
        <v>居住社区成熟度</v>
      </c>
      <c r="R15" s="774" t="s">
        <v>17</v>
      </c>
      <c r="S15" s="775">
        <f t="shared" si="0"/>
        <v>100</v>
      </c>
      <c r="T15" s="774" t="s">
        <v>17</v>
      </c>
      <c r="U15" s="775">
        <f t="shared" si="1"/>
        <v>100</v>
      </c>
      <c r="V15" s="774" t="s">
        <v>17</v>
      </c>
      <c r="W15" s="775">
        <f t="shared" si="2"/>
        <v>100</v>
      </c>
      <c r="X15" s="1815"/>
      <c r="Y15" s="3206" t="s">
        <v>2548</v>
      </c>
      <c r="Z15" s="1816" t="str">
        <f t="shared" si="7"/>
        <v>居住社区成熟度</v>
      </c>
      <c r="AA15" s="1813">
        <f t="shared" si="3"/>
        <v>1</v>
      </c>
      <c r="AB15" s="1813">
        <f t="shared" si="4"/>
        <v>1</v>
      </c>
      <c r="AC15" s="1813">
        <f t="shared" si="5"/>
        <v>1</v>
      </c>
    </row>
    <row r="16" spans="1:30" ht="15">
      <c r="A16" s="428"/>
      <c r="B16" s="446"/>
      <c r="C16" s="447"/>
      <c r="D16" s="448"/>
      <c r="E16" s="2601"/>
      <c r="F16" s="448"/>
      <c r="G16" s="2601"/>
      <c r="H16" s="450"/>
      <c r="I16" s="2600"/>
      <c r="J16" s="448"/>
      <c r="K16" s="672"/>
      <c r="L16" s="1142"/>
      <c r="M16" s="1133"/>
      <c r="N16" s="1133"/>
      <c r="O16" s="1141"/>
      <c r="P16" s="3207"/>
      <c r="Q16" s="1812"/>
      <c r="R16" s="774"/>
      <c r="S16" s="775"/>
      <c r="T16" s="774"/>
      <c r="U16" s="775"/>
      <c r="V16" s="774"/>
      <c r="W16" s="775"/>
      <c r="X16" s="1815"/>
      <c r="Y16" s="3207"/>
      <c r="Z16" s="1816"/>
      <c r="AA16" s="1813">
        <v>1</v>
      </c>
      <c r="AB16" s="1813">
        <v>1</v>
      </c>
      <c r="AC16" s="1813">
        <v>1</v>
      </c>
    </row>
    <row r="17" spans="1:29" ht="15">
      <c r="A17" s="428"/>
      <c r="B17" s="451" t="s">
        <v>2641</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07"/>
      <c r="Q17" s="1812" t="str">
        <f>B17</f>
        <v>商业繁华度</v>
      </c>
      <c r="R17" s="774" t="s">
        <v>17</v>
      </c>
      <c r="S17" s="775">
        <f>F17</f>
        <v>100</v>
      </c>
      <c r="T17" s="774" t="s">
        <v>17</v>
      </c>
      <c r="U17" s="775">
        <f>H17</f>
        <v>100</v>
      </c>
      <c r="V17" s="774" t="s">
        <v>17</v>
      </c>
      <c r="W17" s="775">
        <f>J17</f>
        <v>100</v>
      </c>
      <c r="X17" s="1815"/>
      <c r="Y17" s="3207"/>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2"/>
      <c r="M18" s="1133"/>
      <c r="N18" s="1133"/>
      <c r="O18" s="1141"/>
      <c r="P18" s="3207"/>
      <c r="Q18" s="1812"/>
      <c r="R18" s="774"/>
      <c r="S18" s="775"/>
      <c r="T18" s="774"/>
      <c r="U18" s="775"/>
      <c r="V18" s="774"/>
      <c r="W18" s="775"/>
      <c r="X18" s="1815"/>
      <c r="Y18" s="3207"/>
      <c r="Z18" s="1816"/>
      <c r="AA18" s="1813">
        <v>1</v>
      </c>
      <c r="AB18" s="1813">
        <v>1</v>
      </c>
      <c r="AC18" s="1813">
        <v>1</v>
      </c>
    </row>
    <row r="19" spans="1:29" ht="15">
      <c r="A19" s="428"/>
      <c r="B19" s="451" t="s">
        <v>2675</v>
      </c>
      <c r="C19" s="266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07"/>
      <c r="Q19" s="1812" t="str">
        <f>B19</f>
        <v>办公集聚程度</v>
      </c>
      <c r="R19" s="774" t="s">
        <v>17</v>
      </c>
      <c r="S19" s="775">
        <f>F19</f>
        <v>100</v>
      </c>
      <c r="T19" s="774" t="s">
        <v>17</v>
      </c>
      <c r="U19" s="775">
        <f>H19</f>
        <v>100</v>
      </c>
      <c r="V19" s="774" t="s">
        <v>17</v>
      </c>
      <c r="W19" s="775">
        <f>J19</f>
        <v>100</v>
      </c>
      <c r="X19" s="1815"/>
      <c r="Y19" s="3207"/>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2"/>
      <c r="M20" s="1133"/>
      <c r="N20" s="1133"/>
      <c r="O20" s="1141"/>
      <c r="P20" s="3207"/>
      <c r="Q20" s="1812"/>
      <c r="R20" s="774"/>
      <c r="S20" s="775"/>
      <c r="T20" s="774"/>
      <c r="U20" s="775"/>
      <c r="V20" s="774"/>
      <c r="W20" s="775"/>
      <c r="X20" s="1815"/>
      <c r="Y20" s="3207"/>
      <c r="Z20" s="1816"/>
      <c r="AA20" s="1813">
        <v>1</v>
      </c>
      <c r="AB20" s="1813">
        <v>1</v>
      </c>
      <c r="AC20" s="1813">
        <v>1</v>
      </c>
    </row>
    <row r="21" spans="1:29" ht="15">
      <c r="A21" s="428"/>
      <c r="B21" s="451" t="s">
        <v>2697</v>
      </c>
      <c r="C21" s="2603">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07"/>
      <c r="Q21" s="1812" t="str">
        <f>B21</f>
        <v>交通便捷度</v>
      </c>
      <c r="R21" s="774" t="s">
        <v>17</v>
      </c>
      <c r="S21" s="775">
        <f>F21</f>
        <v>100</v>
      </c>
      <c r="T21" s="774" t="s">
        <v>17</v>
      </c>
      <c r="U21" s="775">
        <f>H21</f>
        <v>100</v>
      </c>
      <c r="V21" s="774" t="s">
        <v>17</v>
      </c>
      <c r="W21" s="775">
        <f>J21</f>
        <v>100</v>
      </c>
      <c r="X21" s="1815"/>
      <c r="Y21" s="3207"/>
      <c r="Z21" s="1816" t="str">
        <f>Q21</f>
        <v>交通便捷度</v>
      </c>
      <c r="AA21" s="1813">
        <f t="shared" si="3"/>
        <v>1</v>
      </c>
      <c r="AB21" s="1813">
        <f t="shared" si="4"/>
        <v>1</v>
      </c>
      <c r="AC21" s="1813">
        <f t="shared" si="5"/>
        <v>1</v>
      </c>
    </row>
    <row r="22" spans="1:29" ht="15">
      <c r="A22" s="428"/>
      <c r="B22" s="1386"/>
      <c r="C22" s="447"/>
      <c r="D22" s="450"/>
      <c r="E22" s="2601"/>
      <c r="F22" s="448"/>
      <c r="G22" s="2601"/>
      <c r="H22" s="448"/>
      <c r="I22" s="2600"/>
      <c r="J22" s="448"/>
      <c r="K22" s="672"/>
      <c r="L22" s="1142"/>
      <c r="M22" s="1133"/>
      <c r="N22" s="1133"/>
      <c r="O22" s="1141"/>
      <c r="P22" s="3207"/>
      <c r="Q22" s="1812"/>
      <c r="R22" s="774"/>
      <c r="S22" s="775"/>
      <c r="T22" s="774"/>
      <c r="U22" s="775"/>
      <c r="V22" s="774"/>
      <c r="W22" s="775"/>
      <c r="X22" s="1815"/>
      <c r="Y22" s="3207"/>
      <c r="Z22" s="1816"/>
      <c r="AA22" s="1813">
        <v>1</v>
      </c>
      <c r="AB22" s="1813">
        <v>1</v>
      </c>
      <c r="AC22" s="1813">
        <v>1</v>
      </c>
    </row>
    <row r="23" spans="1:29" ht="15">
      <c r="A23" s="404"/>
      <c r="B23" s="451" t="s">
        <v>2736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07"/>
      <c r="Q23" s="1812" t="str">
        <f t="shared" ref="Q23:Q37" si="8">B23</f>
        <v>区域土地利用方向</v>
      </c>
      <c r="R23" s="774" t="s">
        <v>17</v>
      </c>
      <c r="S23" s="775">
        <f>F23</f>
        <v>100</v>
      </c>
      <c r="T23" s="774" t="s">
        <v>17</v>
      </c>
      <c r="U23" s="775">
        <f>H23</f>
        <v>100</v>
      </c>
      <c r="V23" s="774" t="s">
        <v>17</v>
      </c>
      <c r="W23" s="775">
        <f>J23</f>
        <v>100</v>
      </c>
      <c r="X23" s="1815"/>
      <c r="Y23" s="3207"/>
      <c r="Z23" s="1816" t="str">
        <f>Q23</f>
        <v>区域土地利用方向</v>
      </c>
      <c r="AA23" s="1813">
        <f t="shared" si="3"/>
        <v>1</v>
      </c>
      <c r="AB23" s="1813">
        <f t="shared" si="4"/>
        <v>1</v>
      </c>
      <c r="AC23" s="1813">
        <f t="shared" si="5"/>
        <v>1</v>
      </c>
    </row>
    <row r="24" spans="1:29" ht="15">
      <c r="A24" s="404"/>
      <c r="B24" s="456"/>
      <c r="C24" s="616"/>
      <c r="D24" s="448"/>
      <c r="E24" s="2601"/>
      <c r="F24" s="448"/>
      <c r="G24" s="2600"/>
      <c r="H24" s="448"/>
      <c r="I24" s="2600"/>
      <c r="J24" s="448"/>
      <c r="K24" s="812"/>
      <c r="L24" s="1142"/>
      <c r="M24" s="1133"/>
      <c r="N24" s="1133"/>
      <c r="O24" s="1141"/>
      <c r="P24" s="3207"/>
      <c r="Q24" s="1812"/>
      <c r="R24" s="774"/>
      <c r="S24" s="775"/>
      <c r="T24" s="774"/>
      <c r="U24" s="775"/>
      <c r="V24" s="774"/>
      <c r="W24" s="775"/>
      <c r="X24" s="1815"/>
      <c r="Y24" s="3207"/>
      <c r="Z24" s="1816"/>
      <c r="AA24" s="1813"/>
      <c r="AB24" s="1813"/>
      <c r="AC24" s="1813"/>
    </row>
    <row r="25" spans="1:29" ht="27">
      <c r="A25" s="404"/>
      <c r="B25" s="1386" t="s">
        <v>2737</v>
      </c>
      <c r="C25" s="2660">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07"/>
      <c r="Q25" s="1812" t="str">
        <f t="shared" si="8"/>
        <v>自然及人文环境状况</v>
      </c>
      <c r="R25" s="774" t="s">
        <v>17</v>
      </c>
      <c r="S25" s="775">
        <f>F25</f>
        <v>100</v>
      </c>
      <c r="T25" s="774" t="s">
        <v>17</v>
      </c>
      <c r="U25" s="775">
        <f>H25</f>
        <v>100</v>
      </c>
      <c r="V25" s="774" t="s">
        <v>17</v>
      </c>
      <c r="W25" s="775">
        <f>J25</f>
        <v>100</v>
      </c>
      <c r="X25" s="1815"/>
      <c r="Y25" s="3207"/>
      <c r="Z25" s="1816" t="str">
        <f>Q25</f>
        <v>自然及人文环境状况</v>
      </c>
      <c r="AA25" s="1813">
        <f t="shared" si="3"/>
        <v>1</v>
      </c>
      <c r="AB25" s="1813">
        <f t="shared" si="4"/>
        <v>1</v>
      </c>
      <c r="AC25" s="1813">
        <f t="shared" si="5"/>
        <v>1</v>
      </c>
    </row>
    <row r="26" spans="1:29" ht="15">
      <c r="A26" s="404"/>
      <c r="B26" s="456"/>
      <c r="C26" s="447"/>
      <c r="D26" s="448"/>
      <c r="E26" s="2607"/>
      <c r="F26" s="448"/>
      <c r="G26" s="2607"/>
      <c r="H26" s="448"/>
      <c r="I26" s="447"/>
      <c r="J26" s="448"/>
      <c r="K26" s="672"/>
      <c r="L26" s="1142"/>
      <c r="M26" s="1133"/>
      <c r="N26" s="1133"/>
      <c r="O26" s="1141"/>
      <c r="P26" s="3207"/>
      <c r="Q26" s="1812"/>
      <c r="R26" s="774"/>
      <c r="S26" s="775"/>
      <c r="T26" s="774"/>
      <c r="U26" s="775"/>
      <c r="V26" s="774"/>
      <c r="W26" s="775"/>
      <c r="X26" s="1815"/>
      <c r="Y26" s="3207"/>
      <c r="Z26" s="1816"/>
      <c r="AA26" s="1813">
        <v>1</v>
      </c>
      <c r="AB26" s="1813">
        <v>1</v>
      </c>
      <c r="AC26" s="1813">
        <v>1</v>
      </c>
    </row>
    <row r="27" spans="1:29" s="117" customFormat="1" ht="15">
      <c r="A27" s="649"/>
      <c r="B27" s="1386" t="s">
        <v>2642</v>
      </c>
      <c r="C27" s="2603">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07"/>
      <c r="Q27" s="1797" t="str">
        <f t="shared" si="8"/>
        <v>公共配套设施</v>
      </c>
      <c r="R27" s="770" t="s">
        <v>17</v>
      </c>
      <c r="S27" s="771">
        <f>F27</f>
        <v>100</v>
      </c>
      <c r="T27" s="770" t="s">
        <v>17</v>
      </c>
      <c r="U27" s="771">
        <f>H27</f>
        <v>100</v>
      </c>
      <c r="V27" s="770" t="s">
        <v>17</v>
      </c>
      <c r="W27" s="771">
        <f>J27</f>
        <v>100</v>
      </c>
      <c r="X27" s="772"/>
      <c r="Y27" s="3207"/>
      <c r="Z27" s="55" t="str">
        <f>Q27</f>
        <v>公共配套设施</v>
      </c>
      <c r="AA27" s="1813">
        <f>D27/F27</f>
        <v>1</v>
      </c>
      <c r="AB27" s="1813">
        <f>D27/H27</f>
        <v>1</v>
      </c>
      <c r="AC27" s="1813">
        <f>D27/J27</f>
        <v>1</v>
      </c>
    </row>
    <row r="28" spans="1:29" s="117" customFormat="1" ht="15">
      <c r="A28" s="649"/>
      <c r="B28" s="456"/>
      <c r="C28" s="2696"/>
      <c r="D28" s="448"/>
      <c r="E28" s="2607"/>
      <c r="F28" s="448"/>
      <c r="G28" s="2607"/>
      <c r="H28" s="448"/>
      <c r="I28" s="447"/>
      <c r="J28" s="448"/>
      <c r="K28" s="672"/>
      <c r="L28" s="1134"/>
      <c r="M28" s="1135"/>
      <c r="N28" s="1135"/>
      <c r="O28" s="1136"/>
      <c r="P28" s="3207"/>
      <c r="Q28" s="1797"/>
      <c r="R28" s="770"/>
      <c r="S28" s="771"/>
      <c r="T28" s="770"/>
      <c r="U28" s="771"/>
      <c r="V28" s="770"/>
      <c r="W28" s="771"/>
      <c r="X28" s="772"/>
      <c r="Y28" s="3207"/>
      <c r="Z28" s="55"/>
      <c r="AA28" s="1813">
        <v>1</v>
      </c>
      <c r="AB28" s="1813">
        <v>1</v>
      </c>
      <c r="AC28" s="1813">
        <v>1</v>
      </c>
    </row>
    <row r="29" spans="1:29" s="117" customFormat="1" ht="15">
      <c r="A29" s="649"/>
      <c r="B29" s="1386" t="s">
        <v>2643</v>
      </c>
      <c r="C29" s="260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07"/>
      <c r="Q29" s="1797" t="str">
        <f t="shared" ref="Q29" si="9">B29</f>
        <v>基础设施水平</v>
      </c>
      <c r="R29" s="770" t="s">
        <v>17</v>
      </c>
      <c r="S29" s="771">
        <f>F29</f>
        <v>100</v>
      </c>
      <c r="T29" s="770" t="s">
        <v>17</v>
      </c>
      <c r="U29" s="771">
        <f>H29</f>
        <v>100</v>
      </c>
      <c r="V29" s="770" t="s">
        <v>17</v>
      </c>
      <c r="W29" s="771">
        <f>J29</f>
        <v>100</v>
      </c>
      <c r="X29" s="772"/>
      <c r="Y29" s="3207"/>
      <c r="Z29" s="55" t="str">
        <f>Q29</f>
        <v>基础设施水平</v>
      </c>
      <c r="AA29" s="1813">
        <f>D29/F29</f>
        <v>1</v>
      </c>
      <c r="AB29" s="1813">
        <f>D29/H29</f>
        <v>1</v>
      </c>
      <c r="AC29" s="1813">
        <f>D29/J29</f>
        <v>1</v>
      </c>
    </row>
    <row r="30" spans="1:29" s="117" customFormat="1" ht="15">
      <c r="A30" s="649"/>
      <c r="B30" s="456"/>
      <c r="C30" s="2696"/>
      <c r="D30" s="448"/>
      <c r="E30" s="2697"/>
      <c r="F30" s="448"/>
      <c r="G30" s="2697"/>
      <c r="H30" s="448"/>
      <c r="I30" s="2697"/>
      <c r="J30" s="448"/>
      <c r="K30" s="672"/>
      <c r="L30" s="1134"/>
      <c r="M30" s="1135"/>
      <c r="N30" s="1135"/>
      <c r="O30" s="1136"/>
      <c r="P30" s="3207"/>
      <c r="Q30" s="1797"/>
      <c r="R30" s="770"/>
      <c r="S30" s="771"/>
      <c r="T30" s="770"/>
      <c r="U30" s="771"/>
      <c r="V30" s="770"/>
      <c r="W30" s="771"/>
      <c r="X30" s="772"/>
      <c r="Y30" s="3207"/>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07"/>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7"/>
      <c r="Z31" s="1816" t="str">
        <f t="shared" ref="Z31:Z45" si="13">Q31</f>
        <v>临街状况</v>
      </c>
      <c r="AA31" s="1813">
        <f t="shared" si="3"/>
        <v>1</v>
      </c>
      <c r="AB31" s="1813">
        <f t="shared" si="4"/>
        <v>1</v>
      </c>
      <c r="AC31" s="1813">
        <f t="shared" si="5"/>
        <v>1</v>
      </c>
    </row>
    <row r="32" spans="1:29" ht="27">
      <c r="A32" s="428"/>
      <c r="B32" s="1386"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07"/>
      <c r="Q32" s="1812" t="str">
        <f t="shared" si="8"/>
        <v>毗邻道路的类型与等级</v>
      </c>
      <c r="R32" s="774" t="s">
        <v>17</v>
      </c>
      <c r="S32" s="775">
        <f t="shared" si="10"/>
        <v>100</v>
      </c>
      <c r="T32" s="774" t="s">
        <v>17</v>
      </c>
      <c r="U32" s="775">
        <f t="shared" si="11"/>
        <v>100</v>
      </c>
      <c r="V32" s="774" t="s">
        <v>17</v>
      </c>
      <c r="W32" s="775">
        <f t="shared" si="12"/>
        <v>100</v>
      </c>
      <c r="X32" s="1815"/>
      <c r="Y32" s="3207"/>
      <c r="Z32" s="1816" t="str">
        <f t="shared" si="13"/>
        <v>毗邻道路的类型与等级</v>
      </c>
      <c r="AA32" s="1813">
        <f t="shared" si="3"/>
        <v>1</v>
      </c>
      <c r="AB32" s="1813">
        <f t="shared" si="4"/>
        <v>1</v>
      </c>
      <c r="AC32" s="1813">
        <f t="shared" si="5"/>
        <v>1</v>
      </c>
    </row>
    <row r="33" spans="1:29" ht="15">
      <c r="A33" s="428"/>
      <c r="B33" s="456"/>
      <c r="C33" s="447"/>
      <c r="D33" s="448"/>
      <c r="E33" s="2607"/>
      <c r="F33" s="448"/>
      <c r="G33" s="2607"/>
      <c r="H33" s="448"/>
      <c r="I33" s="447"/>
      <c r="J33" s="448"/>
      <c r="K33" s="613"/>
      <c r="L33" s="1142"/>
      <c r="M33" s="1133"/>
      <c r="N33" s="1133"/>
      <c r="O33" s="1141"/>
      <c r="P33" s="3207"/>
      <c r="Q33" s="1812"/>
      <c r="R33" s="774"/>
      <c r="S33" s="775"/>
      <c r="T33" s="774"/>
      <c r="U33" s="775"/>
      <c r="V33" s="774"/>
      <c r="W33" s="775"/>
      <c r="X33" s="1815"/>
      <c r="Y33" s="3207"/>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07"/>
      <c r="Q34" s="1812" t="str">
        <f t="shared" si="8"/>
        <v>土地级别</v>
      </c>
      <c r="R34" s="774" t="s">
        <v>17</v>
      </c>
      <c r="S34" s="775">
        <f t="shared" si="10"/>
        <v>100</v>
      </c>
      <c r="T34" s="774" t="s">
        <v>17</v>
      </c>
      <c r="U34" s="775">
        <f t="shared" si="11"/>
        <v>100</v>
      </c>
      <c r="V34" s="774" t="s">
        <v>17</v>
      </c>
      <c r="W34" s="775">
        <f t="shared" si="12"/>
        <v>100</v>
      </c>
      <c r="X34" s="1815"/>
      <c r="Y34" s="3207"/>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7"/>
      <c r="Q35" s="1812">
        <f t="shared" si="8"/>
        <v>111</v>
      </c>
      <c r="R35" s="774" t="s">
        <v>17</v>
      </c>
      <c r="S35" s="775">
        <f t="shared" si="10"/>
        <v>100</v>
      </c>
      <c r="T35" s="774" t="s">
        <v>17</v>
      </c>
      <c r="U35" s="775">
        <f t="shared" si="11"/>
        <v>100</v>
      </c>
      <c r="V35" s="774" t="s">
        <v>17</v>
      </c>
      <c r="W35" s="775">
        <f t="shared" si="12"/>
        <v>100</v>
      </c>
      <c r="X35" s="1815"/>
      <c r="Y35" s="3207"/>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8" t="s">
        <v>2553</v>
      </c>
      <c r="Q36" s="1812">
        <f t="shared" si="8"/>
        <v>111</v>
      </c>
      <c r="R36" s="774" t="s">
        <v>17</v>
      </c>
      <c r="S36" s="775">
        <f t="shared" si="10"/>
        <v>100</v>
      </c>
      <c r="T36" s="774" t="s">
        <v>17</v>
      </c>
      <c r="U36" s="775">
        <f t="shared" si="11"/>
        <v>100</v>
      </c>
      <c r="V36" s="774" t="s">
        <v>17</v>
      </c>
      <c r="W36" s="775">
        <f t="shared" si="12"/>
        <v>100</v>
      </c>
      <c r="X36" s="1815"/>
      <c r="Y36" s="3209" t="s">
        <v>2553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09"/>
      <c r="Q37" s="1812">
        <f t="shared" si="8"/>
        <v>111</v>
      </c>
      <c r="R37" s="777" t="s">
        <v>17</v>
      </c>
      <c r="S37" s="778">
        <f t="shared" si="10"/>
        <v>100</v>
      </c>
      <c r="T37" s="777" t="s">
        <v>17</v>
      </c>
      <c r="U37" s="778">
        <f t="shared" si="11"/>
        <v>100</v>
      </c>
      <c r="V37" s="777" t="s">
        <v>17</v>
      </c>
      <c r="W37" s="778">
        <f t="shared" si="12"/>
        <v>100</v>
      </c>
      <c r="X37" s="779"/>
      <c r="Y37" s="3209"/>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09"/>
      <c r="Q38" s="1812" t="str">
        <f>B38</f>
        <v>宗地面积</v>
      </c>
      <c r="R38" s="774" t="s">
        <v>17</v>
      </c>
      <c r="S38" s="775" t="e">
        <f t="shared" si="10"/>
        <v>#N/A</v>
      </c>
      <c r="T38" s="774" t="s">
        <v>17</v>
      </c>
      <c r="U38" s="775" t="e">
        <f t="shared" si="11"/>
        <v>#N/A</v>
      </c>
      <c r="V38" s="774" t="s">
        <v>17</v>
      </c>
      <c r="W38" s="775" t="e">
        <f t="shared" si="12"/>
        <v>#N/A</v>
      </c>
      <c r="X38" s="1815"/>
      <c r="Y38" s="3209"/>
      <c r="Z38" s="1816" t="str">
        <f t="shared" si="13"/>
        <v>宗地面积</v>
      </c>
      <c r="AA38" s="1813" t="e">
        <f t="shared" si="3"/>
        <v>#N/A</v>
      </c>
      <c r="AB38" s="1813" t="e">
        <f t="shared" si="4"/>
        <v>#N/A</v>
      </c>
      <c r="AC38" s="1813" t="e">
        <f t="shared" si="5"/>
        <v>#N/A</v>
      </c>
    </row>
    <row r="39" spans="1:29" ht="15">
      <c r="A39" s="472"/>
      <c r="B39" s="422" t="s">
        <v>2740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2"/>
      <c r="M39" s="1133"/>
      <c r="N39" s="1133"/>
      <c r="O39" s="1141"/>
      <c r="P39" s="3209"/>
      <c r="Q39" s="1812" t="str">
        <f t="shared" ref="Q39:Q45" si="14">B39</f>
        <v>宗地形状</v>
      </c>
      <c r="R39" s="774" t="s">
        <v>17</v>
      </c>
      <c r="S39" s="775">
        <f t="shared" si="10"/>
        <v>100</v>
      </c>
      <c r="T39" s="774" t="s">
        <v>17</v>
      </c>
      <c r="U39" s="775">
        <f t="shared" si="11"/>
        <v>100</v>
      </c>
      <c r="V39" s="774" t="s">
        <v>17</v>
      </c>
      <c r="W39" s="775">
        <f t="shared" si="12"/>
        <v>100</v>
      </c>
      <c r="X39" s="1815"/>
      <c r="Y39" s="3209"/>
      <c r="Z39" s="1816" t="str">
        <f t="shared" si="13"/>
        <v>宗地形状</v>
      </c>
      <c r="AA39" s="1813">
        <f t="shared" si="3"/>
        <v>1</v>
      </c>
      <c r="AB39" s="1813">
        <f t="shared" si="4"/>
        <v>1</v>
      </c>
      <c r="AC39" s="1813">
        <f t="shared" si="5"/>
        <v>1</v>
      </c>
    </row>
    <row r="40" spans="1:29" ht="15">
      <c r="A40" s="472"/>
      <c r="B40" s="422" t="s">
        <v>2741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2"/>
      <c r="M40" s="1133"/>
      <c r="N40" s="1133"/>
      <c r="O40" s="1141"/>
      <c r="P40" s="3209"/>
      <c r="Q40" s="1812" t="str">
        <f t="shared" si="14"/>
        <v>临街宽度及深度</v>
      </c>
      <c r="R40" s="774" t="s">
        <v>17</v>
      </c>
      <c r="S40" s="775">
        <f t="shared" si="10"/>
        <v>100</v>
      </c>
      <c r="T40" s="774" t="s">
        <v>17</v>
      </c>
      <c r="U40" s="775">
        <f t="shared" si="11"/>
        <v>100</v>
      </c>
      <c r="V40" s="774" t="s">
        <v>17</v>
      </c>
      <c r="W40" s="775">
        <f t="shared" si="12"/>
        <v>100</v>
      </c>
      <c r="X40" s="1815"/>
      <c r="Y40" s="3209"/>
      <c r="Z40" s="1816" t="str">
        <f t="shared" si="13"/>
        <v>临街宽度及深度</v>
      </c>
      <c r="AA40" s="1813">
        <f t="shared" si="3"/>
        <v>1</v>
      </c>
      <c r="AB40" s="1813">
        <f t="shared" si="4"/>
        <v>1</v>
      </c>
      <c r="AC40" s="1813">
        <f t="shared" si="5"/>
        <v>1</v>
      </c>
    </row>
    <row r="41" spans="1:29" s="117" customFormat="1" ht="15">
      <c r="A41" s="473"/>
      <c r="B41" s="422" t="s">
        <v>2742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4"/>
      <c r="M41" s="1135"/>
      <c r="N41" s="1135"/>
      <c r="O41" s="1136"/>
      <c r="P41" s="3209"/>
      <c r="Q41" s="1812"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2743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2"/>
      <c r="M42" s="1133"/>
      <c r="N42" s="1133"/>
      <c r="O42" s="1141"/>
      <c r="P42" s="3209" t="s">
        <v>2553</v>
      </c>
      <c r="Q42" s="1812" t="str">
        <f t="shared" si="14"/>
        <v>工程地质条件</v>
      </c>
      <c r="R42" s="774" t="s">
        <v>17</v>
      </c>
      <c r="S42" s="775">
        <f t="shared" si="10"/>
        <v>100</v>
      </c>
      <c r="T42" s="774" t="s">
        <v>17</v>
      </c>
      <c r="U42" s="775">
        <f t="shared" si="11"/>
        <v>100</v>
      </c>
      <c r="V42" s="774" t="s">
        <v>17</v>
      </c>
      <c r="W42" s="775">
        <f t="shared" si="12"/>
        <v>100</v>
      </c>
      <c r="X42" s="1815"/>
      <c r="Y42" s="3209" t="s">
        <v>2553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09"/>
      <c r="Q43" s="1812">
        <f t="shared" si="14"/>
        <v>111</v>
      </c>
      <c r="R43" s="774" t="s">
        <v>17</v>
      </c>
      <c r="S43" s="775">
        <f t="shared" si="10"/>
        <v>100</v>
      </c>
      <c r="T43" s="774" t="s">
        <v>17</v>
      </c>
      <c r="U43" s="775">
        <f t="shared" si="11"/>
        <v>100</v>
      </c>
      <c r="V43" s="774" t="s">
        <v>17</v>
      </c>
      <c r="W43" s="775">
        <f t="shared" si="12"/>
        <v>100</v>
      </c>
      <c r="X43" s="1815"/>
      <c r="Y43" s="3209"/>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09"/>
      <c r="Q44" s="1812">
        <f t="shared" si="14"/>
        <v>111</v>
      </c>
      <c r="R44" s="774" t="s">
        <v>17</v>
      </c>
      <c r="S44" s="775">
        <f t="shared" si="10"/>
        <v>100</v>
      </c>
      <c r="T44" s="774" t="s">
        <v>17</v>
      </c>
      <c r="U44" s="775">
        <f t="shared" si="11"/>
        <v>100</v>
      </c>
      <c r="V44" s="774" t="s">
        <v>17</v>
      </c>
      <c r="W44" s="775">
        <f t="shared" si="12"/>
        <v>100</v>
      </c>
      <c r="X44" s="1815"/>
      <c r="Y44" s="3209"/>
      <c r="Z44" s="1816">
        <f t="shared" si="13"/>
        <v>111</v>
      </c>
      <c r="AA44" s="1813">
        <f t="shared" si="3"/>
        <v>1</v>
      </c>
      <c r="AB44" s="1813">
        <f t="shared" si="4"/>
        <v>1</v>
      </c>
      <c r="AC44" s="1813">
        <f t="shared" si="5"/>
        <v>1</v>
      </c>
    </row>
    <row r="45" spans="1:29" s="471" customFormat="1" ht="15.75" thickBot="1">
      <c r="A45" s="468"/>
      <c r="B45" s="1389">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09"/>
      <c r="Q45" s="1812">
        <f t="shared" si="14"/>
        <v>111</v>
      </c>
      <c r="R45" s="777" t="s">
        <v>17</v>
      </c>
      <c r="S45" s="778">
        <f t="shared" si="10"/>
        <v>100</v>
      </c>
      <c r="T45" s="777" t="s">
        <v>17</v>
      </c>
      <c r="U45" s="778">
        <f t="shared" si="11"/>
        <v>100</v>
      </c>
      <c r="V45" s="777" t="s">
        <v>17</v>
      </c>
      <c r="W45" s="778">
        <f t="shared" si="12"/>
        <v>100</v>
      </c>
      <c r="X45" s="779"/>
      <c r="Y45" s="3209"/>
      <c r="Z45" s="780">
        <f t="shared" si="13"/>
        <v>111</v>
      </c>
      <c r="AA45" s="1813">
        <f t="shared" si="3"/>
        <v>1</v>
      </c>
      <c r="AB45" s="1813">
        <f t="shared" si="4"/>
        <v>1</v>
      </c>
      <c r="AC45" s="1813">
        <f t="shared" si="5"/>
        <v>1</v>
      </c>
    </row>
    <row r="46" spans="1:29" ht="15">
      <c r="A46" s="479" t="s">
        <v>2708</v>
      </c>
      <c r="B46" s="2700" t="s">
        <v>2744</v>
      </c>
      <c r="C46" s="682" t="s">
        <v>1</v>
      </c>
      <c r="D46" s="481"/>
      <c r="E46" s="482"/>
      <c r="F46" s="483"/>
      <c r="G46" s="484"/>
      <c r="H46" s="485"/>
      <c r="I46" s="482"/>
      <c r="J46" s="485"/>
      <c r="K46" s="783"/>
      <c r="L46" s="1145"/>
      <c r="M46" s="1146"/>
      <c r="N46" s="1133"/>
      <c r="O46" s="1146"/>
      <c r="P46" s="3201" t="str">
        <f>A46</f>
        <v>成交单价</v>
      </c>
      <c r="Q46" s="3201"/>
      <c r="R46" s="3230">
        <f>E46</f>
        <v>0</v>
      </c>
      <c r="S46" s="3230"/>
      <c r="T46" s="3230">
        <f>G46</f>
        <v>0</v>
      </c>
      <c r="U46" s="3230"/>
      <c r="V46" s="3230">
        <f>I46</f>
        <v>0</v>
      </c>
      <c r="W46" s="3230"/>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5"/>
      <c r="M47" s="1146"/>
      <c r="N47" s="1146"/>
      <c r="O47" s="1146"/>
      <c r="P47" s="3201" t="str">
        <f>A47</f>
        <v>比较价值（元/平方米）</v>
      </c>
      <c r="Q47" s="3201"/>
      <c r="R47" s="3292" t="e">
        <f>ROUND(PRODUCT(R46,AA7:AA45),0)</f>
        <v>#DIV/0!</v>
      </c>
      <c r="S47" s="3292"/>
      <c r="T47" s="3292" t="e">
        <f>ROUND(PRODUCT(T46,AB7:AB45),0)</f>
        <v>#DIV/0!</v>
      </c>
      <c r="U47" s="3292"/>
      <c r="V47" s="3292" t="e">
        <f>ROUND(PRODUCT(V46,AC7:AC45),0)</f>
        <v>#DIV/0!</v>
      </c>
      <c r="W47" s="3292"/>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5"/>
      <c r="M48" s="1146"/>
      <c r="N48" s="1146"/>
      <c r="O48" s="1146"/>
      <c r="P48" s="3203" t="str">
        <f>A48</f>
        <v>估价对象XX用房的比较价值（楼面单价，元/平方米）</v>
      </c>
      <c r="Q48" s="3204"/>
      <c r="R48" s="3293" t="e">
        <f>ROUND(AVERAGE(R47:V47),0)</f>
        <v>#DIV/0!</v>
      </c>
      <c r="S48" s="3293"/>
      <c r="T48" s="3293"/>
      <c r="U48" s="3293"/>
      <c r="V48" s="3293"/>
      <c r="W48" s="3293"/>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2746</v>
      </c>
      <c r="B55" s="685" t="s">
        <v>2747</v>
      </c>
      <c r="C55" s="2701" t="s">
        <v>2748</v>
      </c>
      <c r="D55" s="2702" t="s">
        <v>2749</v>
      </c>
      <c r="E55" s="686" t="s">
        <v>2750</v>
      </c>
      <c r="F55" s="1109" t="s">
        <v>2751</v>
      </c>
      <c r="G55" s="3214" t="s">
        <v>2752</v>
      </c>
      <c r="H55" s="3294"/>
      <c r="I55" s="144" t="s">
        <v>2753</v>
      </c>
      <c r="J55" s="2703">
        <f>项目基本情况!F35</f>
        <v>0</v>
      </c>
      <c r="K55" s="2704" t="s">
        <v>2754</v>
      </c>
      <c r="L55" s="1108"/>
      <c r="M55" s="1146"/>
      <c r="N55" s="1146"/>
      <c r="O55" s="1146"/>
    </row>
    <row r="56" spans="1:15" s="692" customFormat="1">
      <c r="A56" s="688" t="s">
        <v>2755</v>
      </c>
      <c r="B56" s="689" t="e">
        <f>C48</f>
        <v>#DIV/0!</v>
      </c>
      <c r="C56" s="690">
        <v>1</v>
      </c>
      <c r="D56" s="1165">
        <v>1</v>
      </c>
      <c r="E56" s="690">
        <f>'数据-汇总表'!E8+'数据-汇总表'!E9</f>
        <v>1246.4000000000001</v>
      </c>
      <c r="F56" s="1105" t="e">
        <f t="shared" ref="F56:F65" si="15">ROUND(B56*E56/10000,0)</f>
        <v>#DIV/0!</v>
      </c>
      <c r="G56" s="3274"/>
      <c r="H56" s="3201"/>
      <c r="I56" s="1110">
        <v>1</v>
      </c>
      <c r="J56" s="1113">
        <v>1</v>
      </c>
      <c r="K56" s="1147"/>
      <c r="L56" s="944"/>
      <c r="M56" s="944"/>
      <c r="N56" s="944"/>
      <c r="O56" s="944"/>
    </row>
    <row r="57" spans="1:15" s="692" customFormat="1">
      <c r="A57" s="693" t="s">
        <v>2756</v>
      </c>
      <c r="B57" s="262" t="e">
        <f>ROUND($C$48*C57*D57,0)</f>
        <v>#DIV/0!</v>
      </c>
      <c r="C57" s="200">
        <f t="shared" ref="C57:C65" si="16">IF($C$55="北京市系数",I57,J57)</f>
        <v>0</v>
      </c>
      <c r="D57" s="1166">
        <v>0.25</v>
      </c>
      <c r="E57" s="694"/>
      <c r="F57" s="1105" t="e">
        <f t="shared" si="15"/>
        <v>#DIV/0!</v>
      </c>
      <c r="G57" s="3295" t="s">
        <v>2757</v>
      </c>
      <c r="H57" s="1106">
        <f>项目基本情况!B37</f>
        <v>0</v>
      </c>
      <c r="I57" s="1110">
        <f>SUMIF(修正!A45:A56,H57,修正!B45:B56)</f>
        <v>0</v>
      </c>
      <c r="J57" s="1114"/>
      <c r="K57" s="1146"/>
      <c r="L57" s="944"/>
      <c r="M57" s="944"/>
      <c r="N57" s="944"/>
      <c r="O57" s="944"/>
    </row>
    <row r="58" spans="1:15" s="692" customFormat="1">
      <c r="A58" s="693" t="s">
        <v>2758</v>
      </c>
      <c r="B58" s="262" t="e">
        <f t="shared" ref="B58:B65" si="17">ROUND($C$48*C58*D58,0)</f>
        <v>#DIV/0!</v>
      </c>
      <c r="C58" s="200">
        <f t="shared" si="16"/>
        <v>0</v>
      </c>
      <c r="D58" s="1166">
        <v>0.25</v>
      </c>
      <c r="E58" s="694"/>
      <c r="F58" s="1105" t="e">
        <f t="shared" si="15"/>
        <v>#DIV/0!</v>
      </c>
      <c r="G58" s="3295"/>
      <c r="H58" s="1106">
        <f>项目基本情况!B37</f>
        <v>0</v>
      </c>
      <c r="I58" s="1110">
        <f>SUMIF(修正!A45:A56,H58,修正!C45:C56)</f>
        <v>0</v>
      </c>
      <c r="J58" s="1114"/>
      <c r="K58" s="1147"/>
      <c r="L58" s="944"/>
      <c r="M58" s="944"/>
      <c r="N58" s="944"/>
      <c r="O58" s="944"/>
    </row>
    <row r="59" spans="1:15" s="692" customFormat="1">
      <c r="A59" s="693" t="s">
        <v>2759</v>
      </c>
      <c r="B59" s="262" t="e">
        <f t="shared" si="17"/>
        <v>#DIV/0!</v>
      </c>
      <c r="C59" s="200">
        <f t="shared" si="16"/>
        <v>0</v>
      </c>
      <c r="D59" s="1166">
        <v>0.25</v>
      </c>
      <c r="E59" s="694"/>
      <c r="F59" s="1105" t="e">
        <f t="shared" si="15"/>
        <v>#DIV/0!</v>
      </c>
      <c r="G59" s="3295"/>
      <c r="H59" s="1106">
        <f>项目基本情况!B37</f>
        <v>0</v>
      </c>
      <c r="I59" s="1110">
        <f>SUMIF(修正!A45:A56,H59,修正!D45:D56)</f>
        <v>0</v>
      </c>
      <c r="J59" s="1114"/>
      <c r="K59" s="1146"/>
      <c r="L59" s="944"/>
      <c r="M59" s="944"/>
      <c r="N59" s="944"/>
      <c r="O59" s="944"/>
    </row>
    <row r="60" spans="1:15" s="692" customFormat="1">
      <c r="A60" s="693" t="s">
        <v>2760</v>
      </c>
      <c r="B60" s="262" t="e">
        <f t="shared" si="17"/>
        <v>#DIV/0!</v>
      </c>
      <c r="C60" s="200">
        <f t="shared" si="16"/>
        <v>0</v>
      </c>
      <c r="D60" s="1166">
        <v>0.25</v>
      </c>
      <c r="E60" s="694"/>
      <c r="F60" s="1105" t="e">
        <f t="shared" si="15"/>
        <v>#DIV/0!</v>
      </c>
      <c r="G60" s="3295"/>
      <c r="H60" s="1106">
        <f>项目基本情况!B37</f>
        <v>0</v>
      </c>
      <c r="I60" s="1110">
        <f>SUMIF(修正!A45:A56,H60,修正!E45:E56)</f>
        <v>0</v>
      </c>
      <c r="J60" s="1114"/>
      <c r="K60" s="1147"/>
      <c r="L60" s="944"/>
      <c r="M60" s="944"/>
      <c r="N60" s="944"/>
      <c r="O60" s="944"/>
    </row>
    <row r="61" spans="1:15" s="692" customFormat="1">
      <c r="A61" s="693" t="s">
        <v>2761</v>
      </c>
      <c r="B61" s="262" t="e">
        <f t="shared" si="17"/>
        <v>#DIV/0!</v>
      </c>
      <c r="C61" s="200">
        <f t="shared" si="16"/>
        <v>0</v>
      </c>
      <c r="D61" s="1166">
        <v>0.25</v>
      </c>
      <c r="E61" s="261">
        <f>'数据-汇总表'!E11</f>
        <v>0</v>
      </c>
      <c r="F61" s="1105" t="e">
        <f t="shared" si="15"/>
        <v>#DIV/0!</v>
      </c>
      <c r="G61" s="2705" t="s">
        <v>2762</v>
      </c>
      <c r="H61" s="1106">
        <f>项目基本情况!C37</f>
        <v>0</v>
      </c>
      <c r="I61" s="1110">
        <f>SUMIF(修正!A45:A56,H61,修正!F45:F56)</f>
        <v>0</v>
      </c>
      <c r="J61" s="1114"/>
      <c r="K61" s="1146"/>
      <c r="L61" s="944"/>
      <c r="M61" s="944"/>
      <c r="N61" s="944"/>
      <c r="O61" s="944"/>
    </row>
    <row r="62" spans="1:15" s="692" customFormat="1">
      <c r="A62" s="693" t="s">
        <v>2763</v>
      </c>
      <c r="B62" s="262" t="e">
        <f t="shared" si="17"/>
        <v>#DIV/0!</v>
      </c>
      <c r="C62" s="200">
        <f t="shared" si="16"/>
        <v>0</v>
      </c>
      <c r="D62" s="1166">
        <v>0.25</v>
      </c>
      <c r="E62" s="261">
        <f>'数据-汇总表'!E12</f>
        <v>0</v>
      </c>
      <c r="F62" s="1105" t="e">
        <f t="shared" si="15"/>
        <v>#DIV/0!</v>
      </c>
      <c r="G62" s="1111" t="s">
        <v>2764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2765</v>
      </c>
      <c r="B63" s="262" t="e">
        <f t="shared" si="17"/>
        <v>#DIV/0!</v>
      </c>
      <c r="C63" s="200">
        <f t="shared" si="16"/>
        <v>0</v>
      </c>
      <c r="D63" s="1166">
        <v>0.25</v>
      </c>
      <c r="E63" s="261">
        <f>'数据-汇总表'!E13</f>
        <v>0</v>
      </c>
      <c r="F63" s="1105" t="e">
        <f t="shared" si="15"/>
        <v>#DIV/0!</v>
      </c>
      <c r="G63" s="1111" t="s">
        <v>2766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2767</v>
      </c>
      <c r="B64" s="262" t="e">
        <f t="shared" si="17"/>
        <v>#DIV/0!</v>
      </c>
      <c r="C64" s="200">
        <f t="shared" si="16"/>
        <v>0</v>
      </c>
      <c r="D64" s="1166">
        <v>0.25</v>
      </c>
      <c r="E64" s="261">
        <f>'数据-汇总表'!E14</f>
        <v>0</v>
      </c>
      <c r="F64" s="1105" t="e">
        <f t="shared" si="15"/>
        <v>#DIV/0!</v>
      </c>
      <c r="G64" s="2705" t="s">
        <v>2757</v>
      </c>
      <c r="H64" s="1106">
        <f>项目基本情况!B37</f>
        <v>0</v>
      </c>
      <c r="I64" s="1110">
        <f>SUMIF(修正!A45:A56,H64,修正!H45:H56)</f>
        <v>0</v>
      </c>
      <c r="J64" s="1114"/>
      <c r="K64" s="1147"/>
      <c r="L64" s="944"/>
      <c r="M64" s="944"/>
      <c r="N64" s="944"/>
      <c r="O64" s="944"/>
    </row>
    <row r="65" spans="1:17" s="692" customFormat="1" ht="15" thickBot="1">
      <c r="A65" s="693" t="s">
        <v>2768</v>
      </c>
      <c r="B65" s="262" t="e">
        <f t="shared" si="17"/>
        <v>#DIV/0!</v>
      </c>
      <c r="C65" s="200">
        <f t="shared" si="16"/>
        <v>0</v>
      </c>
      <c r="D65" s="1166">
        <v>0.25</v>
      </c>
      <c r="E65" s="261">
        <f>'数据-汇总表'!E15</f>
        <v>0</v>
      </c>
      <c r="F65" s="1105" t="e">
        <f t="shared" si="15"/>
        <v>#DIV/0!</v>
      </c>
      <c r="G65" s="2706" t="s">
        <v>2762</v>
      </c>
      <c r="H65" s="1116">
        <f>项目基本情况!C37</f>
        <v>0</v>
      </c>
      <c r="I65" s="1112">
        <f>SUMIF(修正!A45:A56,H65,修正!H45:H56)</f>
        <v>0</v>
      </c>
      <c r="J65" s="1115"/>
      <c r="K65" s="1146"/>
      <c r="L65" s="944"/>
      <c r="M65" s="944"/>
      <c r="N65" s="944"/>
      <c r="O65" s="944"/>
    </row>
    <row r="66" spans="1:17" s="692" customFormat="1" ht="13.5" thickBot="1">
      <c r="A66" s="695" t="s">
        <v>2769</v>
      </c>
      <c r="B66" s="696" t="s">
        <v>28</v>
      </c>
      <c r="C66" s="696" t="s">
        <v>29</v>
      </c>
      <c r="D66" s="696" t="s">
        <v>1029</v>
      </c>
      <c r="E66" s="696">
        <f>IF(B46="楼面地价",SUM(E56:E65),'数据-汇总表'!D3)</f>
        <v>1246.4000000000001</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2662</v>
      </c>
      <c r="B69" s="759"/>
      <c r="C69" s="764"/>
      <c r="D69" s="764"/>
      <c r="E69" s="764"/>
      <c r="F69" s="765"/>
      <c r="G69" s="765"/>
      <c r="H69" s="764"/>
      <c r="I69" s="764"/>
      <c r="J69" s="1161"/>
      <c r="K69" s="1162"/>
      <c r="L69" s="1163"/>
      <c r="M69" s="1161"/>
      <c r="N69" s="1161"/>
      <c r="O69" s="1161"/>
      <c r="P69" s="503"/>
      <c r="Q69" s="504"/>
    </row>
    <row r="70" spans="1:17" s="508" customFormat="1" ht="15">
      <c r="A70" s="2707" t="s">
        <v>2770</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8" t="s">
        <v>2771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2573</v>
      </c>
      <c r="B72" s="516"/>
      <c r="C72" s="517"/>
      <c r="D72" s="518"/>
      <c r="E72" s="518"/>
      <c r="F72" s="518"/>
      <c r="G72" s="518"/>
      <c r="H72" s="518"/>
      <c r="I72" s="518"/>
      <c r="J72" s="518"/>
      <c r="K72" s="518"/>
      <c r="L72" s="518"/>
      <c r="M72" s="519"/>
      <c r="N72" s="518"/>
      <c r="O72" s="1164"/>
      <c r="P72" s="504"/>
      <c r="Q72" s="504"/>
    </row>
    <row r="73" spans="1:17" s="117" customFormat="1" ht="15">
      <c r="A73" s="521" t="s">
        <v>2538</v>
      </c>
      <c r="B73" s="510"/>
      <c r="C73" s="522" t="s">
        <v>2640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2576</v>
      </c>
      <c r="B75" s="528" t="s">
        <v>2542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4" t="s">
        <v>2634</v>
      </c>
      <c r="D4" s="3215"/>
      <c r="E4" s="3216" t="s">
        <v>2635</v>
      </c>
      <c r="F4" s="3217"/>
      <c r="G4" s="3214" t="s">
        <v>2636</v>
      </c>
      <c r="H4" s="3215"/>
      <c r="I4" s="3214" t="s">
        <v>2637</v>
      </c>
      <c r="J4" s="3215"/>
      <c r="K4" s="610" t="s">
        <v>2638</v>
      </c>
      <c r="L4" s="1132"/>
      <c r="M4" s="1133"/>
      <c r="N4" s="1133"/>
      <c r="O4" s="1133"/>
      <c r="P4" s="3218" t="s">
        <v>2639</v>
      </c>
      <c r="Q4" s="3219"/>
      <c r="R4" s="3224" t="s">
        <v>2635</v>
      </c>
      <c r="S4" s="3225"/>
      <c r="T4" s="3224" t="s">
        <v>2636</v>
      </c>
      <c r="U4" s="3225"/>
      <c r="V4" s="3230" t="s">
        <v>2637</v>
      </c>
      <c r="W4" s="3230"/>
      <c r="X4" s="1815"/>
      <c r="Y4" s="3224" t="s">
        <v>2639</v>
      </c>
      <c r="Z4" s="3225"/>
      <c r="AA4" s="3211" t="s">
        <v>2635</v>
      </c>
      <c r="AB4" s="3212" t="s">
        <v>2636</v>
      </c>
      <c r="AC4" s="3211" t="s">
        <v>2637</v>
      </c>
    </row>
    <row r="5" spans="1:29" ht="15">
      <c r="A5" s="404"/>
      <c r="B5" s="405"/>
      <c r="C5" s="3275" t="s">
        <v>2530</v>
      </c>
      <c r="D5" s="3239"/>
      <c r="E5" s="3276" t="s">
        <v>2531</v>
      </c>
      <c r="F5" s="3234"/>
      <c r="G5" s="3275" t="s">
        <v>2532</v>
      </c>
      <c r="H5" s="3239"/>
      <c r="I5" s="3275" t="s">
        <v>2533</v>
      </c>
      <c r="J5" s="3239"/>
      <c r="K5" s="610"/>
      <c r="L5" s="1132"/>
      <c r="M5" s="1133"/>
      <c r="N5" s="1133"/>
      <c r="O5" s="1133"/>
      <c r="P5" s="3220"/>
      <c r="Q5" s="3221"/>
      <c r="R5" s="3226"/>
      <c r="S5" s="3227"/>
      <c r="T5" s="3226"/>
      <c r="U5" s="3227"/>
      <c r="V5" s="3230"/>
      <c r="W5" s="3230"/>
      <c r="X5" s="1815"/>
      <c r="Y5" s="3226"/>
      <c r="Z5" s="3227"/>
      <c r="AA5" s="3212"/>
      <c r="AB5" s="3212"/>
      <c r="AC5" s="3212"/>
    </row>
    <row r="6" spans="1:29" ht="15.75" thickBot="1">
      <c r="A6" s="406"/>
      <c r="B6" s="407"/>
      <c r="C6" s="3296" t="s">
        <v>2785</v>
      </c>
      <c r="D6" s="3297"/>
      <c r="E6" s="3298" t="s">
        <v>2785</v>
      </c>
      <c r="F6" s="3299"/>
      <c r="G6" s="3296" t="s">
        <v>2785</v>
      </c>
      <c r="H6" s="3297"/>
      <c r="I6" s="3296" t="s">
        <v>2785</v>
      </c>
      <c r="J6" s="3297"/>
      <c r="K6" s="610" t="s">
        <v>2535</v>
      </c>
      <c r="L6" s="1132"/>
      <c r="M6" s="1133"/>
      <c r="N6" s="1133"/>
      <c r="O6" s="1133"/>
      <c r="P6" s="3222"/>
      <c r="Q6" s="3223"/>
      <c r="R6" s="3226"/>
      <c r="S6" s="3227"/>
      <c r="T6" s="3228"/>
      <c r="U6" s="3229"/>
      <c r="V6" s="3230"/>
      <c r="W6" s="3230"/>
      <c r="X6" s="1815"/>
      <c r="Y6" s="3228"/>
      <c r="Z6" s="3229"/>
      <c r="AA6" s="3213"/>
      <c r="AB6" s="3213"/>
      <c r="AC6" s="3213"/>
    </row>
    <row r="7" spans="1:29" s="117" customFormat="1" ht="15.75" thickBot="1">
      <c r="A7" s="408" t="s">
        <v>2536</v>
      </c>
      <c r="B7" s="409"/>
      <c r="C7" s="410">
        <f>'数据-取费表'!B2</f>
        <v>43165</v>
      </c>
      <c r="D7" s="411">
        <v>100</v>
      </c>
      <c r="E7" s="412"/>
      <c r="F7" s="413">
        <f>SUMIF(65:65,YEAR(E7)&amp;"-"&amp;INT((MONTH(E7)+2)/3),66:66)</f>
        <v>0</v>
      </c>
      <c r="G7" s="2692"/>
      <c r="H7" s="411">
        <f>SUMIF(65:65,YEAR(G7)&amp;"-"&amp;INT((MONTH(G7)+2)/3),66:66)</f>
        <v>0</v>
      </c>
      <c r="I7" s="2692"/>
      <c r="J7" s="411">
        <f>SUMIF(65:65,YEAR(I7)&amp;"-"&amp;INT((MONTH(I7)+2)/3),66:66)</f>
        <v>0</v>
      </c>
      <c r="K7" s="611"/>
      <c r="L7" s="1134"/>
      <c r="M7" s="1135"/>
      <c r="N7" s="1135"/>
      <c r="O7" s="1135"/>
      <c r="P7" s="3235" t="s">
        <v>2537</v>
      </c>
      <c r="Q7" s="3237"/>
      <c r="R7" s="770" t="s">
        <v>17</v>
      </c>
      <c r="S7" s="771">
        <f t="shared" ref="S7:S15" si="0">F7</f>
        <v>0</v>
      </c>
      <c r="T7" s="770" t="s">
        <v>17</v>
      </c>
      <c r="U7" s="771">
        <f t="shared" ref="U7:U15" si="1">H7</f>
        <v>0</v>
      </c>
      <c r="V7" s="770" t="s">
        <v>17</v>
      </c>
      <c r="W7" s="771">
        <f t="shared" ref="W7:W15" si="2">J7</f>
        <v>0</v>
      </c>
      <c r="X7" s="772"/>
      <c r="Y7" s="3235" t="s">
        <v>2537</v>
      </c>
      <c r="Z7" s="3236"/>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5" t="s">
        <v>2540</v>
      </c>
      <c r="Q8" s="3236"/>
      <c r="R8" s="770" t="s">
        <v>17</v>
      </c>
      <c r="S8" s="771">
        <f t="shared" si="0"/>
        <v>0</v>
      </c>
      <c r="T8" s="770" t="s">
        <v>17</v>
      </c>
      <c r="U8" s="771">
        <f t="shared" si="1"/>
        <v>0</v>
      </c>
      <c r="V8" s="770" t="s">
        <v>17</v>
      </c>
      <c r="W8" s="771">
        <f t="shared" si="2"/>
        <v>0</v>
      </c>
      <c r="X8" s="772"/>
      <c r="Y8" s="3235" t="s">
        <v>2540</v>
      </c>
      <c r="Z8" s="3236"/>
      <c r="AA8" s="773" t="e">
        <f t="shared" ref="AA8:AA40" si="3">D8/F8</f>
        <v>#DIV/0!</v>
      </c>
      <c r="AB8" s="773" t="e">
        <f t="shared" ref="AB8:AB40" si="4">D8/H8</f>
        <v>#DIV/0!</v>
      </c>
      <c r="AC8" s="773" t="e">
        <f t="shared" ref="AC8:AC40" si="5">D8/J8</f>
        <v>#DIV/0!</v>
      </c>
    </row>
    <row r="9" spans="1:29" s="117" customFormat="1">
      <c r="A9" s="415" t="s">
        <v>2541</v>
      </c>
      <c r="B9" s="71" t="s">
        <v>2542</v>
      </c>
      <c r="C9" s="2695"/>
      <c r="D9" s="135">
        <v>100</v>
      </c>
      <c r="E9" s="2695"/>
      <c r="F9" s="135">
        <f>SUMIF(70:70,E9,71:71)-SUMIF(70:70,C9,71:71)+100</f>
        <v>100</v>
      </c>
      <c r="G9" s="2695"/>
      <c r="H9" s="135">
        <f>SUMIF(70:70,G9,71:71)-SUMIF(70:70,C9,71:71)+100</f>
        <v>100</v>
      </c>
      <c r="I9" s="2695"/>
      <c r="J9" s="135">
        <f>SUMIF(70:70,I9,71:71)-SUMIF(70:70,C9,71:71)+100</f>
        <v>100</v>
      </c>
      <c r="K9" s="611"/>
      <c r="L9" s="1134"/>
      <c r="M9" s="1135"/>
      <c r="N9" s="1135"/>
      <c r="O9" s="1136"/>
      <c r="P9" s="3201" t="s">
        <v>2543</v>
      </c>
      <c r="Q9" s="1797" t="str">
        <f t="shared" ref="Q9:Q15" si="6">B9</f>
        <v>用途</v>
      </c>
      <c r="R9" s="770" t="s">
        <v>17</v>
      </c>
      <c r="S9" s="771">
        <f t="shared" si="0"/>
        <v>100</v>
      </c>
      <c r="T9" s="770" t="s">
        <v>17</v>
      </c>
      <c r="U9" s="771">
        <f t="shared" si="1"/>
        <v>100</v>
      </c>
      <c r="V9" s="770" t="s">
        <v>17</v>
      </c>
      <c r="W9" s="771">
        <f t="shared" si="2"/>
        <v>100</v>
      </c>
      <c r="X9" s="772"/>
      <c r="Y9" s="3039"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201"/>
      <c r="Q10" s="1797" t="str">
        <f t="shared" si="6"/>
        <v>土地使用年限（年）</v>
      </c>
      <c r="R10" s="770" t="s">
        <v>17</v>
      </c>
      <c r="S10" s="771">
        <f t="shared" si="0"/>
        <v>104</v>
      </c>
      <c r="T10" s="770" t="s">
        <v>17</v>
      </c>
      <c r="U10" s="771">
        <f t="shared" si="1"/>
        <v>104</v>
      </c>
      <c r="V10" s="770" t="s">
        <v>17</v>
      </c>
      <c r="W10" s="771">
        <f t="shared" si="2"/>
        <v>104</v>
      </c>
      <c r="X10" s="772"/>
      <c r="Y10" s="3039"/>
      <c r="Z10" s="55" t="str">
        <f t="shared" si="7"/>
        <v>土地使用年限（年）</v>
      </c>
      <c r="AA10" s="773">
        <f t="shared" si="3"/>
        <v>0.96153846153846156</v>
      </c>
      <c r="AB10" s="773">
        <f t="shared" si="4"/>
        <v>0.96153846153846156</v>
      </c>
      <c r="AC10" s="773">
        <f t="shared" si="5"/>
        <v>0.96153846153846156</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1"/>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1"/>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1"/>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1"/>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2547</v>
      </c>
      <c r="B15" s="629" t="s">
        <v>2786</v>
      </c>
      <c r="C15" s="2689" t="str">
        <f>估价对象房地状况!G15</f>
        <v>估价对象位于中关村兴业创业园，园区建设成熟度较好，产业集聚程度较好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6" t="s">
        <v>2548</v>
      </c>
      <c r="Q15" s="1812" t="str">
        <f t="shared" si="6"/>
        <v>产业集聚程度</v>
      </c>
      <c r="R15" s="774" t="s">
        <v>17</v>
      </c>
      <c r="S15" s="775">
        <f t="shared" si="0"/>
        <v>100</v>
      </c>
      <c r="T15" s="774" t="s">
        <v>17</v>
      </c>
      <c r="U15" s="775">
        <f t="shared" si="1"/>
        <v>100</v>
      </c>
      <c r="V15" s="774" t="s">
        <v>17</v>
      </c>
      <c r="W15" s="775">
        <f t="shared" si="2"/>
        <v>100</v>
      </c>
      <c r="X15" s="1815"/>
      <c r="Y15" s="3206" t="s">
        <v>2548</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2"/>
      <c r="M16" s="1133"/>
      <c r="N16" s="1133"/>
      <c r="O16" s="1141"/>
      <c r="P16" s="3207"/>
      <c r="Q16" s="1812"/>
      <c r="R16" s="774"/>
      <c r="S16" s="775"/>
      <c r="T16" s="774"/>
      <c r="U16" s="775"/>
      <c r="V16" s="774"/>
      <c r="W16" s="775"/>
      <c r="X16" s="1815"/>
      <c r="Y16" s="3207"/>
      <c r="Z16" s="1816"/>
      <c r="AA16" s="1813">
        <v>1</v>
      </c>
      <c r="AB16" s="1813">
        <v>1</v>
      </c>
      <c r="AC16" s="1813">
        <v>1</v>
      </c>
    </row>
    <row r="17" spans="1:29" ht="99.75">
      <c r="A17" s="428"/>
      <c r="B17" s="631" t="s">
        <v>2697</v>
      </c>
      <c r="C17" s="2603" t="str">
        <f>估价对象房地状况!G16</f>
        <v>估价对象周边道路状况较好、公共交通通达情况一般、停车便捷程度一般，综合评价交通便捷度一般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7"/>
      <c r="Q17" s="1812" t="str">
        <f>B17</f>
        <v>交通便捷度</v>
      </c>
      <c r="R17" s="774" t="s">
        <v>17</v>
      </c>
      <c r="S17" s="775">
        <f>F17</f>
        <v>100</v>
      </c>
      <c r="T17" s="774" t="s">
        <v>17</v>
      </c>
      <c r="U17" s="775">
        <f>H17</f>
        <v>100</v>
      </c>
      <c r="V17" s="774" t="s">
        <v>17</v>
      </c>
      <c r="W17" s="775">
        <f>J17</f>
        <v>100</v>
      </c>
      <c r="X17" s="1815"/>
      <c r="Y17" s="3207"/>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2"/>
      <c r="M18" s="1133"/>
      <c r="N18" s="1133"/>
      <c r="O18" s="1141"/>
      <c r="P18" s="3207"/>
      <c r="Q18" s="1812"/>
      <c r="R18" s="774"/>
      <c r="S18" s="775"/>
      <c r="T18" s="774"/>
      <c r="U18" s="775"/>
      <c r="V18" s="774"/>
      <c r="W18" s="775"/>
      <c r="X18" s="1815"/>
      <c r="Y18" s="3207"/>
      <c r="Z18" s="1816"/>
      <c r="AA18" s="1813">
        <v>1</v>
      </c>
      <c r="AB18" s="1813">
        <v>1</v>
      </c>
      <c r="AC18" s="1813">
        <v>1</v>
      </c>
    </row>
    <row r="19" spans="1:29" ht="15">
      <c r="A19" s="428"/>
      <c r="B19" s="631" t="s">
        <v>2736</v>
      </c>
      <c r="C19" s="2603"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7"/>
      <c r="Q19" s="1812" t="str">
        <f t="shared" ref="Q19:Q33" si="8">B19</f>
        <v>区域土地利用方向</v>
      </c>
      <c r="R19" s="774" t="s">
        <v>17</v>
      </c>
      <c r="S19" s="775">
        <f>F19</f>
        <v>100</v>
      </c>
      <c r="T19" s="774" t="s">
        <v>17</v>
      </c>
      <c r="U19" s="775">
        <f>H19</f>
        <v>100</v>
      </c>
      <c r="V19" s="774" t="s">
        <v>17</v>
      </c>
      <c r="W19" s="775">
        <f>J19</f>
        <v>100</v>
      </c>
      <c r="X19" s="1815"/>
      <c r="Y19" s="3207"/>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2"/>
      <c r="M20" s="1133"/>
      <c r="N20" s="1133"/>
      <c r="O20" s="1141"/>
      <c r="P20" s="3207"/>
      <c r="Q20" s="1812"/>
      <c r="R20" s="774"/>
      <c r="S20" s="775"/>
      <c r="T20" s="774"/>
      <c r="U20" s="775"/>
      <c r="V20" s="774"/>
      <c r="W20" s="775"/>
      <c r="X20" s="1815"/>
      <c r="Y20" s="3207"/>
      <c r="Z20" s="1816"/>
      <c r="AA20" s="1813"/>
      <c r="AB20" s="1813"/>
      <c r="AC20" s="1813"/>
    </row>
    <row r="21" spans="1:29" ht="71.25">
      <c r="A21" s="404"/>
      <c r="B21" s="631" t="s">
        <v>2787</v>
      </c>
      <c r="C21" s="2603" t="str">
        <f>估价对象房地状况!G18</f>
        <v>该园区内是否有污染型企业，绿化情况，卫生条件，整体环境状况判断，较好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7"/>
      <c r="Q21" s="1812" t="str">
        <f t="shared" si="8"/>
        <v>环境状况</v>
      </c>
      <c r="R21" s="774" t="s">
        <v>17</v>
      </c>
      <c r="S21" s="775">
        <f>F21</f>
        <v>100</v>
      </c>
      <c r="T21" s="774" t="s">
        <v>17</v>
      </c>
      <c r="U21" s="775">
        <f>H21</f>
        <v>100</v>
      </c>
      <c r="V21" s="774" t="s">
        <v>17</v>
      </c>
      <c r="W21" s="775">
        <f>J21</f>
        <v>100</v>
      </c>
      <c r="X21" s="1815"/>
      <c r="Y21" s="3207"/>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2"/>
      <c r="M22" s="1133"/>
      <c r="N22" s="1133"/>
      <c r="O22" s="1141"/>
      <c r="P22" s="3207"/>
      <c r="Q22" s="1812"/>
      <c r="R22" s="774"/>
      <c r="S22" s="775"/>
      <c r="T22" s="774"/>
      <c r="U22" s="775"/>
      <c r="V22" s="774"/>
      <c r="W22" s="775"/>
      <c r="X22" s="1815"/>
      <c r="Y22" s="3207"/>
      <c r="Z22" s="1816"/>
      <c r="AA22" s="1813">
        <v>1</v>
      </c>
      <c r="AB22" s="1813">
        <v>1</v>
      </c>
      <c r="AC22" s="1813">
        <v>1</v>
      </c>
    </row>
    <row r="23" spans="1:29" s="117" customFormat="1" ht="142.5">
      <c r="A23" s="649"/>
      <c r="B23" s="633" t="s">
        <v>2642</v>
      </c>
      <c r="C23" s="2603" t="str">
        <f>估价对象房地状况!G19</f>
        <v>估价对象所在区域公共配套设施有农村商业银行、上海浦东发展银行、世纪华联、容中超市、中国石油大学附属中学、昌平五中等，齐备情况较好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7"/>
      <c r="Q23" s="1797" t="str">
        <f t="shared" si="8"/>
        <v>公共配套设施</v>
      </c>
      <c r="R23" s="770" t="s">
        <v>17</v>
      </c>
      <c r="S23" s="771">
        <f>F23</f>
        <v>100</v>
      </c>
      <c r="T23" s="770" t="s">
        <v>17</v>
      </c>
      <c r="U23" s="771">
        <f>H23</f>
        <v>100</v>
      </c>
      <c r="V23" s="770" t="s">
        <v>17</v>
      </c>
      <c r="W23" s="771">
        <f>J23</f>
        <v>100</v>
      </c>
      <c r="X23" s="772"/>
      <c r="Y23" s="3207"/>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4"/>
      <c r="M24" s="1135"/>
      <c r="N24" s="1135"/>
      <c r="O24" s="1136"/>
      <c r="P24" s="3207"/>
      <c r="Q24" s="1797"/>
      <c r="R24" s="770"/>
      <c r="S24" s="771"/>
      <c r="T24" s="770"/>
      <c r="U24" s="771"/>
      <c r="V24" s="770"/>
      <c r="W24" s="771"/>
      <c r="X24" s="772"/>
      <c r="Y24" s="3207"/>
      <c r="Z24" s="55"/>
      <c r="AA24" s="773">
        <v>1</v>
      </c>
      <c r="AB24" s="773">
        <v>1</v>
      </c>
      <c r="AC24" s="773">
        <v>1</v>
      </c>
    </row>
    <row r="25" spans="1:29" s="117" customFormat="1" ht="42.75">
      <c r="A25" s="649"/>
      <c r="B25" s="633" t="s">
        <v>2643</v>
      </c>
      <c r="C25" s="2603" t="str">
        <f>估价对象房地状况!G20</f>
        <v>估价对象所在区域基础设施水平七通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7"/>
      <c r="Q25" s="1797" t="str">
        <f t="shared" ref="Q25" si="9">B25</f>
        <v>基础设施水平</v>
      </c>
      <c r="R25" s="770" t="s">
        <v>17</v>
      </c>
      <c r="S25" s="771">
        <f>F25</f>
        <v>100</v>
      </c>
      <c r="T25" s="770" t="s">
        <v>17</v>
      </c>
      <c r="U25" s="771">
        <f>H25</f>
        <v>100</v>
      </c>
      <c r="V25" s="770" t="s">
        <v>17</v>
      </c>
      <c r="W25" s="771">
        <f>J25</f>
        <v>100</v>
      </c>
      <c r="X25" s="772"/>
      <c r="Y25" s="3207"/>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4"/>
      <c r="M26" s="1135"/>
      <c r="N26" s="1135"/>
      <c r="O26" s="1136"/>
      <c r="P26" s="3207"/>
      <c r="Q26" s="1797"/>
      <c r="R26" s="770"/>
      <c r="S26" s="771"/>
      <c r="T26" s="770"/>
      <c r="U26" s="771"/>
      <c r="V26" s="770"/>
      <c r="W26" s="771"/>
      <c r="X26" s="772"/>
      <c r="Y26" s="3207"/>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7"/>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7"/>
      <c r="Z27" s="1816" t="str">
        <f t="shared" ref="Z27:Z40" si="13">Q27</f>
        <v>临街状况</v>
      </c>
      <c r="AA27" s="1813">
        <f t="shared" si="3"/>
        <v>1</v>
      </c>
      <c r="AB27" s="1813">
        <f t="shared" si="4"/>
        <v>1</v>
      </c>
      <c r="AC27" s="1813">
        <f t="shared" si="5"/>
        <v>1</v>
      </c>
    </row>
    <row r="28" spans="1:29" ht="27">
      <c r="A28" s="428"/>
      <c r="B28" s="633" t="s">
        <v>2679</v>
      </c>
      <c r="C28" s="2709" t="str">
        <f>估价对象房地状况!G22</f>
        <v>支路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7"/>
      <c r="Q28" s="1812" t="str">
        <f t="shared" si="8"/>
        <v>毗邻道路的类型与等级</v>
      </c>
      <c r="R28" s="774" t="s">
        <v>17</v>
      </c>
      <c r="S28" s="775">
        <f t="shared" si="10"/>
        <v>100</v>
      </c>
      <c r="T28" s="774" t="s">
        <v>17</v>
      </c>
      <c r="U28" s="775">
        <f t="shared" si="11"/>
        <v>100</v>
      </c>
      <c r="V28" s="774" t="s">
        <v>17</v>
      </c>
      <c r="W28" s="775">
        <f t="shared" si="12"/>
        <v>100</v>
      </c>
      <c r="X28" s="1815"/>
      <c r="Y28" s="3207"/>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2"/>
      <c r="M29" s="1133"/>
      <c r="N29" s="1133"/>
      <c r="O29" s="1141"/>
      <c r="P29" s="3207"/>
      <c r="Q29" s="1812"/>
      <c r="R29" s="774"/>
      <c r="S29" s="775"/>
      <c r="T29" s="774"/>
      <c r="U29" s="775"/>
      <c r="V29" s="774"/>
      <c r="W29" s="775"/>
      <c r="X29" s="1815"/>
      <c r="Y29" s="3207"/>
      <c r="Z29" s="1816"/>
      <c r="AA29" s="1813">
        <v>1</v>
      </c>
      <c r="AB29" s="1813">
        <v>1</v>
      </c>
      <c r="AC29" s="1813">
        <v>1</v>
      </c>
    </row>
    <row r="30" spans="1:29" ht="15">
      <c r="A30" s="428"/>
      <c r="B30" s="654" t="s">
        <v>2738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7"/>
      <c r="Q30" s="1812" t="str">
        <f t="shared" si="8"/>
        <v>土地级别</v>
      </c>
      <c r="R30" s="774" t="s">
        <v>17</v>
      </c>
      <c r="S30" s="775">
        <f t="shared" si="10"/>
        <v>100</v>
      </c>
      <c r="T30" s="774" t="s">
        <v>17</v>
      </c>
      <c r="U30" s="775">
        <f t="shared" si="11"/>
        <v>100</v>
      </c>
      <c r="V30" s="774" t="s">
        <v>17</v>
      </c>
      <c r="W30" s="775">
        <f t="shared" si="12"/>
        <v>100</v>
      </c>
      <c r="X30" s="1815"/>
      <c r="Y30" s="3207"/>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7"/>
      <c r="Q31" s="1812">
        <f t="shared" si="8"/>
        <v>111</v>
      </c>
      <c r="R31" s="774" t="s">
        <v>17</v>
      </c>
      <c r="S31" s="775">
        <f t="shared" si="10"/>
        <v>100</v>
      </c>
      <c r="T31" s="774" t="s">
        <v>17</v>
      </c>
      <c r="U31" s="775">
        <f t="shared" si="11"/>
        <v>100</v>
      </c>
      <c r="V31" s="774" t="s">
        <v>17</v>
      </c>
      <c r="W31" s="775">
        <f t="shared" si="12"/>
        <v>100</v>
      </c>
      <c r="X31" s="1815"/>
      <c r="Y31" s="3207"/>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8" t="s">
        <v>2553</v>
      </c>
      <c r="Q32" s="1812">
        <f t="shared" si="8"/>
        <v>111</v>
      </c>
      <c r="R32" s="774" t="s">
        <v>17</v>
      </c>
      <c r="S32" s="775">
        <f t="shared" si="10"/>
        <v>100</v>
      </c>
      <c r="T32" s="774" t="s">
        <v>17</v>
      </c>
      <c r="U32" s="775">
        <f t="shared" si="11"/>
        <v>100</v>
      </c>
      <c r="V32" s="774" t="s">
        <v>17</v>
      </c>
      <c r="W32" s="775">
        <f t="shared" si="12"/>
        <v>100</v>
      </c>
      <c r="X32" s="1815"/>
      <c r="Y32" s="3209" t="s">
        <v>2553</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09"/>
      <c r="Q33" s="1812">
        <f t="shared" si="8"/>
        <v>111</v>
      </c>
      <c r="R33" s="777" t="s">
        <v>17</v>
      </c>
      <c r="S33" s="778">
        <f t="shared" si="10"/>
        <v>100</v>
      </c>
      <c r="T33" s="777" t="s">
        <v>17</v>
      </c>
      <c r="U33" s="778">
        <f t="shared" si="11"/>
        <v>100</v>
      </c>
      <c r="V33" s="777" t="s">
        <v>17</v>
      </c>
      <c r="W33" s="778">
        <f t="shared" si="12"/>
        <v>100</v>
      </c>
      <c r="X33" s="779"/>
      <c r="Y33" s="3209"/>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09"/>
      <c r="Q34" s="1812" t="str">
        <f>B34</f>
        <v>宗地面积</v>
      </c>
      <c r="R34" s="774" t="s">
        <v>17</v>
      </c>
      <c r="S34" s="775" t="e">
        <f t="shared" si="10"/>
        <v>#N/A</v>
      </c>
      <c r="T34" s="774" t="s">
        <v>17</v>
      </c>
      <c r="U34" s="775" t="e">
        <f t="shared" si="11"/>
        <v>#N/A</v>
      </c>
      <c r="V34" s="774" t="s">
        <v>17</v>
      </c>
      <c r="W34" s="775" t="e">
        <f t="shared" si="12"/>
        <v>#N/A</v>
      </c>
      <c r="X34" s="1815"/>
      <c r="Y34" s="3209"/>
      <c r="Z34" s="1816" t="str">
        <f t="shared" si="13"/>
        <v>宗地面积</v>
      </c>
      <c r="AA34" s="1813" t="e">
        <f t="shared" si="3"/>
        <v>#N/A</v>
      </c>
      <c r="AB34" s="1813" t="e">
        <f t="shared" si="4"/>
        <v>#N/A</v>
      </c>
      <c r="AC34" s="1813" t="e">
        <f t="shared" si="5"/>
        <v>#N/A</v>
      </c>
    </row>
    <row r="35" spans="1:29" ht="15">
      <c r="A35" s="472"/>
      <c r="B35" s="422" t="s">
        <v>2740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2"/>
      <c r="M35" s="1133"/>
      <c r="N35" s="1133"/>
      <c r="O35" s="1141"/>
      <c r="P35" s="3209"/>
      <c r="Q35" s="1812" t="str">
        <f t="shared" ref="Q35:Q40" si="14">B35</f>
        <v>宗地形状</v>
      </c>
      <c r="R35" s="774" t="s">
        <v>17</v>
      </c>
      <c r="S35" s="775">
        <f t="shared" si="10"/>
        <v>100</v>
      </c>
      <c r="T35" s="774" t="s">
        <v>17</v>
      </c>
      <c r="U35" s="775">
        <f t="shared" si="11"/>
        <v>100</v>
      </c>
      <c r="V35" s="774" t="s">
        <v>17</v>
      </c>
      <c r="W35" s="775">
        <f t="shared" si="12"/>
        <v>100</v>
      </c>
      <c r="X35" s="1815"/>
      <c r="Y35" s="3209"/>
      <c r="Z35" s="1816" t="str">
        <f t="shared" si="13"/>
        <v>宗地形状</v>
      </c>
      <c r="AA35" s="1813">
        <f t="shared" si="3"/>
        <v>1</v>
      </c>
      <c r="AB35" s="1813">
        <f t="shared" si="4"/>
        <v>1</v>
      </c>
      <c r="AC35" s="1813">
        <f t="shared" si="5"/>
        <v>1</v>
      </c>
    </row>
    <row r="36" spans="1:29" s="117" customFormat="1" ht="15">
      <c r="A36" s="473"/>
      <c r="B36" s="422" t="s">
        <v>2742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4"/>
      <c r="M36" s="1135"/>
      <c r="N36" s="1135"/>
      <c r="O36" s="1136"/>
      <c r="P36" s="3209"/>
      <c r="Q36" s="1812"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2743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2"/>
      <c r="M37" s="1133"/>
      <c r="N37" s="1133"/>
      <c r="O37" s="1141"/>
      <c r="P37" s="3209" t="s">
        <v>2553</v>
      </c>
      <c r="Q37" s="1812" t="str">
        <f t="shared" si="14"/>
        <v>工程地质条件</v>
      </c>
      <c r="R37" s="774" t="s">
        <v>17</v>
      </c>
      <c r="S37" s="775">
        <f t="shared" si="10"/>
        <v>100</v>
      </c>
      <c r="T37" s="774" t="s">
        <v>17</v>
      </c>
      <c r="U37" s="775">
        <f t="shared" si="11"/>
        <v>100</v>
      </c>
      <c r="V37" s="774" t="s">
        <v>17</v>
      </c>
      <c r="W37" s="775">
        <f t="shared" si="12"/>
        <v>100</v>
      </c>
      <c r="X37" s="1815"/>
      <c r="Y37" s="3209" t="s">
        <v>2553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09"/>
      <c r="Q38" s="1812">
        <f t="shared" si="14"/>
        <v>111</v>
      </c>
      <c r="R38" s="774" t="s">
        <v>17</v>
      </c>
      <c r="S38" s="775">
        <f t="shared" si="10"/>
        <v>100</v>
      </c>
      <c r="T38" s="774" t="s">
        <v>17</v>
      </c>
      <c r="U38" s="775">
        <f t="shared" si="11"/>
        <v>100</v>
      </c>
      <c r="V38" s="774" t="s">
        <v>17</v>
      </c>
      <c r="W38" s="775">
        <f t="shared" si="12"/>
        <v>100</v>
      </c>
      <c r="X38" s="1815"/>
      <c r="Y38" s="320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09"/>
      <c r="Q39" s="1812">
        <f t="shared" si="14"/>
        <v>111</v>
      </c>
      <c r="R39" s="774" t="s">
        <v>17</v>
      </c>
      <c r="S39" s="775">
        <f t="shared" si="10"/>
        <v>100</v>
      </c>
      <c r="T39" s="774" t="s">
        <v>17</v>
      </c>
      <c r="U39" s="775">
        <f t="shared" si="11"/>
        <v>100</v>
      </c>
      <c r="V39" s="774" t="s">
        <v>17</v>
      </c>
      <c r="W39" s="775">
        <f t="shared" si="12"/>
        <v>100</v>
      </c>
      <c r="X39" s="1815"/>
      <c r="Y39" s="3209"/>
      <c r="Z39" s="1816">
        <f t="shared" si="13"/>
        <v>111</v>
      </c>
      <c r="AA39" s="1813">
        <f t="shared" si="3"/>
        <v>1</v>
      </c>
      <c r="AB39" s="1813">
        <f t="shared" si="4"/>
        <v>1</v>
      </c>
      <c r="AC39" s="1813">
        <f t="shared" si="5"/>
        <v>1</v>
      </c>
    </row>
    <row r="40" spans="1:29" s="471" customFormat="1" ht="15.75" thickBot="1">
      <c r="A40" s="468"/>
      <c r="B40" s="1389">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09"/>
      <c r="Q40" s="1812">
        <f t="shared" si="14"/>
        <v>111</v>
      </c>
      <c r="R40" s="777" t="s">
        <v>17</v>
      </c>
      <c r="S40" s="778">
        <f t="shared" si="10"/>
        <v>100</v>
      </c>
      <c r="T40" s="777" t="s">
        <v>17</v>
      </c>
      <c r="U40" s="778">
        <f t="shared" si="11"/>
        <v>100</v>
      </c>
      <c r="V40" s="777" t="s">
        <v>17</v>
      </c>
      <c r="W40" s="778">
        <f t="shared" si="12"/>
        <v>100</v>
      </c>
      <c r="X40" s="779"/>
      <c r="Y40" s="3209"/>
      <c r="Z40" s="780">
        <f t="shared" si="13"/>
        <v>111</v>
      </c>
      <c r="AA40" s="1813">
        <f t="shared" si="3"/>
        <v>1</v>
      </c>
      <c r="AB40" s="1813">
        <f t="shared" si="4"/>
        <v>1</v>
      </c>
      <c r="AC40" s="1813">
        <f t="shared" si="5"/>
        <v>1</v>
      </c>
    </row>
    <row r="41" spans="1:29" ht="15">
      <c r="A41" s="479" t="s">
        <v>2708</v>
      </c>
      <c r="B41" s="2700" t="s">
        <v>2788</v>
      </c>
      <c r="C41" s="682" t="s">
        <v>1</v>
      </c>
      <c r="D41" s="481"/>
      <c r="E41" s="482"/>
      <c r="F41" s="483"/>
      <c r="G41" s="484"/>
      <c r="H41" s="485"/>
      <c r="I41" s="482"/>
      <c r="J41" s="485"/>
      <c r="K41" s="783"/>
      <c r="L41" s="1145"/>
      <c r="M41" s="1133"/>
      <c r="N41" s="1133"/>
      <c r="O41" s="1146"/>
      <c r="P41" s="3201" t="str">
        <f>A41</f>
        <v>成交单价</v>
      </c>
      <c r="Q41" s="3201"/>
      <c r="R41" s="3230">
        <f>E41</f>
        <v>0</v>
      </c>
      <c r="S41" s="3230"/>
      <c r="T41" s="3230">
        <f>G41</f>
        <v>0</v>
      </c>
      <c r="U41" s="3230"/>
      <c r="V41" s="3230">
        <f>I41</f>
        <v>0</v>
      </c>
      <c r="W41" s="3230"/>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5"/>
      <c r="M42" s="1133"/>
      <c r="N42" s="1133"/>
      <c r="O42" s="1146"/>
      <c r="P42" s="3201" t="str">
        <f>A42</f>
        <v>比较价值（元/平方米）</v>
      </c>
      <c r="Q42" s="3201"/>
      <c r="R42" s="3292" t="e">
        <f>ROUND(PRODUCT(R41,AA7:AA40),0)</f>
        <v>#DIV/0!</v>
      </c>
      <c r="S42" s="3292"/>
      <c r="T42" s="3292" t="e">
        <f>ROUND(PRODUCT(T41,AB7:AB40),0)</f>
        <v>#DIV/0!</v>
      </c>
      <c r="U42" s="3292"/>
      <c r="V42" s="3292" t="e">
        <f>ROUND(PRODUCT(V41,AC7:AC40),0)</f>
        <v>#DIV/0!</v>
      </c>
      <c r="W42" s="3292"/>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5"/>
      <c r="M43" s="1133"/>
      <c r="N43" s="1133"/>
      <c r="O43" s="1146"/>
      <c r="P43" s="3203" t="str">
        <f>A43</f>
        <v>估价对象XX用房的比较价值（楼面单价，元/平方米）</v>
      </c>
      <c r="Q43" s="3204"/>
      <c r="R43" s="3293" t="e">
        <f>ROUND(AVERAGE(R42:V42),0)</f>
        <v>#DIV/0!</v>
      </c>
      <c r="S43" s="3293"/>
      <c r="T43" s="3293"/>
      <c r="U43" s="3293"/>
      <c r="V43" s="3293"/>
      <c r="W43" s="3293"/>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2746</v>
      </c>
      <c r="B50" s="685" t="s">
        <v>2747</v>
      </c>
      <c r="C50" s="2701" t="s">
        <v>2748</v>
      </c>
      <c r="D50" s="2702" t="s">
        <v>2749</v>
      </c>
      <c r="E50" s="686" t="s">
        <v>2750</v>
      </c>
      <c r="F50" s="687" t="s">
        <v>2751</v>
      </c>
      <c r="G50" s="3214" t="s">
        <v>2752</v>
      </c>
      <c r="H50" s="3294"/>
      <c r="I50" s="1816" t="s">
        <v>2789</v>
      </c>
      <c r="J50" s="1816">
        <f>项目基本情况!F35</f>
        <v>0</v>
      </c>
      <c r="K50" s="2704" t="s">
        <v>2754</v>
      </c>
      <c r="L50" s="1108"/>
      <c r="M50" s="1146"/>
      <c r="N50" s="1146"/>
      <c r="O50" s="1146"/>
    </row>
    <row r="51" spans="1:17" s="692" customFormat="1">
      <c r="A51" s="688" t="s">
        <v>2755</v>
      </c>
      <c r="B51" s="689" t="e">
        <f>C43</f>
        <v>#DIV/0!</v>
      </c>
      <c r="C51" s="690">
        <v>1</v>
      </c>
      <c r="D51" s="1165">
        <v>1</v>
      </c>
      <c r="E51" s="690">
        <f>'数据-汇总表'!E8+'数据-汇总表'!E9</f>
        <v>1246.4000000000001</v>
      </c>
      <c r="F51" s="691" t="e">
        <f t="shared" ref="F51:F60" si="15">ROUND(B51*E51/10000,0)</f>
        <v>#DIV/0!</v>
      </c>
      <c r="G51" s="3274"/>
      <c r="H51" s="3201"/>
      <c r="I51" s="945">
        <v>1</v>
      </c>
      <c r="J51" s="945">
        <v>1</v>
      </c>
      <c r="K51" s="1147"/>
      <c r="L51" s="944"/>
      <c r="M51" s="944"/>
      <c r="N51" s="944"/>
      <c r="O51" s="944"/>
    </row>
    <row r="52" spans="1:17" s="692" customFormat="1">
      <c r="A52" s="693" t="s">
        <v>2756</v>
      </c>
      <c r="B52" s="262" t="e">
        <f>ROUND($C$43*C52*D52,0)</f>
        <v>#DIV/0!</v>
      </c>
      <c r="C52" s="200">
        <f t="shared" ref="C52:C60" si="16">IF($C$50="北京市系数",I52,J52)</f>
        <v>0</v>
      </c>
      <c r="D52" s="1166">
        <v>0.25</v>
      </c>
      <c r="E52" s="694"/>
      <c r="F52" s="691" t="e">
        <f t="shared" si="15"/>
        <v>#DIV/0!</v>
      </c>
      <c r="G52" s="3295" t="s">
        <v>2757</v>
      </c>
      <c r="H52" s="1106">
        <f>项目基本情况!B37</f>
        <v>0</v>
      </c>
      <c r="I52" s="945">
        <f>SUMIF(修正!A45:A56,H52,修正!B45:B56)</f>
        <v>0</v>
      </c>
      <c r="J52" s="946"/>
      <c r="K52" s="1146"/>
      <c r="L52" s="944"/>
      <c r="M52" s="944"/>
      <c r="N52" s="944"/>
      <c r="O52" s="944"/>
    </row>
    <row r="53" spans="1:17" s="692" customFormat="1">
      <c r="A53" s="693" t="s">
        <v>2758</v>
      </c>
      <c r="B53" s="262" t="e">
        <f t="shared" ref="B53:B60" si="17">ROUND($C$43*C53*D53,0)</f>
        <v>#DIV/0!</v>
      </c>
      <c r="C53" s="200">
        <f t="shared" si="16"/>
        <v>0</v>
      </c>
      <c r="D53" s="1166">
        <v>0.25</v>
      </c>
      <c r="E53" s="694"/>
      <c r="F53" s="691" t="e">
        <f t="shared" si="15"/>
        <v>#DIV/0!</v>
      </c>
      <c r="G53" s="3295"/>
      <c r="H53" s="1106">
        <f>项目基本情况!B37</f>
        <v>0</v>
      </c>
      <c r="I53" s="945">
        <f>SUMIF(修正!A45:A56,H53,修正!C45:C56)</f>
        <v>0</v>
      </c>
      <c r="J53" s="946"/>
      <c r="K53" s="1147"/>
      <c r="L53" s="944"/>
      <c r="M53" s="944"/>
      <c r="N53" s="944"/>
      <c r="O53" s="944"/>
    </row>
    <row r="54" spans="1:17" s="692" customFormat="1">
      <c r="A54" s="693" t="s">
        <v>2759</v>
      </c>
      <c r="B54" s="262" t="e">
        <f t="shared" si="17"/>
        <v>#DIV/0!</v>
      </c>
      <c r="C54" s="200">
        <f t="shared" si="16"/>
        <v>0</v>
      </c>
      <c r="D54" s="1166">
        <v>0.25</v>
      </c>
      <c r="E54" s="694"/>
      <c r="F54" s="691" t="e">
        <f t="shared" si="15"/>
        <v>#DIV/0!</v>
      </c>
      <c r="G54" s="3295"/>
      <c r="H54" s="1106">
        <f>项目基本情况!B37</f>
        <v>0</v>
      </c>
      <c r="I54" s="945">
        <f>SUMIF(修正!A45:A56,H54,修正!D45:D56)</f>
        <v>0</v>
      </c>
      <c r="J54" s="946"/>
      <c r="K54" s="1146"/>
      <c r="L54" s="944"/>
      <c r="M54" s="944"/>
      <c r="N54" s="944"/>
      <c r="O54" s="944"/>
    </row>
    <row r="55" spans="1:17" s="692" customFormat="1">
      <c r="A55" s="693" t="s">
        <v>2760</v>
      </c>
      <c r="B55" s="262" t="e">
        <f t="shared" si="17"/>
        <v>#DIV/0!</v>
      </c>
      <c r="C55" s="200">
        <f t="shared" si="16"/>
        <v>0</v>
      </c>
      <c r="D55" s="1166">
        <v>0.25</v>
      </c>
      <c r="E55" s="694"/>
      <c r="F55" s="691" t="e">
        <f t="shared" si="15"/>
        <v>#DIV/0!</v>
      </c>
      <c r="G55" s="3295"/>
      <c r="H55" s="1106">
        <f>项目基本情况!B37</f>
        <v>0</v>
      </c>
      <c r="I55" s="945">
        <f>SUMIF(修正!A45:A56,H55,修正!E45:E56)</f>
        <v>0</v>
      </c>
      <c r="J55" s="946"/>
      <c r="K55" s="1147"/>
      <c r="L55" s="944"/>
      <c r="M55" s="944"/>
      <c r="N55" s="944"/>
      <c r="O55" s="944"/>
    </row>
    <row r="56" spans="1:17" s="692" customFormat="1">
      <c r="A56" s="693" t="s">
        <v>2761</v>
      </c>
      <c r="B56" s="262" t="e">
        <f t="shared" si="17"/>
        <v>#DIV/0!</v>
      </c>
      <c r="C56" s="200">
        <f t="shared" si="16"/>
        <v>0</v>
      </c>
      <c r="D56" s="1166">
        <v>0.25</v>
      </c>
      <c r="E56" s="261">
        <f>'数据-汇总表'!E11</f>
        <v>0</v>
      </c>
      <c r="F56" s="691" t="e">
        <f t="shared" si="15"/>
        <v>#DIV/0!</v>
      </c>
      <c r="G56" s="2705" t="s">
        <v>2762</v>
      </c>
      <c r="H56" s="1106">
        <f>项目基本情况!C37</f>
        <v>0</v>
      </c>
      <c r="I56" s="945">
        <f>SUMIF(修正!A45:A56,H56,修正!F45:F56)</f>
        <v>0</v>
      </c>
      <c r="J56" s="946"/>
      <c r="K56" s="1146"/>
      <c r="L56" s="944"/>
      <c r="M56" s="944"/>
      <c r="N56" s="944"/>
      <c r="O56" s="944"/>
    </row>
    <row r="57" spans="1:17" s="692" customFormat="1">
      <c r="A57" s="693" t="s">
        <v>2763</v>
      </c>
      <c r="B57" s="262" t="e">
        <f t="shared" si="17"/>
        <v>#DIV/0!</v>
      </c>
      <c r="C57" s="200">
        <f t="shared" si="16"/>
        <v>0</v>
      </c>
      <c r="D57" s="1166">
        <v>0.25</v>
      </c>
      <c r="E57" s="261">
        <f>'数据-汇总表'!E12</f>
        <v>0</v>
      </c>
      <c r="F57" s="691" t="e">
        <f t="shared" si="15"/>
        <v>#DIV/0!</v>
      </c>
      <c r="G57" s="1111" t="s">
        <v>2764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2765</v>
      </c>
      <c r="B58" s="262" t="e">
        <f t="shared" si="17"/>
        <v>#DIV/0!</v>
      </c>
      <c r="C58" s="200">
        <f t="shared" si="16"/>
        <v>0</v>
      </c>
      <c r="D58" s="1166">
        <v>0.25</v>
      </c>
      <c r="E58" s="261">
        <f>'数据-汇总表'!E13</f>
        <v>0</v>
      </c>
      <c r="F58" s="691" t="e">
        <f t="shared" si="15"/>
        <v>#DIV/0!</v>
      </c>
      <c r="G58" s="1111" t="s">
        <v>2766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2767</v>
      </c>
      <c r="B59" s="262" t="e">
        <f t="shared" si="17"/>
        <v>#DIV/0!</v>
      </c>
      <c r="C59" s="200">
        <f t="shared" si="16"/>
        <v>0</v>
      </c>
      <c r="D59" s="1166">
        <v>0.25</v>
      </c>
      <c r="E59" s="261">
        <f>'数据-汇总表'!E14</f>
        <v>0</v>
      </c>
      <c r="F59" s="691" t="e">
        <f t="shared" si="15"/>
        <v>#DIV/0!</v>
      </c>
      <c r="G59" s="2705" t="s">
        <v>2757</v>
      </c>
      <c r="H59" s="1106">
        <f>项目基本情况!B37</f>
        <v>0</v>
      </c>
      <c r="I59" s="945">
        <f>SUMIF(修正!A45:A56,H59,修正!H45:H56)</f>
        <v>0</v>
      </c>
      <c r="J59" s="946"/>
      <c r="K59" s="1147"/>
      <c r="L59" s="944"/>
      <c r="M59" s="944"/>
      <c r="N59" s="944"/>
      <c r="O59" s="944"/>
    </row>
    <row r="60" spans="1:17" s="692" customFormat="1" ht="15" thickBot="1">
      <c r="A60" s="693" t="s">
        <v>2768</v>
      </c>
      <c r="B60" s="262" t="e">
        <f t="shared" si="17"/>
        <v>#DIV/0!</v>
      </c>
      <c r="C60" s="200">
        <f t="shared" si="16"/>
        <v>0</v>
      </c>
      <c r="D60" s="1166">
        <v>0.25</v>
      </c>
      <c r="E60" s="261">
        <f>'数据-汇总表'!E15</f>
        <v>0</v>
      </c>
      <c r="F60" s="691" t="e">
        <f t="shared" si="15"/>
        <v>#DIV/0!</v>
      </c>
      <c r="G60" s="2706" t="s">
        <v>2762</v>
      </c>
      <c r="H60" s="1116">
        <f>项目基本情况!C37</f>
        <v>0</v>
      </c>
      <c r="I60" s="945">
        <f>SUMIF(修正!A45:A56,H60,修正!H45:H56)</f>
        <v>0</v>
      </c>
      <c r="J60" s="946"/>
      <c r="K60" s="1146"/>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2662</v>
      </c>
      <c r="B64" s="759"/>
      <c r="C64" s="764"/>
      <c r="D64" s="764"/>
      <c r="E64" s="764"/>
      <c r="F64" s="765"/>
      <c r="G64" s="765"/>
      <c r="H64" s="764"/>
      <c r="I64" s="764"/>
      <c r="J64" s="764"/>
      <c r="K64" s="766"/>
      <c r="L64" s="767"/>
      <c r="M64" s="764"/>
      <c r="N64" s="764"/>
      <c r="O64" s="1161"/>
      <c r="P64" s="503"/>
      <c r="Q64" s="504"/>
    </row>
    <row r="65" spans="1:17" s="508" customFormat="1" ht="15">
      <c r="A65" s="2707" t="s">
        <v>2770</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2" t="s">
        <v>2790</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2576</v>
      </c>
      <c r="B70" s="528" t="s">
        <v>2542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0" t="s">
        <v>614</v>
      </c>
      <c r="C61" s="818" t="s">
        <v>615</v>
      </c>
      <c r="D61" s="818" t="s">
        <v>616</v>
      </c>
      <c r="E61" s="895">
        <v>0.5</v>
      </c>
      <c r="F61" s="882">
        <v>80</v>
      </c>
    </row>
    <row r="62" spans="1:8" s="878" customFormat="1" ht="24">
      <c r="A62" s="882">
        <v>2</v>
      </c>
      <c r="B62" s="3300"/>
      <c r="C62" s="818" t="s">
        <v>617</v>
      </c>
      <c r="D62" s="818" t="s">
        <v>618</v>
      </c>
      <c r="E62" s="895">
        <v>0.5</v>
      </c>
      <c r="F62" s="882">
        <v>80</v>
      </c>
    </row>
    <row r="63" spans="1:8" s="878" customFormat="1" ht="36">
      <c r="A63" s="882">
        <v>3</v>
      </c>
      <c r="B63" s="3300"/>
      <c r="C63" s="818" t="s">
        <v>619</v>
      </c>
      <c r="D63" s="818" t="s">
        <v>620</v>
      </c>
      <c r="E63" s="895">
        <v>0.5</v>
      </c>
      <c r="F63" s="882">
        <v>80</v>
      </c>
    </row>
    <row r="64" spans="1:8" s="878" customFormat="1" ht="36">
      <c r="A64" s="882">
        <v>4</v>
      </c>
      <c r="B64" s="3300"/>
      <c r="C64" s="818" t="s">
        <v>621</v>
      </c>
      <c r="D64" s="818" t="s">
        <v>622</v>
      </c>
      <c r="E64" s="895">
        <v>0.4</v>
      </c>
      <c r="F64" s="882">
        <v>60</v>
      </c>
    </row>
    <row r="65" spans="1:6" s="878" customFormat="1" ht="36">
      <c r="A65" s="882">
        <v>5</v>
      </c>
      <c r="B65" s="3300"/>
      <c r="C65" s="818" t="s">
        <v>623</v>
      </c>
      <c r="D65" s="818" t="s">
        <v>624</v>
      </c>
      <c r="E65" s="895">
        <v>0.2</v>
      </c>
      <c r="F65" s="882">
        <v>30</v>
      </c>
    </row>
    <row r="66" spans="1:6" s="878" customFormat="1" ht="36">
      <c r="A66" s="882">
        <v>6</v>
      </c>
      <c r="B66" s="3300"/>
      <c r="C66" s="818" t="s">
        <v>625</v>
      </c>
      <c r="D66" s="818" t="s">
        <v>626</v>
      </c>
      <c r="E66" s="895">
        <v>0.3</v>
      </c>
      <c r="F66" s="882">
        <v>50</v>
      </c>
    </row>
    <row r="67" spans="1:6" s="878" customFormat="1" ht="36">
      <c r="A67" s="882">
        <v>7</v>
      </c>
      <c r="B67" s="3300"/>
      <c r="C67" s="818" t="s">
        <v>627</v>
      </c>
      <c r="D67" s="818" t="s">
        <v>628</v>
      </c>
      <c r="E67" s="895">
        <v>0.2</v>
      </c>
      <c r="F67" s="882">
        <v>30</v>
      </c>
    </row>
    <row r="68" spans="1:6" s="878" customFormat="1" ht="36">
      <c r="A68" s="882">
        <v>8</v>
      </c>
      <c r="B68" s="3300"/>
      <c r="C68" s="818" t="s">
        <v>629</v>
      </c>
      <c r="D68" s="818" t="s">
        <v>630</v>
      </c>
      <c r="E68" s="895">
        <v>0.2</v>
      </c>
      <c r="F68" s="882">
        <v>30</v>
      </c>
    </row>
    <row r="69" spans="1:6" s="878" customFormat="1" ht="36">
      <c r="A69" s="882">
        <v>9</v>
      </c>
      <c r="B69" s="3300"/>
      <c r="C69" s="818" t="s">
        <v>631</v>
      </c>
      <c r="D69" s="818" t="s">
        <v>632</v>
      </c>
      <c r="E69" s="895">
        <v>0.2</v>
      </c>
      <c r="F69" s="882">
        <v>30</v>
      </c>
    </row>
    <row r="70" spans="1:6" s="878" customFormat="1" ht="48">
      <c r="A70" s="882">
        <v>10</v>
      </c>
      <c r="B70" s="3300"/>
      <c r="C70" s="818" t="s">
        <v>633</v>
      </c>
      <c r="D70" s="818" t="s">
        <v>634</v>
      </c>
      <c r="E70" s="895">
        <v>0.2</v>
      </c>
      <c r="F70" s="882">
        <v>30</v>
      </c>
    </row>
    <row r="71" spans="1:6" s="878" customFormat="1" ht="48">
      <c r="A71" s="882">
        <v>11</v>
      </c>
      <c r="B71" s="3300"/>
      <c r="C71" s="818" t="s">
        <v>635</v>
      </c>
      <c r="D71" s="818" t="s">
        <v>636</v>
      </c>
      <c r="E71" s="895">
        <v>0.2</v>
      </c>
      <c r="F71" s="882">
        <v>30</v>
      </c>
    </row>
    <row r="72" spans="1:6" s="878" customFormat="1" ht="36">
      <c r="A72" s="882">
        <v>12</v>
      </c>
      <c r="B72" s="3300"/>
      <c r="C72" s="818" t="s">
        <v>637</v>
      </c>
      <c r="D72" s="818" t="s">
        <v>638</v>
      </c>
      <c r="E72" s="895">
        <v>0.5</v>
      </c>
      <c r="F72" s="882">
        <v>80</v>
      </c>
    </row>
    <row r="73" spans="1:6" s="878" customFormat="1" ht="24">
      <c r="A73" s="882">
        <v>13</v>
      </c>
      <c r="B73" s="3300"/>
      <c r="C73" s="818" t="s">
        <v>639</v>
      </c>
      <c r="D73" s="818" t="s">
        <v>640</v>
      </c>
      <c r="E73" s="895">
        <v>0.4</v>
      </c>
      <c r="F73" s="882">
        <v>60</v>
      </c>
    </row>
    <row r="74" spans="1:6" s="878" customFormat="1" ht="24">
      <c r="A74" s="882">
        <v>14</v>
      </c>
      <c r="B74" s="3300"/>
      <c r="C74" s="818" t="s">
        <v>641</v>
      </c>
      <c r="D74" s="818" t="s">
        <v>642</v>
      </c>
      <c r="E74" s="895">
        <v>0.2</v>
      </c>
      <c r="F74" s="882">
        <v>30</v>
      </c>
    </row>
    <row r="75" spans="1:6" s="878" customFormat="1" ht="24">
      <c r="A75" s="882">
        <v>15</v>
      </c>
      <c r="B75" s="3300"/>
      <c r="C75" s="818" t="s">
        <v>643</v>
      </c>
      <c r="D75" s="818" t="s">
        <v>644</v>
      </c>
      <c r="E75" s="895">
        <v>0.2</v>
      </c>
      <c r="F75" s="882">
        <v>30</v>
      </c>
    </row>
    <row r="76" spans="1:6" s="878" customFormat="1" ht="24">
      <c r="A76" s="882">
        <v>16</v>
      </c>
      <c r="B76" s="3300" t="s">
        <v>645</v>
      </c>
      <c r="C76" s="818" t="s">
        <v>646</v>
      </c>
      <c r="D76" s="818" t="s">
        <v>647</v>
      </c>
      <c r="E76" s="895">
        <v>0.5</v>
      </c>
      <c r="F76" s="882">
        <v>80</v>
      </c>
    </row>
    <row r="77" spans="1:6" s="878" customFormat="1" ht="24">
      <c r="A77" s="882">
        <v>17</v>
      </c>
      <c r="B77" s="3300"/>
      <c r="C77" s="818" t="s">
        <v>648</v>
      </c>
      <c r="D77" s="818" t="s">
        <v>649</v>
      </c>
      <c r="E77" s="895">
        <v>0.5</v>
      </c>
      <c r="F77" s="882">
        <v>80</v>
      </c>
    </row>
    <row r="78" spans="1:6" s="878" customFormat="1" ht="24">
      <c r="A78" s="882">
        <v>18</v>
      </c>
      <c r="B78" s="3300"/>
      <c r="C78" s="818" t="s">
        <v>650</v>
      </c>
      <c r="D78" s="818" t="s">
        <v>651</v>
      </c>
      <c r="E78" s="895">
        <v>0.2</v>
      </c>
      <c r="F78" s="882">
        <v>30</v>
      </c>
    </row>
    <row r="79" spans="1:6" s="878" customFormat="1" ht="24">
      <c r="A79" s="882">
        <v>19</v>
      </c>
      <c r="B79" s="3300"/>
      <c r="C79" s="818" t="s">
        <v>652</v>
      </c>
      <c r="D79" s="818" t="s">
        <v>653</v>
      </c>
      <c r="E79" s="895">
        <v>0.5</v>
      </c>
      <c r="F79" s="882">
        <v>80</v>
      </c>
    </row>
    <row r="80" spans="1:6" s="878" customFormat="1" ht="36">
      <c r="A80" s="882">
        <v>20</v>
      </c>
      <c r="B80" s="3300"/>
      <c r="C80" s="818" t="s">
        <v>654</v>
      </c>
      <c r="D80" s="818" t="s">
        <v>655</v>
      </c>
      <c r="E80" s="895">
        <v>0.2</v>
      </c>
      <c r="F80" s="882">
        <v>30</v>
      </c>
    </row>
    <row r="81" spans="1:6" s="878" customFormat="1" ht="36">
      <c r="A81" s="882">
        <v>21</v>
      </c>
      <c r="B81" s="3300"/>
      <c r="C81" s="818" t="s">
        <v>656</v>
      </c>
      <c r="D81" s="818" t="s">
        <v>657</v>
      </c>
      <c r="E81" s="895">
        <v>0.2</v>
      </c>
      <c r="F81" s="882">
        <v>30</v>
      </c>
    </row>
    <row r="82" spans="1:6" s="878" customFormat="1" ht="48">
      <c r="A82" s="882">
        <v>22</v>
      </c>
      <c r="B82" s="3300"/>
      <c r="C82" s="818" t="s">
        <v>658</v>
      </c>
      <c r="D82" s="818" t="s">
        <v>659</v>
      </c>
      <c r="E82" s="895">
        <v>0.2</v>
      </c>
      <c r="F82" s="882">
        <v>30</v>
      </c>
    </row>
    <row r="83" spans="1:6" s="878" customFormat="1" ht="48">
      <c r="A83" s="882">
        <v>23</v>
      </c>
      <c r="B83" s="3300"/>
      <c r="C83" s="818" t="s">
        <v>660</v>
      </c>
      <c r="D83" s="818" t="s">
        <v>661</v>
      </c>
      <c r="E83" s="895">
        <v>0.2</v>
      </c>
      <c r="F83" s="882">
        <v>30</v>
      </c>
    </row>
    <row r="84" spans="1:6" s="878" customFormat="1" ht="36">
      <c r="A84" s="882">
        <v>24</v>
      </c>
      <c r="B84" s="3300"/>
      <c r="C84" s="818" t="s">
        <v>662</v>
      </c>
      <c r="D84" s="818" t="s">
        <v>663</v>
      </c>
      <c r="E84" s="895">
        <v>0.2</v>
      </c>
      <c r="F84" s="882">
        <v>30</v>
      </c>
    </row>
    <row r="85" spans="1:6" s="878" customFormat="1" ht="36">
      <c r="A85" s="882">
        <v>25</v>
      </c>
      <c r="B85" s="3300"/>
      <c r="C85" s="818" t="s">
        <v>664</v>
      </c>
      <c r="D85" s="818" t="s">
        <v>665</v>
      </c>
      <c r="E85" s="895">
        <v>0.5</v>
      </c>
      <c r="F85" s="882">
        <v>80</v>
      </c>
    </row>
    <row r="86" spans="1:6" s="878" customFormat="1" ht="36">
      <c r="A86" s="882">
        <v>26</v>
      </c>
      <c r="B86" s="3300"/>
      <c r="C86" s="818" t="s">
        <v>666</v>
      </c>
      <c r="D86" s="818" t="s">
        <v>667</v>
      </c>
      <c r="E86" s="895">
        <v>0.2</v>
      </c>
      <c r="F86" s="882">
        <v>30</v>
      </c>
    </row>
    <row r="87" spans="1:6" s="878" customFormat="1" ht="36">
      <c r="A87" s="882">
        <v>27</v>
      </c>
      <c r="B87" s="3300"/>
      <c r="C87" s="818" t="s">
        <v>668</v>
      </c>
      <c r="D87" s="818" t="s">
        <v>669</v>
      </c>
      <c r="E87" s="895">
        <v>0.2</v>
      </c>
      <c r="F87" s="882">
        <v>30</v>
      </c>
    </row>
    <row r="88" spans="1:6" s="878" customFormat="1" ht="36">
      <c r="A88" s="882">
        <v>28</v>
      </c>
      <c r="B88" s="3300"/>
      <c r="C88" s="818" t="s">
        <v>670</v>
      </c>
      <c r="D88" s="818" t="s">
        <v>671</v>
      </c>
      <c r="E88" s="895">
        <v>0.2</v>
      </c>
      <c r="F88" s="882">
        <v>30</v>
      </c>
    </row>
    <row r="89" spans="1:6" s="878" customFormat="1" ht="24">
      <c r="A89" s="882">
        <v>29</v>
      </c>
      <c r="B89" s="3300"/>
      <c r="C89" s="818" t="s">
        <v>672</v>
      </c>
      <c r="D89" s="818" t="s">
        <v>673</v>
      </c>
      <c r="E89" s="895">
        <v>0.2</v>
      </c>
      <c r="F89" s="882">
        <v>30</v>
      </c>
    </row>
    <row r="90" spans="1:6" s="878" customFormat="1" ht="24">
      <c r="A90" s="882">
        <v>30</v>
      </c>
      <c r="B90" s="3300"/>
      <c r="C90" s="818" t="s">
        <v>674</v>
      </c>
      <c r="D90" s="818" t="s">
        <v>675</v>
      </c>
      <c r="E90" s="895">
        <v>0.2</v>
      </c>
      <c r="F90" s="882">
        <v>30</v>
      </c>
    </row>
    <row r="91" spans="1:6" s="878" customFormat="1" ht="36">
      <c r="A91" s="882">
        <v>31</v>
      </c>
      <c r="B91" s="3300"/>
      <c r="C91" s="818" t="s">
        <v>676</v>
      </c>
      <c r="D91" s="818" t="s">
        <v>677</v>
      </c>
      <c r="E91" s="895">
        <v>0.2</v>
      </c>
      <c r="F91" s="882">
        <v>30</v>
      </c>
    </row>
    <row r="92" spans="1:6" s="878" customFormat="1" ht="24">
      <c r="A92" s="882">
        <v>32</v>
      </c>
      <c r="B92" s="3300" t="s">
        <v>678</v>
      </c>
      <c r="C92" s="882" t="s">
        <v>679</v>
      </c>
      <c r="D92" s="818" t="s">
        <v>680</v>
      </c>
      <c r="E92" s="895">
        <v>0.2</v>
      </c>
      <c r="F92" s="882">
        <v>30</v>
      </c>
    </row>
    <row r="93" spans="1:6" s="878" customFormat="1" ht="36">
      <c r="A93" s="882">
        <v>33</v>
      </c>
      <c r="B93" s="3300"/>
      <c r="C93" s="882" t="s">
        <v>681</v>
      </c>
      <c r="D93" s="818" t="s">
        <v>682</v>
      </c>
      <c r="E93" s="895">
        <v>0.2</v>
      </c>
      <c r="F93" s="882">
        <v>30</v>
      </c>
    </row>
    <row r="94" spans="1:6" s="878" customFormat="1" ht="48">
      <c r="A94" s="882">
        <v>34</v>
      </c>
      <c r="B94" s="3300"/>
      <c r="C94" s="882" t="s">
        <v>683</v>
      </c>
      <c r="D94" s="818" t="s">
        <v>684</v>
      </c>
      <c r="E94" s="895">
        <v>0.2</v>
      </c>
      <c r="F94" s="882">
        <v>30</v>
      </c>
    </row>
    <row r="95" spans="1:6" s="878" customFormat="1" ht="36">
      <c r="A95" s="882">
        <v>35</v>
      </c>
      <c r="B95" s="3300"/>
      <c r="C95" s="882" t="s">
        <v>685</v>
      </c>
      <c r="D95" s="818" t="s">
        <v>686</v>
      </c>
      <c r="E95" s="895">
        <v>0.2</v>
      </c>
      <c r="F95" s="882">
        <v>30</v>
      </c>
    </row>
    <row r="96" spans="1:6" s="878" customFormat="1" ht="48">
      <c r="A96" s="882">
        <v>36</v>
      </c>
      <c r="B96" s="3300"/>
      <c r="C96" s="818" t="s">
        <v>687</v>
      </c>
      <c r="D96" s="818" t="s">
        <v>688</v>
      </c>
      <c r="E96" s="895">
        <v>0.2</v>
      </c>
      <c r="F96" s="882">
        <v>30</v>
      </c>
    </row>
    <row r="97" spans="1:6" s="878" customFormat="1" ht="36">
      <c r="A97" s="882">
        <v>37</v>
      </c>
      <c r="B97" s="3300"/>
      <c r="C97" s="882" t="s">
        <v>689</v>
      </c>
      <c r="D97" s="818" t="s">
        <v>690</v>
      </c>
      <c r="E97" s="895">
        <v>0.2</v>
      </c>
      <c r="F97" s="882">
        <v>30</v>
      </c>
    </row>
    <row r="98" spans="1:6" s="878" customFormat="1" ht="36">
      <c r="A98" s="882">
        <v>38</v>
      </c>
      <c r="B98" s="3300"/>
      <c r="C98" s="882" t="s">
        <v>691</v>
      </c>
      <c r="D98" s="818" t="s">
        <v>692</v>
      </c>
      <c r="E98" s="895">
        <v>0.2</v>
      </c>
      <c r="F98" s="882">
        <v>30</v>
      </c>
    </row>
    <row r="99" spans="1:6" s="878" customFormat="1" ht="36">
      <c r="A99" s="882">
        <v>39</v>
      </c>
      <c r="B99" s="3300" t="s">
        <v>693</v>
      </c>
      <c r="C99" s="882" t="s">
        <v>694</v>
      </c>
      <c r="D99" s="818" t="s">
        <v>695</v>
      </c>
      <c r="E99" s="895">
        <v>0.3</v>
      </c>
      <c r="F99" s="882">
        <v>50</v>
      </c>
    </row>
    <row r="100" spans="1:6" s="878" customFormat="1" ht="24">
      <c r="A100" s="882">
        <v>40</v>
      </c>
      <c r="B100" s="3300"/>
      <c r="C100" s="882" t="s">
        <v>696</v>
      </c>
      <c r="D100" s="818" t="s">
        <v>697</v>
      </c>
      <c r="E100" s="895">
        <v>0.2</v>
      </c>
      <c r="F100" s="882">
        <v>30</v>
      </c>
    </row>
    <row r="101" spans="1:6" s="878" customFormat="1" ht="36">
      <c r="A101" s="882">
        <v>41</v>
      </c>
      <c r="B101" s="33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0" t="s">
        <v>708</v>
      </c>
      <c r="C105" s="882" t="s">
        <v>709</v>
      </c>
      <c r="D105" s="818" t="s">
        <v>710</v>
      </c>
      <c r="E105" s="895">
        <v>0.2</v>
      </c>
      <c r="F105" s="882">
        <v>30</v>
      </c>
    </row>
    <row r="106" spans="1:6" s="878" customFormat="1" ht="36">
      <c r="A106" s="882">
        <v>46</v>
      </c>
      <c r="B106" s="3300"/>
      <c r="C106" s="882" t="s">
        <v>711</v>
      </c>
      <c r="D106" s="818" t="s">
        <v>712</v>
      </c>
      <c r="E106" s="895">
        <v>0.2</v>
      </c>
      <c r="F106" s="882">
        <v>30</v>
      </c>
    </row>
    <row r="107" spans="1:6" s="878" customFormat="1" ht="36">
      <c r="A107" s="882">
        <v>47</v>
      </c>
      <c r="B107" s="3300" t="s">
        <v>713</v>
      </c>
      <c r="C107" s="882" t="s">
        <v>714</v>
      </c>
      <c r="D107" s="818" t="s">
        <v>715</v>
      </c>
      <c r="E107" s="895">
        <v>0.3</v>
      </c>
      <c r="F107" s="882">
        <v>50</v>
      </c>
    </row>
    <row r="108" spans="1:6" s="878" customFormat="1" ht="36">
      <c r="A108" s="882">
        <v>48</v>
      </c>
      <c r="B108" s="33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0" t="s">
        <v>724</v>
      </c>
      <c r="C111" s="882" t="s">
        <v>725</v>
      </c>
      <c r="D111" s="818" t="s">
        <v>726</v>
      </c>
      <c r="E111" s="895">
        <v>0.2</v>
      </c>
      <c r="F111" s="882">
        <v>30</v>
      </c>
    </row>
    <row r="112" spans="1:6" s="878" customFormat="1" ht="24">
      <c r="A112" s="882">
        <v>52</v>
      </c>
      <c r="B112" s="3300"/>
      <c r="C112" s="882" t="s">
        <v>727</v>
      </c>
      <c r="D112" s="818" t="s">
        <v>728</v>
      </c>
      <c r="E112" s="895">
        <v>0.2</v>
      </c>
      <c r="F112" s="882">
        <v>30</v>
      </c>
    </row>
    <row r="113" spans="1:6" s="878" customFormat="1" ht="24">
      <c r="A113" s="882">
        <v>53</v>
      </c>
      <c r="B113" s="33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0" t="s">
        <v>737</v>
      </c>
      <c r="C116" s="882" t="s">
        <v>738</v>
      </c>
      <c r="D116" s="818" t="s">
        <v>739</v>
      </c>
      <c r="E116" s="895">
        <v>0.2</v>
      </c>
      <c r="F116" s="882">
        <v>30</v>
      </c>
    </row>
    <row r="117" spans="1:6" ht="36">
      <c r="A117" s="882">
        <v>57</v>
      </c>
      <c r="B117" s="33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2991</v>
      </c>
    </row>
    <row r="2" spans="1:5" ht="15.75">
      <c r="A2" s="2905" t="s">
        <v>2983</v>
      </c>
      <c r="B2" s="2906" t="e">
        <f ca="1">SUMIF(B6:B13,"&lt;&gt;#ref!",B6:B13)</f>
        <v>#DIV/0!</v>
      </c>
      <c r="C2" s="2905" t="s">
        <v>2984</v>
      </c>
      <c r="D2" s="2905" t="s">
        <v>2985</v>
      </c>
      <c r="E2" s="2906" t="e">
        <f ca="1">SUM(E6:E13)</f>
        <v>#REF!</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1">
        <f ca="1">SUMIF(INDIRECT("'"&amp;A6&amp;"'"&amp;"!C:C"),"建筑面积",INDIRECT("'"&amp;A6&amp;"'"&amp;"!D:D"))</f>
        <v>1246.4000000000001</v>
      </c>
    </row>
    <row r="7" spans="1:5" ht="15.75">
      <c r="A7" s="2910"/>
      <c r="B7" s="2906" t="e">
        <f ca="1">SUMIF(INDIRECT("'"&amp;A7&amp;"'"&amp;"!A:A"),"总价",INDIRECT("'"&amp;A7&amp;"'"&amp;"!B:B"))</f>
        <v>#REF!</v>
      </c>
      <c r="C7" s="2905" t="s">
        <v>2984</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1" t="e">
        <f t="shared" ca="1" si="0"/>
        <v>#REF!</v>
      </c>
    </row>
    <row r="9" spans="1:5" ht="15.75">
      <c r="A9" s="2910"/>
      <c r="B9" s="2906" t="e">
        <f t="shared" ca="1" si="1"/>
        <v>#REF!</v>
      </c>
      <c r="C9" s="2905" t="s">
        <v>2984</v>
      </c>
      <c r="D9" s="2907"/>
      <c r="E9" s="2571" t="e">
        <f t="shared" ca="1" si="0"/>
        <v>#REF!</v>
      </c>
    </row>
    <row r="10" spans="1:5" ht="15.75">
      <c r="A10" s="2910"/>
      <c r="B10" s="2906" t="e">
        <f t="shared" ca="1" si="1"/>
        <v>#REF!</v>
      </c>
      <c r="C10" s="2905" t="s">
        <v>2984</v>
      </c>
      <c r="D10" s="2907"/>
      <c r="E10" s="2571" t="e">
        <f t="shared" ca="1" si="0"/>
        <v>#REF!</v>
      </c>
    </row>
    <row r="11" spans="1:5" ht="15.75">
      <c r="A11" s="2910"/>
      <c r="B11" s="2906" t="e">
        <f t="shared" ca="1" si="1"/>
        <v>#REF!</v>
      </c>
      <c r="C11" s="2905" t="s">
        <v>2984</v>
      </c>
      <c r="D11" s="2907"/>
      <c r="E11" s="2571" t="e">
        <f t="shared" ca="1" si="0"/>
        <v>#REF!</v>
      </c>
    </row>
    <row r="12" spans="1:5" ht="15.75">
      <c r="A12" s="2910"/>
      <c r="B12" s="2906" t="e">
        <f t="shared" ca="1" si="1"/>
        <v>#REF!</v>
      </c>
      <c r="C12" s="2905" t="s">
        <v>2984</v>
      </c>
      <c r="D12" s="2907"/>
      <c r="E12" s="2571" t="e">
        <f t="shared" ca="1" si="0"/>
        <v>#REF!</v>
      </c>
    </row>
    <row r="13" spans="1:5" ht="15.75">
      <c r="A13" s="2910"/>
      <c r="B13" s="2906" t="e">
        <f t="shared" ca="1" si="1"/>
        <v>#REF!</v>
      </c>
      <c r="C13" s="2905" t="s">
        <v>2984</v>
      </c>
      <c r="D13" s="290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6" t="s">
        <v>1150</v>
      </c>
      <c r="C1" s="3306"/>
      <c r="D1" s="3306"/>
      <c r="E1" s="3306"/>
      <c r="F1" s="3306"/>
      <c r="G1" s="3305" t="s">
        <v>1151</v>
      </c>
      <c r="H1" s="3305"/>
      <c r="I1" s="3305"/>
      <c r="J1" s="3305"/>
      <c r="K1" s="3305"/>
      <c r="L1" s="3305"/>
      <c r="N1" s="3305" t="s">
        <v>1152</v>
      </c>
      <c r="O1" s="3305"/>
      <c r="P1" s="3305"/>
      <c r="Q1" s="3305"/>
      <c r="R1" s="1448"/>
      <c r="S1" s="3305" t="s">
        <v>1153</v>
      </c>
      <c r="T1" s="3305"/>
      <c r="U1" s="3305"/>
      <c r="V1" s="3305"/>
      <c r="X1" s="3304" t="s">
        <v>1154</v>
      </c>
      <c r="Y1" s="3305"/>
      <c r="Z1" s="3305"/>
      <c r="AA1" s="3305"/>
      <c r="AB1" s="3305"/>
      <c r="AD1" s="3304" t="s">
        <v>1155</v>
      </c>
      <c r="AE1" s="3305"/>
      <c r="AF1" s="3305"/>
      <c r="AG1" s="3305"/>
      <c r="AH1" s="330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4" customFormat="1" ht="14.25">
      <c r="A3" s="2933" t="s">
        <v>3030</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5" customFormat="1" ht="14.25">
      <c r="B4" s="1456"/>
      <c r="C4" s="1456"/>
      <c r="D4" s="1457"/>
      <c r="E4" s="1457"/>
      <c r="F4" s="1456"/>
      <c r="G4" s="1458"/>
      <c r="H4" s="1459"/>
      <c r="I4" s="2918"/>
      <c r="J4" s="2918"/>
      <c r="K4" s="2918"/>
      <c r="L4" s="2918"/>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3029</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1">
        <v>2018</v>
      </c>
      <c r="H5" s="1732">
        <v>1</v>
      </c>
      <c r="I5" s="2919">
        <v>0</v>
      </c>
      <c r="J5" s="2919">
        <v>0</v>
      </c>
      <c r="K5" s="2919">
        <v>0</v>
      </c>
      <c r="L5" s="2919">
        <v>0</v>
      </c>
      <c r="N5" s="1469">
        <f t="shared" ref="N5:N10" si="7">I5/100</f>
        <v>0</v>
      </c>
      <c r="O5" s="1469">
        <f t="shared" ref="O5" si="8">J5/100</f>
        <v>0</v>
      </c>
      <c r="P5" s="1469">
        <f t="shared" ref="P5" si="9">K5/100</f>
        <v>0</v>
      </c>
      <c r="Q5" s="1469">
        <f t="shared" ref="Q5" si="10">L5/100</f>
        <v>0</v>
      </c>
      <c r="R5" s="1734"/>
      <c r="S5" s="1735"/>
      <c r="T5" s="1734"/>
      <c r="U5" s="1734"/>
      <c r="V5" s="1734"/>
      <c r="W5" s="2923" t="s">
        <v>3031</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3026</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1">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3027</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17"/>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16"/>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17"/>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07">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02"/>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02"/>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03"/>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01">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02"/>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02"/>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03"/>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01">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02"/>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02"/>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03"/>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08">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09"/>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09"/>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10"/>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01">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02"/>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02"/>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03"/>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01">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02">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02">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03">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01">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02">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02">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03">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01">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02">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02">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03">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01">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02">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02">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03">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01">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02">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02">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03">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01">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02">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02">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03">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01">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02">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02">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03">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01">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02">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02">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03">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01">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02">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02">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03">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01">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02">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02">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03">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2993</v>
      </c>
      <c r="C1" s="3312" t="s">
        <v>2994</v>
      </c>
      <c r="D1" s="3313"/>
      <c r="E1" s="3313"/>
      <c r="F1" s="3313"/>
      <c r="G1" s="3313"/>
      <c r="H1" s="3313"/>
      <c r="I1" s="3313"/>
      <c r="J1" s="3313"/>
      <c r="K1" s="3313"/>
      <c r="L1" s="3313"/>
      <c r="M1" s="3313"/>
      <c r="N1" s="3313"/>
      <c r="O1" s="3313"/>
      <c r="P1" s="3313"/>
      <c r="Q1" s="3313"/>
      <c r="R1" s="3313"/>
      <c r="S1" s="3314"/>
      <c r="T1" s="1206" t="s">
        <v>2995</v>
      </c>
    </row>
    <row r="2" spans="1:45" s="707" customFormat="1">
      <c r="A2" s="1207"/>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2997</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2998</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2999</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3000</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3001</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3002</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3003</v>
      </c>
      <c r="B17" s="2912" t="s">
        <v>3004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3" t="s">
        <v>3005</v>
      </c>
      <c r="E19" s="1794"/>
      <c r="F19" s="1794"/>
      <c r="G19" s="1794"/>
      <c r="H19" s="1282"/>
      <c r="I19" s="168"/>
      <c r="J19" s="168"/>
      <c r="K19" s="168"/>
      <c r="L19" s="168"/>
      <c r="M19" s="168"/>
      <c r="N19" s="168"/>
      <c r="O19" s="168"/>
      <c r="P19" s="168"/>
      <c r="Q19" s="168"/>
      <c r="R19" s="788"/>
      <c r="S19" s="138"/>
    </row>
    <row r="20" spans="1:45" ht="16.5" thickBot="1">
      <c r="A20" s="715" t="s">
        <v>3006</v>
      </c>
      <c r="B20" s="338" t="e">
        <f ca="1">IF(D20="——",S22,S22-F20)</f>
        <v>#REF!</v>
      </c>
      <c r="C20" s="168"/>
      <c r="D20" s="2914" t="s">
        <v>3007</v>
      </c>
      <c r="E20" s="1795"/>
      <c r="F20" s="1206" t="e">
        <f ca="1">SUMIF(INDIRECT("'"&amp;H20&amp;"'"&amp;"!A:A"),"承租人权益价值",INDIRECT("'"&amp;H20&amp;"'"&amp;"!c:c"))</f>
        <v>#REF!</v>
      </c>
      <c r="G20" s="1206" t="s">
        <v>3008</v>
      </c>
      <c r="H20" s="2915"/>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173" t="s">
        <v>33</v>
      </c>
      <c r="D22" s="3174"/>
      <c r="E22" s="3174"/>
      <c r="F22" s="3174"/>
      <c r="G22" s="3174"/>
      <c r="H22" s="3174"/>
      <c r="I22" s="3174"/>
      <c r="J22" s="3174"/>
      <c r="K22" s="3174"/>
      <c r="L22" s="3174"/>
      <c r="M22" s="3174"/>
      <c r="N22" s="3174"/>
      <c r="O22" s="3174"/>
      <c r="P22" s="3174"/>
      <c r="Q22" s="3311"/>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3"/>
      <c r="B4" s="2999" t="s">
        <v>1630</v>
      </c>
      <c r="C4" s="2999"/>
      <c r="D4" s="2999"/>
      <c r="E4" s="1963"/>
    </row>
    <row r="5" spans="1:5" ht="16.5" thickTop="1">
      <c r="A5" s="1961"/>
      <c r="B5" s="2997" t="s">
        <v>1622</v>
      </c>
      <c r="C5" s="1964" t="s">
        <v>1623</v>
      </c>
      <c r="D5" s="1042">
        <f ca="1">结果表!H101</f>
        <v>1995</v>
      </c>
      <c r="E5" s="1961"/>
    </row>
    <row r="6" spans="1:5" ht="15.75">
      <c r="A6" s="1961"/>
      <c r="B6" s="2997"/>
      <c r="C6" s="1964" t="s">
        <v>1624</v>
      </c>
      <c r="D6" s="1042" t="str">
        <f ca="1">NUMBERSTRING(INT(D5*10000),2)&amp;"元整"</f>
        <v>壹仟玖佰玖拾伍万元整</v>
      </c>
      <c r="E6" s="1961"/>
    </row>
    <row r="7" spans="1:5" ht="15.75">
      <c r="A7" s="1961"/>
      <c r="B7" s="3002"/>
      <c r="C7" s="1965" t="s">
        <v>1625</v>
      </c>
      <c r="D7" s="1043">
        <f ca="1">结果表!H102</f>
        <v>16006</v>
      </c>
      <c r="E7" s="1961"/>
    </row>
    <row r="8" spans="1:5" ht="15.75">
      <c r="A8" s="1961"/>
      <c r="B8" s="3003" t="str">
        <f>结果表!E103</f>
        <v>2.估价师知悉的法定优先受偿款</v>
      </c>
      <c r="C8" s="1966" t="s">
        <v>1626</v>
      </c>
      <c r="D8" s="1043">
        <f>结果表!H103</f>
        <v>0</v>
      </c>
      <c r="E8" s="1961"/>
    </row>
    <row r="9" spans="1:5" ht="15.75">
      <c r="A9" s="1961"/>
      <c r="B9" s="3005"/>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96" t="str">
        <f>结果表!E107</f>
        <v>3.房地产抵押价值</v>
      </c>
      <c r="C13" s="1969" t="s">
        <v>1623</v>
      </c>
      <c r="D13" s="1045">
        <f ca="1">结果表!H107</f>
        <v>1995</v>
      </c>
      <c r="E13" s="1961"/>
    </row>
    <row r="14" spans="1:5" ht="15.75">
      <c r="A14" s="1961"/>
      <c r="B14" s="2997"/>
      <c r="C14" s="1964" t="s">
        <v>1624</v>
      </c>
      <c r="D14" s="1042" t="str">
        <f ca="1">NUMBERSTRING(INT(D13*10000),2)&amp;"元整"</f>
        <v>壹仟玖佰玖拾伍万元整</v>
      </c>
      <c r="E14" s="1961"/>
    </row>
    <row r="15" spans="1:5" ht="15">
      <c r="A15" s="1961"/>
      <c r="B15" s="3002"/>
      <c r="C15" s="1965" t="s">
        <v>1634</v>
      </c>
      <c r="D15" s="1054">
        <f ca="1">结果表!H108</f>
        <v>16006</v>
      </c>
      <c r="E15" s="1961"/>
    </row>
    <row r="16" spans="1:5" ht="15">
      <c r="A16" s="1961"/>
      <c r="B16" s="3003" t="str">
        <f>结果表!E109</f>
        <v>——</v>
      </c>
      <c r="C16" s="1969" t="s">
        <v>1635</v>
      </c>
      <c r="D16" s="1970" t="str">
        <f>结果表!H109</f>
        <v>——</v>
      </c>
      <c r="E16" s="1961"/>
    </row>
    <row r="17" spans="1:5" ht="15.75">
      <c r="A17" s="1961"/>
      <c r="B17" s="3004"/>
      <c r="C17" s="1964" t="s">
        <v>1636</v>
      </c>
      <c r="D17" s="1042" t="e">
        <f>NUMBERSTRING(INT(D16*10000),2)&amp;"元整"</f>
        <v>#VALUE!</v>
      </c>
      <c r="E17" s="1961"/>
    </row>
    <row r="18" spans="1:5" ht="15">
      <c r="A18" s="1961"/>
      <c r="B18" s="3005"/>
      <c r="C18" s="1965" t="s">
        <v>1625</v>
      </c>
      <c r="D18" s="1054" t="str">
        <f>结果表!H110</f>
        <v>——</v>
      </c>
      <c r="E18" s="1961"/>
    </row>
    <row r="19" spans="1:5" ht="15.75">
      <c r="A19" s="1961"/>
      <c r="B19" s="2996" t="str">
        <f>结果表!E111</f>
        <v>——</v>
      </c>
      <c r="C19" s="1969" t="s">
        <v>1623</v>
      </c>
      <c r="D19" s="1043" t="str">
        <f>结果表!H111</f>
        <v>——</v>
      </c>
      <c r="E19" s="1961"/>
    </row>
    <row r="20" spans="1:5" ht="15.75">
      <c r="A20" s="1961"/>
      <c r="B20" s="2997"/>
      <c r="C20" s="1964" t="s">
        <v>1636</v>
      </c>
      <c r="D20" s="1042" t="e">
        <f>NUMBERSTRING(INT(D19*10000),2)&amp;"元整"</f>
        <v>#VALUE!</v>
      </c>
      <c r="E20" s="1961"/>
    </row>
    <row r="21" spans="1:5" ht="15.75" thickBot="1">
      <c r="A21" s="1961"/>
      <c r="B21" s="2998"/>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27087</v>
      </c>
      <c r="C2" s="2" t="s">
        <v>133</v>
      </c>
      <c r="D2" s="243"/>
      <c r="E2" s="243"/>
      <c r="F2" s="243"/>
      <c r="G2" s="243"/>
    </row>
    <row r="3" spans="1:7" s="244" customFormat="1" ht="18" customHeight="1" thickBot="1">
      <c r="A3" s="247" t="s">
        <v>85</v>
      </c>
      <c r="B3" s="248">
        <f ca="1">ROUND(B2*10000/'数据-汇总表'!E3,0)</f>
        <v>217322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25</v>
      </c>
      <c r="D10" s="1035">
        <f>'数据-汇总表'!E6</f>
        <v>1246.4000000000001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25</v>
      </c>
      <c r="D19" s="1039">
        <f>'数据-汇总表'!E3</f>
        <v>1246.4000000000001</v>
      </c>
      <c r="E19" s="255">
        <f>'数据-取费表'!B31</f>
        <v>200</v>
      </c>
      <c r="F19" s="275"/>
      <c r="G19" s="1" t="s">
        <v>1074</v>
      </c>
    </row>
    <row r="20" spans="1:7" s="258" customFormat="1" ht="13.5" customHeight="1">
      <c r="A20" s="951" t="s">
        <v>1057</v>
      </c>
      <c r="B20" s="254" t="s">
        <v>104</v>
      </c>
      <c r="C20" s="276">
        <f>ROUND((C5+C19)*F20,0)</f>
        <v>619</v>
      </c>
      <c r="D20" s="276"/>
      <c r="E20" s="276"/>
      <c r="F20" s="277">
        <f>'数据-取费表'!B37</f>
        <v>0.03</v>
      </c>
      <c r="G20" s="1291"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6">
        <f ca="1">ROUND(SUM(C23:C25),0)</f>
        <v>911</v>
      </c>
      <c r="D22" s="279">
        <f ca="1">C26</f>
        <v>6.9999999999999999E-4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7">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2125</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2125</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26578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374</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25</v>
      </c>
      <c r="D37" s="261">
        <f>'数据-汇总表'!E3</f>
        <v>1246.4000000000001</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13</v>
      </c>
      <c r="D39" s="276"/>
      <c r="E39" s="276"/>
      <c r="F39" s="277"/>
      <c r="G39" s="1291"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v>
      </c>
      <c r="D41" s="279">
        <f ca="1">C44</f>
        <v>6.9999999999999999E-4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9</v>
      </c>
      <c r="D42" s="282"/>
      <c r="E42" s="282"/>
      <c r="F42" s="283"/>
      <c r="G42" s="3198" t="s">
        <v>121</v>
      </c>
    </row>
    <row r="43" spans="1:7" ht="13.5" customHeight="1">
      <c r="A43" s="954" t="s">
        <v>792</v>
      </c>
      <c r="B43" s="259" t="s">
        <v>1064</v>
      </c>
      <c r="C43" s="282">
        <f ca="1">ROUND(IF('数据-取费表'!B22&lt;=1,C39*F22*'数据-取费表'!B21/2,C39*(POWER((1+F22),'数据-取费表'!B21/2)-1)),0)</f>
        <v>0</v>
      </c>
      <c r="D43" s="282"/>
      <c r="E43" s="282"/>
      <c r="F43" s="283"/>
      <c r="G43" s="3199"/>
    </row>
    <row r="44" spans="1:7" ht="13.5" customHeight="1">
      <c r="A44" s="954" t="s">
        <v>793</v>
      </c>
      <c r="B44" s="259" t="s">
        <v>1066</v>
      </c>
      <c r="C44" s="282">
        <f ca="1">ROUND(IF('数据-取费表'!B22&lt;=1,C40*F22*'数据-取费表'!B21/2,C40*(POWER((1+F22),'数据-取费表'!B21/2)-1)),4)</f>
        <v>6.9999999999999999E-4</v>
      </c>
      <c r="D44" s="282"/>
      <c r="E44" s="282"/>
      <c r="F44" s="283"/>
      <c r="G44" s="3200"/>
    </row>
    <row r="45" spans="1:7" s="258" customFormat="1" ht="13.5" customHeight="1">
      <c r="A45" s="951" t="s">
        <v>786</v>
      </c>
      <c r="B45" s="288" t="s">
        <v>112</v>
      </c>
      <c r="C45" s="289">
        <f>C46</f>
        <v>44</v>
      </c>
      <c r="D45" s="279">
        <f>C47</f>
        <v>3.0000000000000001E-3</v>
      </c>
      <c r="E45" s="280" t="s">
        <v>129</v>
      </c>
      <c r="F45" s="290"/>
      <c r="G45" s="291" t="s">
        <v>1072</v>
      </c>
    </row>
    <row r="46" spans="1:7" s="258" customFormat="1" ht="13.5" customHeight="1">
      <c r="A46" s="954" t="s">
        <v>794</v>
      </c>
      <c r="B46" s="292" t="s">
        <v>1065</v>
      </c>
      <c r="C46" s="293">
        <f>ROUND((C33+C39)*F27,0)</f>
        <v>44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536</v>
      </c>
      <c r="D49" s="276"/>
      <c r="E49" s="276"/>
      <c r="F49" s="308"/>
      <c r="G49" s="278" t="s">
        <v>1073</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509</v>
      </c>
      <c r="D51" s="276"/>
      <c r="E51" s="276"/>
      <c r="F51" s="308"/>
      <c r="G51" s="278" t="s">
        <v>64</v>
      </c>
    </row>
    <row r="52" spans="1:7" s="252" customFormat="1" ht="16.5" thickBot="1">
      <c r="A52" s="309" t="s">
        <v>65</v>
      </c>
      <c r="B52" s="310"/>
      <c r="C52" s="311">
        <f ca="1">C31+C51</f>
        <v>27087</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5" t="s">
        <v>871</v>
      </c>
      <c r="B1" s="331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43165</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abSelected="1" zoomScale="90" zoomScaleNormal="90" workbookViewId="0">
      <selection activeCell="G18" sqref="G18"/>
    </sheetView>
  </sheetViews>
  <sheetFormatPr defaultRowHeight="14.25"/>
  <cols>
    <col min="1" max="1" width="10.5" style="403" customWidth="1"/>
    <col min="2" max="2" width="15.75" style="403" customWidth="1"/>
    <col min="3" max="3" width="26.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5" t="s">
        <v>2690</v>
      </c>
      <c r="C1" s="1622" t="s">
        <v>2518</v>
      </c>
      <c r="D1" s="1623" t="s">
        <v>3058</v>
      </c>
      <c r="E1" s="1632"/>
      <c r="F1" s="2580" t="s">
        <v>3138</v>
      </c>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f>IF(C2="——",ROUND(C43*D3/10000,0),ROUND(C43*D3/10000,0)-D2)</f>
        <v>0</v>
      </c>
      <c r="C2" s="2582" t="s">
        <v>70</v>
      </c>
      <c r="D2" s="1126" t="e">
        <f ca="1">SUMIF(INDIRECT("'"&amp;F2&amp;"'"&amp;"!A:A"),"承租人权益价值",INDIRECT("'"&amp;F2&amp;"'"&amp;"!c:c"))</f>
        <v>#REF!</v>
      </c>
      <c r="E2" s="2583" t="s">
        <v>2316</v>
      </c>
      <c r="F2" s="2584"/>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1395</v>
      </c>
      <c r="B3" s="609">
        <f>IF(C2="——",C43,ROUND(B2*10000/D3,0))</f>
        <v>2.6</v>
      </c>
      <c r="C3" s="400" t="s">
        <v>2632</v>
      </c>
      <c r="D3" s="399">
        <f>IF(D1="",'数据-汇总表'!E3,SUMIF('数据-汇总表'!$C19:$C33,D1,'数据-汇总表'!$E19:$E33))</f>
        <v>1246.4000000000001</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4" t="s">
        <v>2524</v>
      </c>
      <c r="D4" s="3215"/>
      <c r="E4" s="3216" t="s">
        <v>2525</v>
      </c>
      <c r="F4" s="3217"/>
      <c r="G4" s="3214" t="s">
        <v>2526</v>
      </c>
      <c r="H4" s="3215"/>
      <c r="I4" s="3214" t="s">
        <v>2637</v>
      </c>
      <c r="J4" s="3215"/>
      <c r="K4" s="610" t="s">
        <v>2638</v>
      </c>
      <c r="L4" s="1132"/>
      <c r="M4" s="1133"/>
      <c r="N4" s="1133"/>
      <c r="O4" s="1133"/>
      <c r="P4" s="3218" t="s">
        <v>2529</v>
      </c>
      <c r="Q4" s="3219"/>
      <c r="R4" s="3224" t="s">
        <v>2525</v>
      </c>
      <c r="S4" s="3225"/>
      <c r="T4" s="3224" t="s">
        <v>2526</v>
      </c>
      <c r="U4" s="3225"/>
      <c r="V4" s="3230" t="s">
        <v>2637</v>
      </c>
      <c r="W4" s="3230"/>
      <c r="X4" s="2939"/>
      <c r="Y4" s="3224" t="s">
        <v>2529</v>
      </c>
      <c r="Z4" s="3225"/>
      <c r="AA4" s="3211" t="s">
        <v>2525</v>
      </c>
      <c r="AB4" s="3212" t="s">
        <v>2526</v>
      </c>
      <c r="AC4" s="3211" t="s">
        <v>2637</v>
      </c>
    </row>
    <row r="5" spans="1:29" ht="15">
      <c r="A5" s="404"/>
      <c r="B5" s="405"/>
      <c r="C5" s="3238" t="s">
        <v>3112</v>
      </c>
      <c r="D5" s="3239"/>
      <c r="E5" s="3233" t="s">
        <v>3137</v>
      </c>
      <c r="F5" s="3234"/>
      <c r="G5" s="3233" t="s">
        <v>3113</v>
      </c>
      <c r="H5" s="3234"/>
      <c r="I5" s="3238" t="s">
        <v>3140</v>
      </c>
      <c r="J5" s="3239"/>
      <c r="K5" s="610"/>
      <c r="L5" s="1132"/>
      <c r="M5" s="1133"/>
      <c r="N5" s="1133"/>
      <c r="O5" s="1133"/>
      <c r="P5" s="3220"/>
      <c r="Q5" s="3221"/>
      <c r="R5" s="3226"/>
      <c r="S5" s="3227"/>
      <c r="T5" s="3226"/>
      <c r="U5" s="3227"/>
      <c r="V5" s="3230"/>
      <c r="W5" s="3230"/>
      <c r="X5" s="2939"/>
      <c r="Y5" s="3226"/>
      <c r="Z5" s="3227"/>
      <c r="AA5" s="3212"/>
      <c r="AB5" s="3212"/>
      <c r="AC5" s="3212"/>
    </row>
    <row r="6" spans="1:29" ht="15.75" thickBot="1">
      <c r="A6" s="406"/>
      <c r="B6" s="407"/>
      <c r="C6" s="3231" t="s">
        <v>2534</v>
      </c>
      <c r="D6" s="3232"/>
      <c r="E6" s="3240" t="s">
        <v>2534</v>
      </c>
      <c r="F6" s="3241"/>
      <c r="G6" s="3231" t="s">
        <v>2534</v>
      </c>
      <c r="H6" s="3232"/>
      <c r="I6" s="3231" t="s">
        <v>2534</v>
      </c>
      <c r="J6" s="3232"/>
      <c r="K6" s="610" t="s">
        <v>2535</v>
      </c>
      <c r="L6" s="1132"/>
      <c r="M6" s="1133"/>
      <c r="N6" s="1133"/>
      <c r="O6" s="1133"/>
      <c r="P6" s="3222"/>
      <c r="Q6" s="3223"/>
      <c r="R6" s="3226"/>
      <c r="S6" s="3227"/>
      <c r="T6" s="3228"/>
      <c r="U6" s="3229"/>
      <c r="V6" s="3230"/>
      <c r="W6" s="3230"/>
      <c r="X6" s="2939"/>
      <c r="Y6" s="3228"/>
      <c r="Z6" s="3229"/>
      <c r="AA6" s="3213"/>
      <c r="AB6" s="3213"/>
      <c r="AC6" s="3213"/>
    </row>
    <row r="7" spans="1:29" s="117" customFormat="1" ht="15.75" thickBot="1">
      <c r="A7" s="408" t="s">
        <v>2536</v>
      </c>
      <c r="B7" s="409"/>
      <c r="C7" s="410">
        <f>'数据-取费表'!B2</f>
        <v>43165</v>
      </c>
      <c r="D7" s="411">
        <v>100</v>
      </c>
      <c r="E7" s="412">
        <v>43165</v>
      </c>
      <c r="F7" s="413">
        <f>SUMIF(52:52,YEAR(E7)&amp;"-"&amp;MONTH(E7),53:53)</f>
        <v>100</v>
      </c>
      <c r="G7" s="412">
        <v>43165</v>
      </c>
      <c r="H7" s="411">
        <f>SUMIF(52:52,YEAR(G7)&amp;"-"&amp;MONTH(G7),53:53)</f>
        <v>100</v>
      </c>
      <c r="I7" s="412">
        <v>43165</v>
      </c>
      <c r="J7" s="411">
        <f>SUMIF(52:52,YEAR(I7)&amp;"-"&amp;MONTH(I7),53:53)</f>
        <v>100</v>
      </c>
      <c r="K7" s="611"/>
      <c r="L7" s="1134"/>
      <c r="M7" s="1135"/>
      <c r="N7" s="1135"/>
      <c r="O7" s="1135"/>
      <c r="P7" s="3235" t="s">
        <v>2537</v>
      </c>
      <c r="Q7" s="3237"/>
      <c r="R7" s="770" t="s">
        <v>17</v>
      </c>
      <c r="S7" s="771">
        <f t="shared" ref="S7:S15" si="0">F7</f>
        <v>100</v>
      </c>
      <c r="T7" s="770" t="s">
        <v>17</v>
      </c>
      <c r="U7" s="771">
        <f t="shared" ref="U7:U15" si="1">H7</f>
        <v>100</v>
      </c>
      <c r="V7" s="770" t="s">
        <v>17</v>
      </c>
      <c r="W7" s="771">
        <f t="shared" ref="W7:W15" si="2">J7</f>
        <v>100</v>
      </c>
      <c r="X7" s="772"/>
      <c r="Y7" s="3235" t="s">
        <v>2537</v>
      </c>
      <c r="Z7" s="3236"/>
      <c r="AA7" s="773">
        <f>D7/F7</f>
        <v>1</v>
      </c>
      <c r="AB7" s="773">
        <f>D7/H7</f>
        <v>1</v>
      </c>
      <c r="AC7" s="773">
        <f>D7/J7</f>
        <v>1</v>
      </c>
    </row>
    <row r="8" spans="1:29" s="117" customFormat="1" ht="15.75" thickBot="1">
      <c r="A8" s="408" t="s">
        <v>2538</v>
      </c>
      <c r="B8" s="409"/>
      <c r="C8" s="414" t="s">
        <v>2539</v>
      </c>
      <c r="D8" s="411">
        <v>100</v>
      </c>
      <c r="E8" s="414" t="s">
        <v>2539</v>
      </c>
      <c r="F8" s="413">
        <f>SUMIF(55:55,E8,56:56)-SUMIF(55:55,C8,56:56)+100</f>
        <v>100</v>
      </c>
      <c r="G8" s="414" t="s">
        <v>2539</v>
      </c>
      <c r="H8" s="411">
        <f>SUMIF(55:55,G8,56:56)-SUMIF(55:55,C8,56:56)+100</f>
        <v>100</v>
      </c>
      <c r="I8" s="414" t="s">
        <v>2539</v>
      </c>
      <c r="J8" s="411">
        <f>SUMIF(55:55,I8,56:56)-SUMIF(55:55,C8,56:56)+100</f>
        <v>100</v>
      </c>
      <c r="K8" s="611"/>
      <c r="L8" s="1134"/>
      <c r="M8" s="1135"/>
      <c r="N8" s="1135"/>
      <c r="O8" s="1135"/>
      <c r="P8" s="3235" t="s">
        <v>2540</v>
      </c>
      <c r="Q8" s="3236"/>
      <c r="R8" s="770" t="s">
        <v>17</v>
      </c>
      <c r="S8" s="771">
        <f t="shared" si="0"/>
        <v>100</v>
      </c>
      <c r="T8" s="770" t="s">
        <v>17</v>
      </c>
      <c r="U8" s="771">
        <f t="shared" si="1"/>
        <v>100</v>
      </c>
      <c r="V8" s="770" t="s">
        <v>17</v>
      </c>
      <c r="W8" s="771">
        <f t="shared" si="2"/>
        <v>100</v>
      </c>
      <c r="X8" s="772"/>
      <c r="Y8" s="3235" t="s">
        <v>2540</v>
      </c>
      <c r="Z8" s="3236"/>
      <c r="AA8" s="773">
        <f t="shared" ref="AA8:AA40" si="3">D8/F8</f>
        <v>1</v>
      </c>
      <c r="AB8" s="773">
        <f t="shared" ref="AB8:AB40" si="4">D8/H8</f>
        <v>1</v>
      </c>
      <c r="AC8" s="773">
        <f t="shared" ref="AC8:AC40" si="5">D8/J8</f>
        <v>1</v>
      </c>
    </row>
    <row r="9" spans="1:29" s="117" customFormat="1" ht="15" thickBot="1">
      <c r="A9" s="415" t="s">
        <v>2541</v>
      </c>
      <c r="B9" s="71" t="s">
        <v>2542</v>
      </c>
      <c r="C9" s="2985" t="s">
        <v>3115</v>
      </c>
      <c r="D9" s="135">
        <v>100</v>
      </c>
      <c r="E9" s="3323" t="s">
        <v>6</v>
      </c>
      <c r="F9" s="135">
        <f>SUMIF(57:57,E9,58:58)-SUMIF(57:57,C9,58:58)+100</f>
        <v>100</v>
      </c>
      <c r="G9" s="419" t="s">
        <v>6</v>
      </c>
      <c r="H9" s="135">
        <f>SUMIF(57:57,G9,58:58)-SUMIF(57:57,C9,58:58)+100</f>
        <v>100</v>
      </c>
      <c r="I9" s="3323" t="s">
        <v>6</v>
      </c>
      <c r="J9" s="135">
        <f>SUMIF(57:57,I9,58:58)-SUMIF(57:57,C9,58:58)+100</f>
        <v>100</v>
      </c>
      <c r="K9" s="611"/>
      <c r="L9" s="1134"/>
      <c r="M9" s="1135"/>
      <c r="N9" s="1135"/>
      <c r="O9" s="1136"/>
      <c r="P9" s="3201" t="s">
        <v>2543</v>
      </c>
      <c r="Q9" s="2934" t="str">
        <f t="shared" ref="Q9:Q15" si="6">B9</f>
        <v>用途</v>
      </c>
      <c r="R9" s="770" t="s">
        <v>17</v>
      </c>
      <c r="S9" s="771">
        <f t="shared" si="0"/>
        <v>100</v>
      </c>
      <c r="T9" s="770" t="s">
        <v>17</v>
      </c>
      <c r="U9" s="771">
        <f t="shared" si="1"/>
        <v>100</v>
      </c>
      <c r="V9" s="770" t="s">
        <v>17</v>
      </c>
      <c r="W9" s="771">
        <f t="shared" si="2"/>
        <v>100</v>
      </c>
      <c r="X9" s="772"/>
      <c r="Y9" s="3039" t="s">
        <v>2544</v>
      </c>
      <c r="Z9" s="2935" t="str">
        <f t="shared" ref="Z9:Z15" si="7">Q9</f>
        <v>用途</v>
      </c>
      <c r="AA9" s="773">
        <f t="shared" si="3"/>
        <v>1</v>
      </c>
      <c r="AB9" s="773">
        <f t="shared" si="4"/>
        <v>1</v>
      </c>
      <c r="AC9" s="773">
        <f t="shared" si="5"/>
        <v>1</v>
      </c>
    </row>
    <row r="10" spans="1:29" s="427" customFormat="1" ht="27.75" hidden="1" thickBot="1">
      <c r="A10" s="421"/>
      <c r="B10" s="2936" t="s">
        <v>2545</v>
      </c>
      <c r="C10" s="423" t="s">
        <v>3116</v>
      </c>
      <c r="D10" s="136">
        <v>100</v>
      </c>
      <c r="E10" s="423" t="s">
        <v>3116</v>
      </c>
      <c r="F10" s="136">
        <f>SUMIF(59:59,E10,60:60)-SUMIF(59:59,C10,60:60)+100</f>
        <v>100</v>
      </c>
      <c r="G10" s="423" t="s">
        <v>3116</v>
      </c>
      <c r="H10" s="136">
        <f>SUMIF(59:59,G10,60:60)-SUMIF(59:59,C10,60:60)+100</f>
        <v>100</v>
      </c>
      <c r="I10" s="423" t="s">
        <v>3116</v>
      </c>
      <c r="J10" s="136">
        <f>SUMIF(59:59,I10,60:60)-SUMIF(59:59,C10,60:60)+100</f>
        <v>100</v>
      </c>
      <c r="K10" s="2991">
        <v>0</v>
      </c>
      <c r="L10" s="1137"/>
      <c r="M10" s="1138"/>
      <c r="N10" s="1138"/>
      <c r="O10" s="1139"/>
      <c r="P10" s="3201"/>
      <c r="Q10" s="2934" t="str">
        <f t="shared" si="6"/>
        <v>土地使用年限（年）</v>
      </c>
      <c r="R10" s="770" t="s">
        <v>17</v>
      </c>
      <c r="S10" s="771">
        <f t="shared" si="0"/>
        <v>100</v>
      </c>
      <c r="T10" s="770" t="s">
        <v>17</v>
      </c>
      <c r="U10" s="771">
        <f t="shared" si="1"/>
        <v>100</v>
      </c>
      <c r="V10" s="770" t="s">
        <v>17</v>
      </c>
      <c r="W10" s="771">
        <f t="shared" si="2"/>
        <v>100</v>
      </c>
      <c r="X10" s="772"/>
      <c r="Y10" s="3039"/>
      <c r="Z10" s="2935" t="str">
        <f t="shared" si="7"/>
        <v>土地使用年限（年）</v>
      </c>
      <c r="AA10" s="773">
        <f t="shared" si="3"/>
        <v>1</v>
      </c>
      <c r="AB10" s="773">
        <f t="shared" si="4"/>
        <v>1</v>
      </c>
      <c r="AC10" s="773">
        <f t="shared" si="5"/>
        <v>1</v>
      </c>
    </row>
    <row r="11" spans="1:29" ht="15.75" hidden="1" thickBot="1">
      <c r="A11" s="428"/>
      <c r="B11" s="2936" t="s">
        <v>2546</v>
      </c>
      <c r="C11" s="429">
        <v>1</v>
      </c>
      <c r="D11" s="136">
        <v>100</v>
      </c>
      <c r="E11" s="429">
        <v>1</v>
      </c>
      <c r="F11" s="136">
        <f>LOOKUP(E11,62:62,63:63)-LOOKUP(C11,62:62,63:63)+100</f>
        <v>100</v>
      </c>
      <c r="G11" s="429">
        <v>1</v>
      </c>
      <c r="H11" s="136">
        <f>LOOKUP(G11,62:62,63:63)-LOOKUP(C11,62:62,63:63)+100</f>
        <v>100</v>
      </c>
      <c r="I11" s="429">
        <v>1</v>
      </c>
      <c r="J11" s="136">
        <f>LOOKUP(I11,62:62,63:63)-LOOKUP(C11,62:62,63:63)+100</f>
        <v>100</v>
      </c>
      <c r="K11" s="612">
        <v>0</v>
      </c>
      <c r="L11" s="1140"/>
      <c r="M11" s="1133"/>
      <c r="N11" s="1133"/>
      <c r="O11" s="1141"/>
      <c r="P11" s="3201"/>
      <c r="Q11" s="2934" t="str">
        <f t="shared" si="6"/>
        <v>容积率</v>
      </c>
      <c r="R11" s="770" t="s">
        <v>17</v>
      </c>
      <c r="S11" s="771">
        <f t="shared" si="0"/>
        <v>100</v>
      </c>
      <c r="T11" s="770" t="s">
        <v>17</v>
      </c>
      <c r="U11" s="771">
        <f t="shared" si="1"/>
        <v>100</v>
      </c>
      <c r="V11" s="770" t="s">
        <v>17</v>
      </c>
      <c r="W11" s="771">
        <f t="shared" si="2"/>
        <v>100</v>
      </c>
      <c r="X11" s="772"/>
      <c r="Y11" s="3039"/>
      <c r="Z11" s="2935" t="str">
        <f t="shared" si="7"/>
        <v>容积率</v>
      </c>
      <c r="AA11" s="773">
        <f t="shared" si="3"/>
        <v>1</v>
      </c>
      <c r="AB11" s="773">
        <f t="shared" si="4"/>
        <v>1</v>
      </c>
      <c r="AC11" s="773">
        <f t="shared" si="5"/>
        <v>1</v>
      </c>
    </row>
    <row r="12" spans="1:29" s="117" customFormat="1" ht="15.75" hidden="1" thickBot="1">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4"/>
      <c r="M12" s="1135"/>
      <c r="N12" s="1135"/>
      <c r="O12" s="1136"/>
      <c r="P12" s="3201"/>
      <c r="Q12" s="2934">
        <f t="shared" si="6"/>
        <v>111</v>
      </c>
      <c r="R12" s="770" t="s">
        <v>17</v>
      </c>
      <c r="S12" s="771">
        <f t="shared" si="0"/>
        <v>100</v>
      </c>
      <c r="T12" s="770" t="s">
        <v>17</v>
      </c>
      <c r="U12" s="771">
        <f t="shared" si="1"/>
        <v>100</v>
      </c>
      <c r="V12" s="770" t="s">
        <v>17</v>
      </c>
      <c r="W12" s="771">
        <f t="shared" si="2"/>
        <v>100</v>
      </c>
      <c r="X12" s="772"/>
      <c r="Y12" s="3039"/>
      <c r="Z12" s="2935">
        <f t="shared" si="7"/>
        <v>111</v>
      </c>
      <c r="AA12" s="773">
        <f>D12/F12</f>
        <v>1</v>
      </c>
      <c r="AB12" s="773">
        <f>D12/H12</f>
        <v>1</v>
      </c>
      <c r="AC12" s="773">
        <f>D12/J12</f>
        <v>1</v>
      </c>
    </row>
    <row r="13" spans="1:29" ht="15.75" hidden="1" thickBot="1">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2"/>
      <c r="M13" s="1133"/>
      <c r="N13" s="1133"/>
      <c r="O13" s="1141"/>
      <c r="P13" s="3201"/>
      <c r="Q13" s="2934">
        <f t="shared" si="6"/>
        <v>111</v>
      </c>
      <c r="R13" s="770" t="s">
        <v>17</v>
      </c>
      <c r="S13" s="771">
        <f t="shared" si="0"/>
        <v>100</v>
      </c>
      <c r="T13" s="770" t="s">
        <v>17</v>
      </c>
      <c r="U13" s="771">
        <f t="shared" si="1"/>
        <v>100</v>
      </c>
      <c r="V13" s="770" t="s">
        <v>17</v>
      </c>
      <c r="W13" s="771">
        <f t="shared" si="2"/>
        <v>100</v>
      </c>
      <c r="X13" s="772"/>
      <c r="Y13" s="3039"/>
      <c r="Z13" s="2935">
        <f t="shared" si="7"/>
        <v>111</v>
      </c>
      <c r="AA13" s="773">
        <f t="shared" si="3"/>
        <v>1</v>
      </c>
      <c r="AB13" s="773">
        <f t="shared" si="4"/>
        <v>1</v>
      </c>
      <c r="AC13" s="773">
        <f t="shared" si="5"/>
        <v>1</v>
      </c>
    </row>
    <row r="14" spans="1:29" ht="15.75" hidden="1"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2"/>
      <c r="M14" s="1133"/>
      <c r="N14" s="1133"/>
      <c r="O14" s="1141"/>
      <c r="P14" s="3201"/>
      <c r="Q14" s="2934">
        <f t="shared" si="6"/>
        <v>111</v>
      </c>
      <c r="R14" s="770" t="s">
        <v>17</v>
      </c>
      <c r="S14" s="771">
        <f t="shared" si="0"/>
        <v>100</v>
      </c>
      <c r="T14" s="770" t="s">
        <v>17</v>
      </c>
      <c r="U14" s="771">
        <f t="shared" si="1"/>
        <v>100</v>
      </c>
      <c r="V14" s="770" t="s">
        <v>17</v>
      </c>
      <c r="W14" s="771">
        <f t="shared" si="2"/>
        <v>100</v>
      </c>
      <c r="X14" s="772"/>
      <c r="Y14" s="3039"/>
      <c r="Z14" s="2935">
        <f t="shared" si="7"/>
        <v>111</v>
      </c>
      <c r="AA14" s="773">
        <f t="shared" si="3"/>
        <v>1</v>
      </c>
      <c r="AB14" s="773">
        <f t="shared" si="4"/>
        <v>1</v>
      </c>
      <c r="AC14" s="773">
        <f t="shared" si="5"/>
        <v>1</v>
      </c>
    </row>
    <row r="15" spans="1:29" ht="42.75">
      <c r="A15" s="440" t="s">
        <v>2547</v>
      </c>
      <c r="B15" s="69" t="s">
        <v>2691</v>
      </c>
      <c r="C15" s="2689" t="str">
        <f>估价对象房地状况!G3</f>
        <v>估价对象位于中关村兴业创业园，园区建设成熟度较好，产业集聚程度较好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2">
        <f>'比较法-工业'!K15</f>
        <v>2</v>
      </c>
      <c r="L15" s="1142"/>
      <c r="M15" s="1133"/>
      <c r="N15" s="1133"/>
      <c r="O15" s="1141"/>
      <c r="P15" s="3206" t="s">
        <v>2548</v>
      </c>
      <c r="Q15" s="2937" t="str">
        <f t="shared" si="6"/>
        <v>产业集聚程度</v>
      </c>
      <c r="R15" s="774" t="s">
        <v>17</v>
      </c>
      <c r="S15" s="775">
        <f t="shared" si="0"/>
        <v>100</v>
      </c>
      <c r="T15" s="774" t="s">
        <v>17</v>
      </c>
      <c r="U15" s="775">
        <f t="shared" si="1"/>
        <v>100</v>
      </c>
      <c r="V15" s="774" t="s">
        <v>17</v>
      </c>
      <c r="W15" s="775">
        <f t="shared" si="2"/>
        <v>100</v>
      </c>
      <c r="X15" s="2939"/>
      <c r="Y15" s="3206" t="s">
        <v>2548</v>
      </c>
      <c r="Z15" s="2940" t="str">
        <f t="shared" si="7"/>
        <v>产业集聚程度</v>
      </c>
      <c r="AA15" s="2938">
        <f t="shared" si="3"/>
        <v>1</v>
      </c>
      <c r="AB15" s="2938">
        <f t="shared" si="4"/>
        <v>1</v>
      </c>
      <c r="AC15" s="2938">
        <f t="shared" si="5"/>
        <v>1</v>
      </c>
    </row>
    <row r="16" spans="1:29" ht="15">
      <c r="A16" s="428"/>
      <c r="B16" s="446"/>
      <c r="C16" s="447" t="s">
        <v>3117</v>
      </c>
      <c r="D16" s="448"/>
      <c r="E16" s="447" t="s">
        <v>3117</v>
      </c>
      <c r="F16" s="449"/>
      <c r="G16" s="447" t="s">
        <v>3117</v>
      </c>
      <c r="H16" s="450"/>
      <c r="I16" s="447" t="s">
        <v>3117</v>
      </c>
      <c r="J16" s="448"/>
      <c r="K16" s="615"/>
      <c r="L16" s="1142"/>
      <c r="M16" s="1133"/>
      <c r="N16" s="1133"/>
      <c r="O16" s="1141"/>
      <c r="P16" s="3207"/>
      <c r="Q16" s="2937"/>
      <c r="R16" s="774"/>
      <c r="S16" s="775"/>
      <c r="T16" s="774"/>
      <c r="U16" s="775"/>
      <c r="V16" s="774"/>
      <c r="W16" s="775"/>
      <c r="X16" s="2939"/>
      <c r="Y16" s="3207"/>
      <c r="Z16" s="2940"/>
      <c r="AA16" s="2938">
        <v>1</v>
      </c>
      <c r="AB16" s="2938">
        <v>1</v>
      </c>
      <c r="AC16" s="2938">
        <v>1</v>
      </c>
    </row>
    <row r="17" spans="1:29" ht="57">
      <c r="A17" s="428"/>
      <c r="B17" s="451" t="s">
        <v>2089</v>
      </c>
      <c r="C17" s="2603" t="str">
        <f>估价对象房地状况!G4</f>
        <v>估价对象周边道路状况较好、公共交通通达情况一般、停车便捷程度一般，综合评价交通便捷度一般</v>
      </c>
      <c r="D17" s="450">
        <v>100</v>
      </c>
      <c r="E17" s="452"/>
      <c r="F17" s="453">
        <f>SUMIF(72:72,E18,73:73)-SUMIF(72:72,C18,73:73)+100</f>
        <v>101</v>
      </c>
      <c r="G17" s="454"/>
      <c r="H17" s="455">
        <f>SUMIF(72:72,G18,73:73)-SUMIF(72:72,C18,73:73)+100</f>
        <v>101</v>
      </c>
      <c r="I17" s="452"/>
      <c r="J17" s="455">
        <f>SUMIF(72:72,I18,73:73)-SUMIF(72:72,C18,73:73)+100</f>
        <v>100</v>
      </c>
      <c r="K17" s="612">
        <f>'比较法-工业'!K17</f>
        <v>1</v>
      </c>
      <c r="L17" s="1142"/>
      <c r="M17" s="1133"/>
      <c r="N17" s="1133"/>
      <c r="O17" s="1141"/>
      <c r="P17" s="3207"/>
      <c r="Q17" s="2937" t="str">
        <f>B17</f>
        <v>交通便捷度</v>
      </c>
      <c r="R17" s="774" t="s">
        <v>17</v>
      </c>
      <c r="S17" s="775">
        <f>F17</f>
        <v>101</v>
      </c>
      <c r="T17" s="774" t="s">
        <v>17</v>
      </c>
      <c r="U17" s="775">
        <f>H17</f>
        <v>101</v>
      </c>
      <c r="V17" s="774" t="s">
        <v>17</v>
      </c>
      <c r="W17" s="775">
        <f>J17</f>
        <v>100</v>
      </c>
      <c r="X17" s="2939"/>
      <c r="Y17" s="3207"/>
      <c r="Z17" s="2940" t="str">
        <f>Q17</f>
        <v>交通便捷度</v>
      </c>
      <c r="AA17" s="2938">
        <f t="shared" si="3"/>
        <v>0.99009900990099009</v>
      </c>
      <c r="AB17" s="2938">
        <f t="shared" si="4"/>
        <v>0.99009900990099009</v>
      </c>
      <c r="AC17" s="2938">
        <f t="shared" si="5"/>
        <v>1</v>
      </c>
    </row>
    <row r="18" spans="1:29" ht="15">
      <c r="A18" s="428"/>
      <c r="B18" s="456"/>
      <c r="C18" s="2604" t="s">
        <v>3118</v>
      </c>
      <c r="D18" s="450"/>
      <c r="E18" s="2604" t="s">
        <v>3117</v>
      </c>
      <c r="F18" s="453"/>
      <c r="G18" s="2604" t="s">
        <v>3117</v>
      </c>
      <c r="H18" s="448"/>
      <c r="I18" s="2604" t="s">
        <v>3118</v>
      </c>
      <c r="J18" s="448"/>
      <c r="K18" s="615"/>
      <c r="L18" s="1142"/>
      <c r="M18" s="1133"/>
      <c r="N18" s="1133"/>
      <c r="O18" s="1141"/>
      <c r="P18" s="3207"/>
      <c r="Q18" s="2937"/>
      <c r="R18" s="774"/>
      <c r="S18" s="775"/>
      <c r="T18" s="774"/>
      <c r="U18" s="775"/>
      <c r="V18" s="774"/>
      <c r="W18" s="775"/>
      <c r="X18" s="2939"/>
      <c r="Y18" s="3207"/>
      <c r="Z18" s="2940"/>
      <c r="AA18" s="2938">
        <v>1</v>
      </c>
      <c r="AB18" s="2938">
        <v>1</v>
      </c>
      <c r="AC18" s="2938">
        <v>1</v>
      </c>
    </row>
    <row r="19" spans="1:29" ht="63.75" customHeight="1">
      <c r="A19" s="428"/>
      <c r="B19" s="451" t="s">
        <v>2676</v>
      </c>
      <c r="C19" s="2603" t="str">
        <f>估价对象房地状况!G5</f>
        <v>估价对象所在区域公共配套设施有农村商业银行、上海浦东发展银行、世纪华联、容中超市、中国石油大学附属中学、昌平五中等，齐备情况较好</v>
      </c>
      <c r="D19" s="455">
        <v>100</v>
      </c>
      <c r="E19" s="457"/>
      <c r="F19" s="458">
        <f>SUMIF(74:74,E20,75:75)-SUMIF(74:74,C20,75:75)+100</f>
        <v>100</v>
      </c>
      <c r="G19" s="459"/>
      <c r="H19" s="450">
        <f>SUMIF(74:74,G20,75:75)-SUMIF(74:74,C20,75:75)+100</f>
        <v>100</v>
      </c>
      <c r="I19" s="457"/>
      <c r="J19" s="450">
        <f>SUMIF(74:74,I20,75:75)-SUMIF(74:74,C20,75:75)+100</f>
        <v>100</v>
      </c>
      <c r="K19" s="612">
        <f>'比较法-工业'!K19</f>
        <v>2</v>
      </c>
      <c r="L19" s="1142"/>
      <c r="M19" s="1133"/>
      <c r="N19" s="1133"/>
      <c r="O19" s="1141"/>
      <c r="P19" s="3207"/>
      <c r="Q19" s="2937" t="str">
        <f>B19</f>
        <v>公共配套设施</v>
      </c>
      <c r="R19" s="774" t="s">
        <v>17</v>
      </c>
      <c r="S19" s="775">
        <f>F19</f>
        <v>100</v>
      </c>
      <c r="T19" s="774" t="s">
        <v>17</v>
      </c>
      <c r="U19" s="775">
        <f>H19</f>
        <v>100</v>
      </c>
      <c r="V19" s="774" t="s">
        <v>17</v>
      </c>
      <c r="W19" s="775">
        <f>J19</f>
        <v>100</v>
      </c>
      <c r="X19" s="2939"/>
      <c r="Y19" s="3207"/>
      <c r="Z19" s="2940" t="str">
        <f>Q19</f>
        <v>公共配套设施</v>
      </c>
      <c r="AA19" s="2938">
        <f t="shared" si="3"/>
        <v>1</v>
      </c>
      <c r="AB19" s="2938">
        <f t="shared" si="4"/>
        <v>1</v>
      </c>
      <c r="AC19" s="2938">
        <f t="shared" si="5"/>
        <v>1</v>
      </c>
    </row>
    <row r="20" spans="1:29" ht="15">
      <c r="A20" s="428"/>
      <c r="B20" s="456"/>
      <c r="C20" s="447" t="s">
        <v>3117</v>
      </c>
      <c r="D20" s="448"/>
      <c r="E20" s="447" t="s">
        <v>3117</v>
      </c>
      <c r="F20" s="449"/>
      <c r="G20" s="447" t="s">
        <v>3117</v>
      </c>
      <c r="H20" s="448"/>
      <c r="I20" s="447" t="s">
        <v>3117</v>
      </c>
      <c r="J20" s="448"/>
      <c r="K20" s="615"/>
      <c r="L20" s="1142"/>
      <c r="M20" s="1133"/>
      <c r="N20" s="1133"/>
      <c r="O20" s="1141"/>
      <c r="P20" s="3207"/>
      <c r="Q20" s="2937"/>
      <c r="R20" s="774"/>
      <c r="S20" s="775"/>
      <c r="T20" s="774"/>
      <c r="U20" s="775"/>
      <c r="V20" s="774"/>
      <c r="W20" s="775"/>
      <c r="X20" s="2939"/>
      <c r="Y20" s="3207"/>
      <c r="Z20" s="2940"/>
      <c r="AA20" s="2938">
        <v>1</v>
      </c>
      <c r="AB20" s="2938">
        <v>1</v>
      </c>
      <c r="AC20" s="2938">
        <v>1</v>
      </c>
    </row>
    <row r="21" spans="1:29" ht="28.5">
      <c r="A21" s="428"/>
      <c r="B21" s="1386" t="s">
        <v>2677</v>
      </c>
      <c r="C21" s="2603"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2">
        <f>'比较法-工业'!K21</f>
        <v>1</v>
      </c>
      <c r="L21" s="1142"/>
      <c r="M21" s="1133"/>
      <c r="N21" s="1133"/>
      <c r="O21" s="1141"/>
      <c r="P21" s="3207"/>
      <c r="Q21" s="2937" t="str">
        <f>B21</f>
        <v>基础设施水平</v>
      </c>
      <c r="R21" s="774" t="s">
        <v>17</v>
      </c>
      <c r="S21" s="775">
        <f>F21</f>
        <v>100</v>
      </c>
      <c r="T21" s="774" t="s">
        <v>17</v>
      </c>
      <c r="U21" s="775">
        <f>H21</f>
        <v>100</v>
      </c>
      <c r="V21" s="774" t="s">
        <v>17</v>
      </c>
      <c r="W21" s="775">
        <f>J21</f>
        <v>100</v>
      </c>
      <c r="X21" s="2939"/>
      <c r="Y21" s="3207"/>
      <c r="Z21" s="2940" t="str">
        <f>Q21</f>
        <v>基础设施水平</v>
      </c>
      <c r="AA21" s="2938">
        <f t="shared" ref="AA21" si="8">D21/F21</f>
        <v>1</v>
      </c>
      <c r="AB21" s="2938">
        <f t="shared" ref="AB21" si="9">D21/H21</f>
        <v>1</v>
      </c>
      <c r="AC21" s="2938">
        <f t="shared" ref="AC21" si="10">D21/J21</f>
        <v>1</v>
      </c>
    </row>
    <row r="22" spans="1:29" ht="15">
      <c r="A22" s="428"/>
      <c r="B22" s="1386"/>
      <c r="C22" s="2604" t="s">
        <v>3119</v>
      </c>
      <c r="D22" s="448"/>
      <c r="E22" s="2604" t="s">
        <v>3119</v>
      </c>
      <c r="F22" s="449"/>
      <c r="G22" s="2604" t="s">
        <v>3119</v>
      </c>
      <c r="H22" s="448"/>
      <c r="I22" s="2604" t="s">
        <v>3119</v>
      </c>
      <c r="J22" s="448"/>
      <c r="K22" s="1385"/>
      <c r="L22" s="1142"/>
      <c r="M22" s="1133"/>
      <c r="N22" s="1133"/>
      <c r="O22" s="1141"/>
      <c r="P22" s="3207"/>
      <c r="Q22" s="2937"/>
      <c r="R22" s="774"/>
      <c r="S22" s="775"/>
      <c r="T22" s="774"/>
      <c r="U22" s="775"/>
      <c r="V22" s="774"/>
      <c r="W22" s="775"/>
      <c r="X22" s="2939"/>
      <c r="Y22" s="3207"/>
      <c r="Z22" s="2940"/>
      <c r="AA22" s="2938">
        <v>1</v>
      </c>
      <c r="AB22" s="2938">
        <v>1</v>
      </c>
      <c r="AC22" s="2938">
        <v>1</v>
      </c>
    </row>
    <row r="23" spans="1:29" ht="42.75">
      <c r="A23" s="428"/>
      <c r="B23" s="451" t="s">
        <v>2678</v>
      </c>
      <c r="C23" s="2603" t="str">
        <f>估价对象房地状况!G7</f>
        <v>该园区内是否有污染型企业，绿化情况，卫生条件，整体环境状况判断，较好</v>
      </c>
      <c r="D23" s="450">
        <v>100</v>
      </c>
      <c r="E23" s="452"/>
      <c r="F23" s="453">
        <f>SUMIF(78:78,E24,79:79)-SUMIF(78:78,C24,79:79)+100</f>
        <v>100</v>
      </c>
      <c r="G23" s="454"/>
      <c r="H23" s="450">
        <f>SUMIF(78:78,G24,79:79)-SUMIF(78:78,C24,79:79)+100</f>
        <v>100</v>
      </c>
      <c r="I23" s="452"/>
      <c r="J23" s="450">
        <f>SUMIF(78:78,I24,79:79)-SUMIF(78:78,C24,79:79)+100</f>
        <v>100</v>
      </c>
      <c r="K23" s="612">
        <f>'比较法-工业'!K23</f>
        <v>2</v>
      </c>
      <c r="L23" s="1142"/>
      <c r="M23" s="1133"/>
      <c r="N23" s="1133"/>
      <c r="O23" s="1141"/>
      <c r="P23" s="3207"/>
      <c r="Q23" s="2937" t="str">
        <f>B23</f>
        <v>环境质量</v>
      </c>
      <c r="R23" s="774" t="s">
        <v>17</v>
      </c>
      <c r="S23" s="775">
        <f>F23</f>
        <v>100</v>
      </c>
      <c r="T23" s="774" t="s">
        <v>17</v>
      </c>
      <c r="U23" s="775">
        <f>H23</f>
        <v>100</v>
      </c>
      <c r="V23" s="774" t="s">
        <v>17</v>
      </c>
      <c r="W23" s="775">
        <f>J23</f>
        <v>100</v>
      </c>
      <c r="X23" s="2939"/>
      <c r="Y23" s="3207"/>
      <c r="Z23" s="2940" t="str">
        <f>Q23</f>
        <v>环境质量</v>
      </c>
      <c r="AA23" s="2938">
        <f t="shared" si="3"/>
        <v>1</v>
      </c>
      <c r="AB23" s="2938">
        <f t="shared" si="4"/>
        <v>1</v>
      </c>
      <c r="AC23" s="2938">
        <f t="shared" si="5"/>
        <v>1</v>
      </c>
    </row>
    <row r="24" spans="1:29" ht="15.75" thickBot="1">
      <c r="A24" s="428"/>
      <c r="B24" s="1386"/>
      <c r="C24" s="447" t="s">
        <v>3117</v>
      </c>
      <c r="D24" s="448"/>
      <c r="E24" s="447" t="s">
        <v>3117</v>
      </c>
      <c r="F24" s="449"/>
      <c r="G24" s="447" t="s">
        <v>3117</v>
      </c>
      <c r="H24" s="448"/>
      <c r="I24" s="447" t="s">
        <v>3117</v>
      </c>
      <c r="J24" s="448"/>
      <c r="K24" s="615"/>
      <c r="L24" s="1142"/>
      <c r="M24" s="1133"/>
      <c r="N24" s="1133"/>
      <c r="O24" s="1141"/>
      <c r="P24" s="3207"/>
      <c r="Q24" s="2937"/>
      <c r="R24" s="774"/>
      <c r="S24" s="775"/>
      <c r="T24" s="774"/>
      <c r="U24" s="775"/>
      <c r="V24" s="774"/>
      <c r="W24" s="775"/>
      <c r="X24" s="2939"/>
      <c r="Y24" s="3207"/>
      <c r="Z24" s="2940"/>
      <c r="AA24" s="2938">
        <v>1</v>
      </c>
      <c r="AB24" s="2938">
        <v>1</v>
      </c>
      <c r="AC24" s="2938">
        <v>1</v>
      </c>
    </row>
    <row r="25" spans="1:29" ht="15.75" hidden="1" thickBot="1">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7"/>
      <c r="Q25" s="2937">
        <f>B25</f>
        <v>111</v>
      </c>
      <c r="R25" s="774" t="s">
        <v>17</v>
      </c>
      <c r="S25" s="775">
        <f>F25</f>
        <v>100</v>
      </c>
      <c r="T25" s="774" t="s">
        <v>17</v>
      </c>
      <c r="U25" s="775">
        <f>H25</f>
        <v>100</v>
      </c>
      <c r="V25" s="774" t="s">
        <v>17</v>
      </c>
      <c r="W25" s="775">
        <f>J25</f>
        <v>100</v>
      </c>
      <c r="X25" s="2939"/>
      <c r="Y25" s="3207"/>
      <c r="Z25" s="2940">
        <f>Q25</f>
        <v>111</v>
      </c>
      <c r="AA25" s="2938">
        <f t="shared" si="3"/>
        <v>1</v>
      </c>
      <c r="AB25" s="2938">
        <f t="shared" si="4"/>
        <v>1</v>
      </c>
      <c r="AC25" s="2938">
        <f t="shared" si="5"/>
        <v>1</v>
      </c>
    </row>
    <row r="26" spans="1:29" ht="15.75" hidden="1" thickBot="1">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7"/>
      <c r="Q26" s="2937">
        <f t="shared" ref="Q26:Q40" si="11">B26</f>
        <v>111</v>
      </c>
      <c r="R26" s="774" t="s">
        <v>17</v>
      </c>
      <c r="S26" s="775">
        <f>F26</f>
        <v>100</v>
      </c>
      <c r="T26" s="774" t="s">
        <v>17</v>
      </c>
      <c r="U26" s="775">
        <f>H26</f>
        <v>100</v>
      </c>
      <c r="V26" s="774" t="s">
        <v>17</v>
      </c>
      <c r="W26" s="775">
        <f>J26</f>
        <v>100</v>
      </c>
      <c r="X26" s="2939"/>
      <c r="Y26" s="3207"/>
      <c r="Z26" s="2940">
        <f>Q26</f>
        <v>111</v>
      </c>
      <c r="AA26" s="2938">
        <f t="shared" si="3"/>
        <v>1</v>
      </c>
      <c r="AB26" s="2938">
        <f t="shared" si="4"/>
        <v>1</v>
      </c>
      <c r="AC26" s="2938">
        <f t="shared" si="5"/>
        <v>1</v>
      </c>
    </row>
    <row r="27" spans="1:29" s="117" customFormat="1" ht="15.75" hidden="1" thickBot="1">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7"/>
      <c r="Q27" s="2934">
        <f t="shared" si="11"/>
        <v>111</v>
      </c>
      <c r="R27" s="770" t="s">
        <v>17</v>
      </c>
      <c r="S27" s="771">
        <f>F27</f>
        <v>100</v>
      </c>
      <c r="T27" s="770" t="s">
        <v>17</v>
      </c>
      <c r="U27" s="771">
        <f>H27</f>
        <v>100</v>
      </c>
      <c r="V27" s="770" t="s">
        <v>17</v>
      </c>
      <c r="W27" s="771">
        <f>J27</f>
        <v>100</v>
      </c>
      <c r="X27" s="772"/>
      <c r="Y27" s="3207"/>
      <c r="Z27" s="2935">
        <f>Q27</f>
        <v>111</v>
      </c>
      <c r="AA27" s="2938">
        <f>D27/F27</f>
        <v>1</v>
      </c>
      <c r="AB27" s="2938">
        <f>D27/H27</f>
        <v>1</v>
      </c>
      <c r="AC27" s="2938">
        <f>D27/J27</f>
        <v>1</v>
      </c>
    </row>
    <row r="28" spans="1:29" ht="15.75" hidden="1"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7"/>
      <c r="Q28" s="2937">
        <f t="shared" si="11"/>
        <v>111</v>
      </c>
      <c r="R28" s="774" t="s">
        <v>17</v>
      </c>
      <c r="S28" s="775">
        <f t="shared" ref="S28:S40" si="12">F28</f>
        <v>100</v>
      </c>
      <c r="T28" s="774" t="s">
        <v>17</v>
      </c>
      <c r="U28" s="775">
        <f t="shared" ref="U28:U40" si="13">H28</f>
        <v>100</v>
      </c>
      <c r="V28" s="774" t="s">
        <v>17</v>
      </c>
      <c r="W28" s="775">
        <f t="shared" ref="W28:W40" si="14">J28</f>
        <v>100</v>
      </c>
      <c r="X28" s="2939"/>
      <c r="Y28" s="3207"/>
      <c r="Z28" s="2940">
        <f t="shared" ref="Z28:Z40" si="15">Q28</f>
        <v>111</v>
      </c>
      <c r="AA28" s="2938">
        <f t="shared" si="3"/>
        <v>1</v>
      </c>
      <c r="AB28" s="2938">
        <f t="shared" si="4"/>
        <v>1</v>
      </c>
      <c r="AC28" s="2938">
        <f t="shared" si="5"/>
        <v>1</v>
      </c>
    </row>
    <row r="29" spans="1:29" ht="15">
      <c r="A29" s="466" t="s">
        <v>2551</v>
      </c>
      <c r="B29" s="71" t="s">
        <v>2681</v>
      </c>
      <c r="C29" s="2675" t="s">
        <v>3120</v>
      </c>
      <c r="D29" s="467">
        <v>100</v>
      </c>
      <c r="E29" s="2675" t="s">
        <v>3120</v>
      </c>
      <c r="F29" s="461">
        <f>SUMIF(88:88,E29,89:89)-SUMIF(88:88,C29,89:89)+100</f>
        <v>100</v>
      </c>
      <c r="G29" s="2675" t="s">
        <v>3120</v>
      </c>
      <c r="H29" s="435">
        <f>SUMIF(88:88,G29,89:89)-SUMIF(88:88,C29,89:89)+100</f>
        <v>100</v>
      </c>
      <c r="I29" s="2675" t="s">
        <v>3120</v>
      </c>
      <c r="J29" s="467">
        <f>SUMIF(88:88,I29,89:89)-SUMIF(88:88,C29,89:89)+100</f>
        <v>100</v>
      </c>
      <c r="K29" s="612">
        <f>'比较法-工业'!K29</f>
        <v>2</v>
      </c>
      <c r="L29" s="1142"/>
      <c r="M29" s="1133"/>
      <c r="N29" s="1133"/>
      <c r="O29" s="1141"/>
      <c r="P29" s="3208" t="s">
        <v>2553</v>
      </c>
      <c r="Q29" s="2937" t="str">
        <f t="shared" si="11"/>
        <v>建筑类型</v>
      </c>
      <c r="R29" s="774" t="s">
        <v>17</v>
      </c>
      <c r="S29" s="775">
        <f t="shared" si="12"/>
        <v>100</v>
      </c>
      <c r="T29" s="774" t="s">
        <v>17</v>
      </c>
      <c r="U29" s="775">
        <f t="shared" si="13"/>
        <v>100</v>
      </c>
      <c r="V29" s="774" t="s">
        <v>17</v>
      </c>
      <c r="W29" s="775">
        <f t="shared" si="14"/>
        <v>100</v>
      </c>
      <c r="X29" s="2939"/>
      <c r="Y29" s="3209" t="s">
        <v>2553</v>
      </c>
      <c r="Z29" s="2940" t="str">
        <f t="shared" si="15"/>
        <v>建筑类型</v>
      </c>
      <c r="AA29" s="2938">
        <f t="shared" si="3"/>
        <v>1</v>
      </c>
      <c r="AB29" s="2938">
        <f t="shared" si="4"/>
        <v>1</v>
      </c>
      <c r="AC29" s="2938">
        <f t="shared" si="5"/>
        <v>1</v>
      </c>
    </row>
    <row r="30" spans="1:29" s="471" customFormat="1" ht="15">
      <c r="A30" s="468"/>
      <c r="B30" s="2936" t="s">
        <v>2554</v>
      </c>
      <c r="C30" s="469">
        <f>'数据-汇总表'!E3</f>
        <v>1246.4000000000001</v>
      </c>
      <c r="D30" s="136">
        <v>100</v>
      </c>
      <c r="E30" s="430">
        <v>2100</v>
      </c>
      <c r="F30" s="425">
        <f>LOOKUP(E30,91:91,92:92)-LOOKUP(C30,91:91,92:92)+100</f>
        <v>96</v>
      </c>
      <c r="G30" s="429">
        <v>2700</v>
      </c>
      <c r="H30" s="136">
        <f>LOOKUP(G30,91:91,92:92)-LOOKUP(C30,91:91,92:92)+100</f>
        <v>96</v>
      </c>
      <c r="I30" s="429">
        <v>100</v>
      </c>
      <c r="J30" s="136">
        <f>LOOKUP(I30,91:91,92:92)-LOOKUP(C30,91:91,92:92)+100</f>
        <v>102</v>
      </c>
      <c r="K30" s="613"/>
      <c r="L30" s="1140"/>
      <c r="M30" s="1143"/>
      <c r="N30" s="1143"/>
      <c r="O30" s="1144"/>
      <c r="P30" s="3209"/>
      <c r="Q30" s="776" t="str">
        <f t="shared" si="11"/>
        <v>项目建筑规模</v>
      </c>
      <c r="R30" s="777" t="s">
        <v>17</v>
      </c>
      <c r="S30" s="778">
        <f t="shared" si="12"/>
        <v>96</v>
      </c>
      <c r="T30" s="777" t="s">
        <v>17</v>
      </c>
      <c r="U30" s="778">
        <f t="shared" si="13"/>
        <v>96</v>
      </c>
      <c r="V30" s="777" t="s">
        <v>17</v>
      </c>
      <c r="W30" s="778">
        <f t="shared" si="14"/>
        <v>102</v>
      </c>
      <c r="X30" s="779"/>
      <c r="Y30" s="3209"/>
      <c r="Z30" s="780" t="str">
        <f t="shared" si="15"/>
        <v>项目建筑规模</v>
      </c>
      <c r="AA30" s="2938">
        <f t="shared" si="3"/>
        <v>1.0416666666666667</v>
      </c>
      <c r="AB30" s="2938">
        <f t="shared" si="4"/>
        <v>1.0416666666666667</v>
      </c>
      <c r="AC30" s="2938">
        <f t="shared" si="5"/>
        <v>0.98039215686274506</v>
      </c>
    </row>
    <row r="31" spans="1:29" ht="15">
      <c r="A31" s="472"/>
      <c r="B31" s="2936" t="s">
        <v>2555</v>
      </c>
      <c r="C31" s="460" t="s">
        <v>3078</v>
      </c>
      <c r="D31" s="435">
        <v>100</v>
      </c>
      <c r="E31" s="460" t="s">
        <v>3078</v>
      </c>
      <c r="F31" s="461">
        <f>SUMIF(93:93,E31,94:94)-SUMIF(93:93,C31,94:94)+100</f>
        <v>100</v>
      </c>
      <c r="G31" s="460" t="s">
        <v>3078</v>
      </c>
      <c r="H31" s="435">
        <f>SUMIF(93:93,G31,94:94)-SUMIF(93:93,C31,94:94)+100</f>
        <v>100</v>
      </c>
      <c r="I31" s="460" t="s">
        <v>3078</v>
      </c>
      <c r="J31" s="435">
        <f>SUMIF(93:93,I31,94:94)-SUMIF(93:93,C31,94:94)+100</f>
        <v>100</v>
      </c>
      <c r="K31" s="612">
        <f>'比较法-工业'!K31</f>
        <v>2</v>
      </c>
      <c r="L31" s="1142"/>
      <c r="M31" s="1133"/>
      <c r="N31" s="1133"/>
      <c r="O31" s="1141"/>
      <c r="P31" s="3209"/>
      <c r="Q31" s="2937" t="str">
        <f t="shared" si="11"/>
        <v>建筑结构</v>
      </c>
      <c r="R31" s="774" t="s">
        <v>17</v>
      </c>
      <c r="S31" s="775">
        <f t="shared" si="12"/>
        <v>100</v>
      </c>
      <c r="T31" s="774" t="s">
        <v>17</v>
      </c>
      <c r="U31" s="775">
        <f t="shared" si="13"/>
        <v>100</v>
      </c>
      <c r="V31" s="774" t="s">
        <v>17</v>
      </c>
      <c r="W31" s="775">
        <f t="shared" si="14"/>
        <v>100</v>
      </c>
      <c r="X31" s="2939"/>
      <c r="Y31" s="3209"/>
      <c r="Z31" s="2940" t="str">
        <f t="shared" si="15"/>
        <v>建筑结构</v>
      </c>
      <c r="AA31" s="2938">
        <f t="shared" si="3"/>
        <v>1</v>
      </c>
      <c r="AB31" s="2938">
        <f t="shared" si="4"/>
        <v>1</v>
      </c>
      <c r="AC31" s="2938">
        <f t="shared" si="5"/>
        <v>1</v>
      </c>
    </row>
    <row r="32" spans="1:29" ht="15">
      <c r="A32" s="472"/>
      <c r="B32" s="2936" t="s">
        <v>2649</v>
      </c>
      <c r="C32" s="460" t="s">
        <v>3125</v>
      </c>
      <c r="D32" s="435">
        <v>100</v>
      </c>
      <c r="E32" s="460" t="s">
        <v>3125</v>
      </c>
      <c r="F32" s="461">
        <f>SUMIF(95:95,E32,96:96)-SUMIF(95:95,C32,96:96)+100</f>
        <v>100</v>
      </c>
      <c r="G32" s="460" t="s">
        <v>3125</v>
      </c>
      <c r="H32" s="435">
        <f>SUMIF(95:95,G32,96:96)-SUMIF(95:95,C32,96:96)+100</f>
        <v>100</v>
      </c>
      <c r="I32" s="460" t="s">
        <v>3125</v>
      </c>
      <c r="J32" s="435">
        <f>SUMIF(95:95,I32,96:96)-SUMIF(95:95,C32,96:96)+100</f>
        <v>100</v>
      </c>
      <c r="K32" s="612">
        <f>'比较法-工业'!K32</f>
        <v>1</v>
      </c>
      <c r="L32" s="1142"/>
      <c r="M32" s="1133"/>
      <c r="N32" s="1133"/>
      <c r="O32" s="1141"/>
      <c r="P32" s="3209"/>
      <c r="Q32" s="2937" t="str">
        <f t="shared" si="11"/>
        <v>公共部分装修</v>
      </c>
      <c r="R32" s="774" t="s">
        <v>17</v>
      </c>
      <c r="S32" s="775">
        <f t="shared" si="12"/>
        <v>100</v>
      </c>
      <c r="T32" s="774" t="s">
        <v>17</v>
      </c>
      <c r="U32" s="775">
        <f t="shared" si="13"/>
        <v>100</v>
      </c>
      <c r="V32" s="774" t="s">
        <v>17</v>
      </c>
      <c r="W32" s="775">
        <f t="shared" si="14"/>
        <v>100</v>
      </c>
      <c r="X32" s="2939"/>
      <c r="Y32" s="3209"/>
      <c r="Z32" s="2940" t="str">
        <f t="shared" si="15"/>
        <v>公共部分装修</v>
      </c>
      <c r="AA32" s="2938">
        <f t="shared" si="3"/>
        <v>1</v>
      </c>
      <c r="AB32" s="2938">
        <f t="shared" si="4"/>
        <v>1</v>
      </c>
      <c r="AC32" s="2938">
        <f t="shared" si="5"/>
        <v>1</v>
      </c>
    </row>
    <row r="33" spans="1:29" ht="15">
      <c r="A33" s="472"/>
      <c r="B33" s="2936" t="s">
        <v>2650</v>
      </c>
      <c r="C33" s="3319">
        <f>'数据-取费表'!N6</f>
        <v>0.95</v>
      </c>
      <c r="D33" s="3320">
        <v>100</v>
      </c>
      <c r="E33" s="3321">
        <f>ROUND(1-(1-0%)*(2018-2012)/60,2)</f>
        <v>0.9</v>
      </c>
      <c r="F33" s="3322">
        <f>LOOKUP(E33,98:98,99:99)-LOOKUP(C33,98:98,99:99)+100</f>
        <v>100</v>
      </c>
      <c r="G33" s="3321">
        <f>ROUND(1-(1-0%)*(2018-2012)/60,2)</f>
        <v>0.9</v>
      </c>
      <c r="H33" s="3322">
        <f>LOOKUP(G33,98:98,99:99)-LOOKUP(C33,98:98,99:99)+100</f>
        <v>100</v>
      </c>
      <c r="I33" s="3321">
        <f>C33</f>
        <v>0.95</v>
      </c>
      <c r="J33" s="435">
        <f>LOOKUP(I33,98:98,99:99)-LOOKUP(C33,98:98,99:99)+100</f>
        <v>100</v>
      </c>
      <c r="K33" s="2991"/>
      <c r="L33" s="1142"/>
      <c r="M33" s="1133"/>
      <c r="N33" s="1133"/>
      <c r="O33" s="1141"/>
      <c r="P33" s="3209"/>
      <c r="Q33" s="2937" t="str">
        <f t="shared" si="11"/>
        <v>成新度</v>
      </c>
      <c r="R33" s="774" t="s">
        <v>17</v>
      </c>
      <c r="S33" s="775">
        <f t="shared" si="12"/>
        <v>100</v>
      </c>
      <c r="T33" s="774" t="s">
        <v>17</v>
      </c>
      <c r="U33" s="775">
        <f t="shared" si="13"/>
        <v>100</v>
      </c>
      <c r="V33" s="774" t="s">
        <v>17</v>
      </c>
      <c r="W33" s="775">
        <f t="shared" si="14"/>
        <v>100</v>
      </c>
      <c r="X33" s="2939"/>
      <c r="Y33" s="3209"/>
      <c r="Z33" s="2940" t="str">
        <f t="shared" si="15"/>
        <v>成新度</v>
      </c>
      <c r="AA33" s="2938">
        <f t="shared" si="3"/>
        <v>1</v>
      </c>
      <c r="AB33" s="2938">
        <f t="shared" si="4"/>
        <v>1</v>
      </c>
      <c r="AC33" s="2938">
        <f t="shared" si="5"/>
        <v>1</v>
      </c>
    </row>
    <row r="34" spans="1:29" s="117" customFormat="1" ht="15">
      <c r="A34" s="473"/>
      <c r="B34" s="2936" t="s">
        <v>2683</v>
      </c>
      <c r="C34" s="460" t="s">
        <v>3131</v>
      </c>
      <c r="D34" s="136">
        <v>100</v>
      </c>
      <c r="E34" s="460" t="s">
        <v>3131</v>
      </c>
      <c r="F34" s="461">
        <f>SUMIF(100:100,E34,101:101)-SUMIF(100:100,C34,101:101)+100</f>
        <v>100</v>
      </c>
      <c r="G34" s="460" t="s">
        <v>3131</v>
      </c>
      <c r="H34" s="435">
        <f>SUMIF(100:100,G34,101:101)-SUMIF(100:100,C34,101:101)+100</f>
        <v>100</v>
      </c>
      <c r="I34" s="460" t="s">
        <v>3131</v>
      </c>
      <c r="J34" s="435">
        <f>SUMIF(100:100,I34,101:101)-SUMIF(100:100,C34,101:101)+100</f>
        <v>100</v>
      </c>
      <c r="K34" s="612">
        <f>'比较法-工业'!K34</f>
        <v>2</v>
      </c>
      <c r="L34" s="1134"/>
      <c r="M34" s="1135"/>
      <c r="N34" s="1135"/>
      <c r="O34" s="1136"/>
      <c r="P34" s="3209"/>
      <c r="Q34" s="2934" t="str">
        <f t="shared" si="11"/>
        <v>物业管理</v>
      </c>
      <c r="R34" s="770" t="s">
        <v>17</v>
      </c>
      <c r="S34" s="771">
        <f t="shared" si="12"/>
        <v>100</v>
      </c>
      <c r="T34" s="770" t="s">
        <v>17</v>
      </c>
      <c r="U34" s="771">
        <f t="shared" si="13"/>
        <v>100</v>
      </c>
      <c r="V34" s="770" t="s">
        <v>17</v>
      </c>
      <c r="W34" s="771">
        <f t="shared" si="14"/>
        <v>100</v>
      </c>
      <c r="X34" s="772"/>
      <c r="Y34" s="3209"/>
      <c r="Z34" s="2935" t="str">
        <f t="shared" si="15"/>
        <v>物业管理</v>
      </c>
      <c r="AA34" s="773">
        <f t="shared" si="3"/>
        <v>1</v>
      </c>
      <c r="AB34" s="773">
        <f t="shared" si="4"/>
        <v>1</v>
      </c>
      <c r="AC34" s="773">
        <f t="shared" si="5"/>
        <v>1</v>
      </c>
    </row>
    <row r="35" spans="1:29" ht="15">
      <c r="A35" s="472"/>
      <c r="B35" s="2936" t="s">
        <v>2651</v>
      </c>
      <c r="C35" s="460" t="s">
        <v>3134</v>
      </c>
      <c r="D35" s="435">
        <v>100</v>
      </c>
      <c r="E35" s="460" t="s">
        <v>3134</v>
      </c>
      <c r="F35" s="461">
        <f>SUMIF(102:102,E35,103:103)-SUMIF(102:102,C35,103:103)+100</f>
        <v>100</v>
      </c>
      <c r="G35" s="460" t="s">
        <v>3134</v>
      </c>
      <c r="H35" s="435">
        <f>SUMIF(102:102,G35,103:103)-SUMIF(102:102,C35,103:103)+100</f>
        <v>100</v>
      </c>
      <c r="I35" s="460" t="s">
        <v>3134</v>
      </c>
      <c r="J35" s="435">
        <f>SUMIF(102:102,I35,103:103)-SUMIF(102:102,C35,103:103)+100</f>
        <v>100</v>
      </c>
      <c r="K35" s="612">
        <f>'比较法-工业'!K35</f>
        <v>1</v>
      </c>
      <c r="L35" s="1142"/>
      <c r="M35" s="1133"/>
      <c r="N35" s="1133"/>
      <c r="O35" s="1141"/>
      <c r="P35" s="3209" t="s">
        <v>2553</v>
      </c>
      <c r="Q35" s="2937" t="str">
        <f t="shared" si="11"/>
        <v>市政基础设施</v>
      </c>
      <c r="R35" s="774" t="s">
        <v>17</v>
      </c>
      <c r="S35" s="775">
        <f t="shared" si="12"/>
        <v>100</v>
      </c>
      <c r="T35" s="774" t="s">
        <v>17</v>
      </c>
      <c r="U35" s="775">
        <f t="shared" si="13"/>
        <v>100</v>
      </c>
      <c r="V35" s="774" t="s">
        <v>17</v>
      </c>
      <c r="W35" s="775">
        <f t="shared" si="14"/>
        <v>100</v>
      </c>
      <c r="X35" s="2939"/>
      <c r="Y35" s="3209" t="s">
        <v>2553</v>
      </c>
      <c r="Z35" s="2940" t="str">
        <f t="shared" si="15"/>
        <v>市政基础设施</v>
      </c>
      <c r="AA35" s="2938">
        <f t="shared" si="3"/>
        <v>1</v>
      </c>
      <c r="AB35" s="2938">
        <f t="shared" si="4"/>
        <v>1</v>
      </c>
      <c r="AC35" s="2938">
        <f t="shared" si="5"/>
        <v>1</v>
      </c>
    </row>
    <row r="36" spans="1:29" ht="15">
      <c r="A36" s="472"/>
      <c r="B36" s="2936" t="s">
        <v>2656</v>
      </c>
      <c r="C36" s="460" t="s">
        <v>3125</v>
      </c>
      <c r="D36" s="435">
        <v>100</v>
      </c>
      <c r="E36" s="460" t="s">
        <v>3127</v>
      </c>
      <c r="F36" s="461">
        <f>SUMIF(104:104,E36,105:105)-SUMIF(104:104,C36,105:105)+100</f>
        <v>98</v>
      </c>
      <c r="G36" s="460" t="s">
        <v>3127</v>
      </c>
      <c r="H36" s="435">
        <f>SUMIF(104:104,G36,105:105)-SUMIF(104:104,C36,105:105)+100</f>
        <v>98</v>
      </c>
      <c r="I36" s="460" t="s">
        <v>3127</v>
      </c>
      <c r="J36" s="435">
        <f>SUMIF(104:104,I36,105:105)-SUMIF(104:104,C36,105:105)+100</f>
        <v>98</v>
      </c>
      <c r="K36" s="612">
        <f>'比较法-工业'!K36</f>
        <v>2</v>
      </c>
      <c r="L36" s="1142"/>
      <c r="M36" s="1133"/>
      <c r="N36" s="1133"/>
      <c r="O36" s="1141"/>
      <c r="P36" s="3209"/>
      <c r="Q36" s="2937" t="str">
        <f t="shared" si="11"/>
        <v>内部装修</v>
      </c>
      <c r="R36" s="774" t="s">
        <v>17</v>
      </c>
      <c r="S36" s="775">
        <f t="shared" si="12"/>
        <v>98</v>
      </c>
      <c r="T36" s="774" t="s">
        <v>17</v>
      </c>
      <c r="U36" s="775">
        <f t="shared" si="13"/>
        <v>98</v>
      </c>
      <c r="V36" s="774" t="s">
        <v>17</v>
      </c>
      <c r="W36" s="775">
        <f t="shared" si="14"/>
        <v>98</v>
      </c>
      <c r="X36" s="2939"/>
      <c r="Y36" s="3209"/>
      <c r="Z36" s="2940" t="str">
        <f t="shared" si="15"/>
        <v>内部装修</v>
      </c>
      <c r="AA36" s="2938">
        <f t="shared" si="3"/>
        <v>1.0204081632653061</v>
      </c>
      <c r="AB36" s="2938">
        <f t="shared" si="4"/>
        <v>1.0204081632653061</v>
      </c>
      <c r="AC36" s="2938">
        <f t="shared" si="5"/>
        <v>1.0204081632653061</v>
      </c>
    </row>
    <row r="37" spans="1:29" ht="15.75" thickBot="1">
      <c r="A37" s="472"/>
      <c r="B37" s="2936" t="s">
        <v>2692</v>
      </c>
      <c r="C37" s="616" t="s">
        <v>3117</v>
      </c>
      <c r="D37" s="435">
        <v>100</v>
      </c>
      <c r="E37" s="616" t="s">
        <v>3117</v>
      </c>
      <c r="F37" s="461">
        <f>SUMIF(106:106,E37,107:107)-SUMIF(106:106,C37,107:107)+100</f>
        <v>100</v>
      </c>
      <c r="G37" s="616" t="s">
        <v>3117</v>
      </c>
      <c r="H37" s="435">
        <f>SUMIF(106:106,G37,107:107)-SUMIF(106:106,C37,107:107)+100</f>
        <v>100</v>
      </c>
      <c r="I37" s="616" t="s">
        <v>3117</v>
      </c>
      <c r="J37" s="435">
        <f>SUMIF(106:106,I37,107:107)-SUMIF(106:106,C37,107:107)+100</f>
        <v>100</v>
      </c>
      <c r="K37" s="612">
        <f>'比较法-工业'!K37</f>
        <v>1</v>
      </c>
      <c r="L37" s="1142"/>
      <c r="M37" s="1133"/>
      <c r="N37" s="1133"/>
      <c r="O37" s="1141"/>
      <c r="P37" s="3209"/>
      <c r="Q37" s="2937" t="str">
        <f t="shared" si="11"/>
        <v>内部装修状况</v>
      </c>
      <c r="R37" s="774" t="s">
        <v>17</v>
      </c>
      <c r="S37" s="775">
        <f t="shared" si="12"/>
        <v>100</v>
      </c>
      <c r="T37" s="774" t="s">
        <v>17</v>
      </c>
      <c r="U37" s="775">
        <f t="shared" si="13"/>
        <v>100</v>
      </c>
      <c r="V37" s="774" t="s">
        <v>17</v>
      </c>
      <c r="W37" s="775">
        <f t="shared" si="14"/>
        <v>100</v>
      </c>
      <c r="X37" s="2939"/>
      <c r="Y37" s="3209"/>
      <c r="Z37" s="2940" t="str">
        <f t="shared" si="15"/>
        <v>内部装修状况</v>
      </c>
      <c r="AA37" s="2938">
        <f t="shared" si="3"/>
        <v>1</v>
      </c>
      <c r="AB37" s="2938">
        <f t="shared" si="4"/>
        <v>1</v>
      </c>
      <c r="AC37" s="2938">
        <f t="shared" si="5"/>
        <v>1</v>
      </c>
    </row>
    <row r="38" spans="1:29" s="471" customFormat="1" ht="15.75" hidden="1" thickBot="1">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2938">
        <f t="shared" si="3"/>
        <v>1</v>
      </c>
      <c r="AB38" s="2938">
        <f t="shared" si="4"/>
        <v>1</v>
      </c>
      <c r="AC38" s="2938">
        <f t="shared" si="5"/>
        <v>1</v>
      </c>
    </row>
    <row r="39" spans="1:29" ht="15.75" hidden="1" thickBot="1">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9"/>
      <c r="Q39" s="2937">
        <f t="shared" si="11"/>
        <v>111</v>
      </c>
      <c r="R39" s="774" t="s">
        <v>17</v>
      </c>
      <c r="S39" s="775">
        <f t="shared" si="12"/>
        <v>100</v>
      </c>
      <c r="T39" s="774" t="s">
        <v>17</v>
      </c>
      <c r="U39" s="775">
        <f t="shared" si="13"/>
        <v>100</v>
      </c>
      <c r="V39" s="774" t="s">
        <v>17</v>
      </c>
      <c r="W39" s="775">
        <f t="shared" si="14"/>
        <v>100</v>
      </c>
      <c r="X39" s="2939"/>
      <c r="Y39" s="3209"/>
      <c r="Z39" s="2940">
        <f t="shared" si="15"/>
        <v>111</v>
      </c>
      <c r="AA39" s="2938">
        <f t="shared" si="3"/>
        <v>1</v>
      </c>
      <c r="AB39" s="2938">
        <f t="shared" si="4"/>
        <v>1</v>
      </c>
      <c r="AC39" s="2938">
        <f t="shared" si="5"/>
        <v>1</v>
      </c>
    </row>
    <row r="40" spans="1:29" ht="15.75" hidden="1"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0"/>
      <c r="Q40" s="2937">
        <f t="shared" si="11"/>
        <v>111</v>
      </c>
      <c r="R40" s="774" t="s">
        <v>17</v>
      </c>
      <c r="S40" s="775">
        <f t="shared" si="12"/>
        <v>100</v>
      </c>
      <c r="T40" s="774" t="s">
        <v>17</v>
      </c>
      <c r="U40" s="775">
        <f t="shared" si="13"/>
        <v>100</v>
      </c>
      <c r="V40" s="774" t="s">
        <v>17</v>
      </c>
      <c r="W40" s="775">
        <f t="shared" si="14"/>
        <v>100</v>
      </c>
      <c r="X40" s="2939"/>
      <c r="Y40" s="3210"/>
      <c r="Z40" s="2940">
        <f t="shared" si="15"/>
        <v>111</v>
      </c>
      <c r="AA40" s="2938">
        <f t="shared" si="3"/>
        <v>1</v>
      </c>
      <c r="AB40" s="2938">
        <f t="shared" si="4"/>
        <v>1</v>
      </c>
      <c r="AC40" s="2938">
        <f t="shared" si="5"/>
        <v>1</v>
      </c>
    </row>
    <row r="41" spans="1:29" ht="15">
      <c r="A41" s="479" t="s">
        <v>2565</v>
      </c>
      <c r="B41" s="480"/>
      <c r="C41" s="1409" t="s">
        <v>1</v>
      </c>
      <c r="D41" s="1410"/>
      <c r="E41" s="1411">
        <f>ROUND(2.5*D54,1)</f>
        <v>2.4</v>
      </c>
      <c r="F41" s="1412"/>
      <c r="G41" s="1413">
        <f>ROUND(2.8*D54,1)</f>
        <v>2.7</v>
      </c>
      <c r="H41" s="1414"/>
      <c r="I41" s="1411">
        <f>ROUND(2.6*D54,1)</f>
        <v>2.5</v>
      </c>
      <c r="J41" s="1414"/>
      <c r="K41" s="783"/>
      <c r="L41" s="1145"/>
      <c r="M41" s="1146"/>
      <c r="N41" s="1133"/>
      <c r="O41" s="1146"/>
      <c r="P41" s="3201" t="str">
        <f>A41</f>
        <v>成交单价（元/平方米）</v>
      </c>
      <c r="Q41" s="3201"/>
      <c r="R41" s="3202">
        <f>E41</f>
        <v>2.4</v>
      </c>
      <c r="S41" s="3202"/>
      <c r="T41" s="3202">
        <f>G41</f>
        <v>2.7</v>
      </c>
      <c r="U41" s="3202"/>
      <c r="V41" s="3202">
        <f>I41</f>
        <v>2.5</v>
      </c>
      <c r="W41" s="3202"/>
      <c r="X41" s="759"/>
      <c r="Y41" s="781"/>
      <c r="Z41" s="759"/>
      <c r="AA41" s="759"/>
      <c r="AB41" s="759"/>
      <c r="AC41" s="759"/>
    </row>
    <row r="42" spans="1:29" ht="15.75" thickBot="1">
      <c r="A42" s="486" t="s">
        <v>2657</v>
      </c>
      <c r="B42" s="487"/>
      <c r="C42" s="1415">
        <f>R43</f>
        <v>2.6</v>
      </c>
      <c r="D42" s="1416"/>
      <c r="E42" s="1417">
        <f>R42</f>
        <v>2.5</v>
      </c>
      <c r="F42" s="1417"/>
      <c r="G42" s="1415">
        <f>T42</f>
        <v>2.8</v>
      </c>
      <c r="H42" s="1416"/>
      <c r="I42" s="1417">
        <f>V42</f>
        <v>2.5</v>
      </c>
      <c r="J42" s="1416"/>
      <c r="K42" s="784"/>
      <c r="L42" s="1145"/>
      <c r="M42" s="1146"/>
      <c r="N42" s="1133"/>
      <c r="O42" s="1146"/>
      <c r="P42" s="3201" t="str">
        <f>A42</f>
        <v>比较价值（元/平方米）</v>
      </c>
      <c r="Q42" s="3201"/>
      <c r="R42" s="3202">
        <f>IF(F1="售价",ROUND(PRODUCT(R41,AA7:AA40),0),ROUND(PRODUCT(R41,AA7:AA40),1))</f>
        <v>2.5</v>
      </c>
      <c r="S42" s="3202"/>
      <c r="T42" s="3202">
        <f>IF(F1="售价",ROUND(PRODUCT(T41,AB7:AB40),0),ROUND(PRODUCT(T41,AB7:AB40),1))</f>
        <v>2.8</v>
      </c>
      <c r="U42" s="3202"/>
      <c r="V42" s="3202">
        <f>IF(F1="售价",ROUND(PRODUCT(V41,AC7:AC40),0),ROUND(PRODUCT(V41,AC7:AC40),1))</f>
        <v>2.5</v>
      </c>
      <c r="W42" s="3202"/>
      <c r="X42" s="759"/>
      <c r="Y42" s="759"/>
      <c r="Z42" s="759"/>
      <c r="AA42" s="759"/>
      <c r="AB42" s="759"/>
      <c r="AC42" s="759"/>
    </row>
    <row r="43" spans="1:29" ht="15.75" thickBot="1">
      <c r="A43" s="492" t="s">
        <v>2658</v>
      </c>
      <c r="B43" s="493"/>
      <c r="C43" s="1419">
        <f>R43</f>
        <v>2.6</v>
      </c>
      <c r="D43" s="1419"/>
      <c r="E43" s="1419"/>
      <c r="F43" s="1419"/>
      <c r="G43" s="1419"/>
      <c r="H43" s="1419"/>
      <c r="I43" s="1419"/>
      <c r="J43" s="1419"/>
      <c r="K43" s="785"/>
      <c r="L43" s="1145"/>
      <c r="M43" s="1146"/>
      <c r="N43" s="1146"/>
      <c r="O43" s="1146"/>
      <c r="P43" s="3203" t="str">
        <f>A43</f>
        <v>估价对象XX用房的比较价值（楼面单价，元/平方米）</v>
      </c>
      <c r="Q43" s="3204"/>
      <c r="R43" s="3205">
        <f>IF(F1="售价",ROUND(AVERAGE(R42:V42),0),ROUND(AVERAGE(R42:V42),1))</f>
        <v>2.6</v>
      </c>
      <c r="S43" s="3205"/>
      <c r="T43" s="3205"/>
      <c r="U43" s="3205"/>
      <c r="V43" s="3205"/>
      <c r="W43" s="3205"/>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2568</v>
      </c>
      <c r="D46" s="498"/>
      <c r="E46" s="499">
        <f>IF(E41&lt;E42,E42/E41-1,E41/E42-1)</f>
        <v>4.1666666666666741E-2</v>
      </c>
      <c r="F46" s="500" t="str">
        <f>IF(OR(E46&gt;=0.3,E46&lt;=-0.3),"超过30%","")</f>
        <v/>
      </c>
      <c r="G46" s="499">
        <f>IF(G41&lt;G42,G42/G41-1,G41/G42-1)</f>
        <v>3.7037037037036979E-2</v>
      </c>
      <c r="H46" s="500" t="str">
        <f>IF(OR(G46&gt;=0.3,G46&lt;=-0.3),"超过30%","")</f>
        <v/>
      </c>
      <c r="I46" s="499">
        <f>IF(I41&lt;I42,I42/I41-1,I41/I42-1)</f>
        <v>0</v>
      </c>
      <c r="J46" s="500" t="str">
        <f>IF(OR(I46&gt;=0.3,I46&lt;=-0.3),"超过30%","")</f>
        <v/>
      </c>
      <c r="K46" s="1107"/>
      <c r="L46" s="1108"/>
      <c r="M46" s="1146"/>
      <c r="N46" s="1146"/>
      <c r="O46" s="1146"/>
    </row>
    <row r="47" spans="1:29" ht="13.5" customHeight="1">
      <c r="A47" s="1146"/>
      <c r="B47" s="1146"/>
      <c r="C47" s="497" t="s">
        <v>2569</v>
      </c>
      <c r="D47" s="501"/>
      <c r="E47" s="499">
        <f>IF(E42&lt;G42,G42/E42-1,E42/G42-1)</f>
        <v>0.11999999999999988</v>
      </c>
      <c r="F47" s="500" t="str">
        <f>IF(OR(E47&gt;=0.2,E47&lt;=-0.2),"超过20%","")</f>
        <v/>
      </c>
      <c r="G47" s="499">
        <f>IF(G42&lt;I42,I42/G42-1,G42/I42-1)</f>
        <v>0.11999999999999988</v>
      </c>
      <c r="H47" s="500" t="str">
        <f>IF(OR(G47&gt;=0.2,G47&lt;=-0.2),"超过20%","")</f>
        <v/>
      </c>
      <c r="I47" s="499">
        <f>IF(I42&lt;E42,E42/I42-1,I42/E42-1)</f>
        <v>0</v>
      </c>
      <c r="J47" s="500" t="str">
        <f>IF(OR(I47&gt;=0.2,I47&lt;=-0.2),"超过20%","")</f>
        <v/>
      </c>
      <c r="K47" s="1107"/>
      <c r="L47" s="1108"/>
      <c r="M47" s="1146"/>
      <c r="N47" s="1146"/>
      <c r="O47" s="1146"/>
    </row>
    <row r="48" spans="1:29" s="502" customFormat="1" ht="13.5" customHeight="1">
      <c r="A48" s="1147"/>
      <c r="B48" s="1147"/>
      <c r="C48" s="497" t="s">
        <v>2661</v>
      </c>
      <c r="D48" s="501"/>
      <c r="E48" s="499">
        <f>IF(E41&lt;G41,G41/E41-1,E41/G41-1)</f>
        <v>0.12500000000000022</v>
      </c>
      <c r="F48" s="500" t="str">
        <f>IF(OR(E48&gt;=0.3,E48&lt;=-0.3),"超过30%","")</f>
        <v/>
      </c>
      <c r="G48" s="499">
        <f>IF(G41&lt;I41,I41/G41-1,G41/I41-1)</f>
        <v>8.0000000000000071E-2</v>
      </c>
      <c r="H48" s="500" t="str">
        <f>IF(OR(G48&gt;=0.3,G48&lt;=-0.3),"超过30%","")</f>
        <v/>
      </c>
      <c r="I48" s="499">
        <f>IF(I41&lt;E41,E41/I41-1,I41/E41-1)</f>
        <v>4.1666666666666741E-2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2662</v>
      </c>
      <c r="B51" s="759"/>
      <c r="C51" s="764"/>
      <c r="D51" s="764"/>
      <c r="E51" s="764"/>
      <c r="F51" s="765"/>
      <c r="G51" s="765"/>
      <c r="H51" s="764"/>
      <c r="I51" s="764"/>
      <c r="J51" s="764"/>
      <c r="K51" s="1162"/>
      <c r="L51" s="1163"/>
      <c r="M51" s="1161"/>
      <c r="N51" s="1161"/>
      <c r="O51" s="1161"/>
      <c r="P51" s="503"/>
      <c r="Q51" s="504"/>
    </row>
    <row r="52" spans="1:17" s="508" customFormat="1" ht="15">
      <c r="A52" s="505" t="s">
        <v>2536</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v>0.95</v>
      </c>
      <c r="E54" s="518"/>
      <c r="F54" s="518"/>
      <c r="G54" s="518"/>
      <c r="H54" s="518"/>
      <c r="I54" s="518"/>
      <c r="J54" s="518"/>
      <c r="K54" s="518"/>
      <c r="L54" s="518"/>
      <c r="M54" s="519"/>
      <c r="N54" s="518"/>
      <c r="O54" s="520"/>
      <c r="P54" s="504"/>
      <c r="Q54" s="504"/>
    </row>
    <row r="55" spans="1:17" s="117" customFormat="1" ht="15">
      <c r="A55" s="521" t="s">
        <v>2538</v>
      </c>
      <c r="B55" s="510"/>
      <c r="C55" s="522" t="s">
        <v>2575</v>
      </c>
      <c r="D55" s="523"/>
      <c r="E55" s="523">
        <v>4500</v>
      </c>
      <c r="F55" s="523">
        <v>3000</v>
      </c>
      <c r="G55" s="523">
        <v>500</v>
      </c>
      <c r="H55" s="523"/>
      <c r="I55" s="523"/>
      <c r="J55" s="523"/>
      <c r="K55" s="523"/>
      <c r="L55" s="524"/>
      <c r="M55" s="525"/>
      <c r="N55" s="1153"/>
      <c r="O55" s="1153"/>
      <c r="P55" s="526"/>
      <c r="Q55" s="504"/>
    </row>
    <row r="56" spans="1:17" s="117" customFormat="1" ht="15.75" thickBot="1">
      <c r="A56" s="521"/>
      <c r="B56" s="510"/>
      <c r="C56" s="639">
        <v>100</v>
      </c>
      <c r="D56" s="512"/>
      <c r="E56" s="512">
        <f>ROUND(E55*10000*$D$54/E30,0)</f>
        <v>20357</v>
      </c>
      <c r="F56" s="512">
        <f>ROUND(F55*10000*$D$54/G30,0)</f>
        <v>10556</v>
      </c>
      <c r="G56" s="512">
        <f>ROUND(G55*10000*$D$54/I30,0)</f>
        <v>47500</v>
      </c>
      <c r="H56" s="512"/>
      <c r="I56" s="512"/>
      <c r="J56" s="512"/>
      <c r="K56" s="512"/>
      <c r="L56" s="512"/>
      <c r="M56" s="514"/>
      <c r="N56" s="1153"/>
      <c r="O56" s="1153"/>
      <c r="P56" s="504"/>
      <c r="Q56" s="504"/>
    </row>
    <row r="57" spans="1:17">
      <c r="A57" s="527" t="s">
        <v>2576</v>
      </c>
      <c r="B57" s="528" t="s">
        <v>2542</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2546</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v>4</v>
      </c>
      <c r="H62" s="549">
        <v>5</v>
      </c>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4"/>
      <c r="O70" s="1154"/>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5"/>
      <c r="O71" s="1155"/>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4"/>
      <c r="O72" s="1154"/>
      <c r="P72" s="45"/>
      <c r="Q72" s="504"/>
    </row>
    <row r="73" spans="1:17" ht="15.75" thickBot="1">
      <c r="A73" s="534"/>
      <c r="B73" s="543"/>
      <c r="C73" s="544">
        <v>100</v>
      </c>
      <c r="D73" s="544">
        <f>C73-$K17</f>
        <v>99</v>
      </c>
      <c r="E73" s="544">
        <f>D73-$K17</f>
        <v>98</v>
      </c>
      <c r="F73" s="544">
        <f>E73-$K17</f>
        <v>97</v>
      </c>
      <c r="G73" s="544">
        <f>F73-$K17</f>
        <v>96</v>
      </c>
      <c r="H73" s="544"/>
      <c r="I73" s="544"/>
      <c r="J73" s="544"/>
      <c r="K73" s="544"/>
      <c r="L73" s="544"/>
      <c r="M73" s="545"/>
      <c r="N73" s="1155"/>
      <c r="O73" s="1155"/>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4"/>
      <c r="O74" s="1154"/>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5"/>
      <c r="O75" s="1155"/>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4"/>
      <c r="O78" s="1154"/>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2"/>
      <c r="B87" s="569"/>
      <c r="C87" s="570"/>
      <c r="D87" s="570"/>
      <c r="E87" s="570"/>
      <c r="F87" s="570"/>
      <c r="G87" s="591"/>
      <c r="H87" s="591"/>
      <c r="I87" s="591"/>
      <c r="J87" s="591"/>
      <c r="K87" s="591"/>
      <c r="L87" s="591"/>
      <c r="M87" s="592"/>
      <c r="N87" s="1155"/>
      <c r="O87" s="1155"/>
      <c r="P87" s="45"/>
      <c r="Q87" s="504"/>
    </row>
    <row r="88" spans="1:17">
      <c r="A88" s="527" t="s">
        <v>2551</v>
      </c>
      <c r="B88" s="528" t="s">
        <v>2600</v>
      </c>
      <c r="C88" s="2986" t="s">
        <v>3121</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5"/>
      <c r="O89" s="1155"/>
      <c r="P89" s="45"/>
      <c r="Q89" s="504"/>
    </row>
    <row r="90" spans="1:17" ht="29.25" thickTop="1">
      <c r="A90" s="534"/>
      <c r="B90" s="538" t="s">
        <v>2601</v>
      </c>
      <c r="C90" s="578" t="str">
        <f>C91&amp;"(含)"&amp;"-"&amp;D91</f>
        <v>0(含)-300</v>
      </c>
      <c r="D90" s="578" t="str">
        <f t="shared" ref="D90:L90" si="20">D91&amp;"(含)"&amp;"-"&amp;E91</f>
        <v>300(含)-500</v>
      </c>
      <c r="E90" s="578" t="str">
        <f t="shared" si="20"/>
        <v>500(含)-1000</v>
      </c>
      <c r="F90" s="578" t="str">
        <f t="shared" si="20"/>
        <v>1000(含)-1500</v>
      </c>
      <c r="G90" s="578" t="str">
        <f t="shared" si="20"/>
        <v>1500(含)-2000</v>
      </c>
      <c r="H90" s="578" t="str">
        <f t="shared" si="20"/>
        <v>2000(含)-5000</v>
      </c>
      <c r="I90" s="578" t="str">
        <f t="shared" si="20"/>
        <v>5000(含)-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300</v>
      </c>
      <c r="E91" s="595">
        <v>500</v>
      </c>
      <c r="F91" s="595">
        <v>1000</v>
      </c>
      <c r="G91" s="595">
        <v>1500</v>
      </c>
      <c r="H91" s="595">
        <v>2000</v>
      </c>
      <c r="I91" s="595">
        <v>5000</v>
      </c>
      <c r="J91" s="596"/>
      <c r="K91" s="596"/>
      <c r="L91" s="597"/>
      <c r="M91" s="598"/>
      <c r="N91" s="1156"/>
      <c r="O91" s="1156"/>
      <c r="P91" s="558"/>
      <c r="Q91" s="559"/>
    </row>
    <row r="92" spans="1:17" s="471" customFormat="1" ht="15.75" thickBot="1">
      <c r="A92" s="553"/>
      <c r="B92" s="543"/>
      <c r="C92" s="560">
        <f>D92-2</f>
        <v>98</v>
      </c>
      <c r="D92" s="536">
        <v>100</v>
      </c>
      <c r="E92" s="536">
        <f>D92-2</f>
        <v>98</v>
      </c>
      <c r="F92" s="536">
        <f t="shared" ref="F92:I92" si="21">E92-2</f>
        <v>96</v>
      </c>
      <c r="G92" s="536">
        <f t="shared" si="21"/>
        <v>94</v>
      </c>
      <c r="H92" s="536">
        <f t="shared" si="21"/>
        <v>92</v>
      </c>
      <c r="I92" s="536">
        <f t="shared" si="21"/>
        <v>90</v>
      </c>
      <c r="J92" s="536"/>
      <c r="K92" s="536"/>
      <c r="L92" s="536"/>
      <c r="M92" s="537"/>
      <c r="N92" s="1155"/>
      <c r="O92" s="1155"/>
      <c r="P92" s="558"/>
      <c r="Q92" s="559"/>
    </row>
    <row r="93" spans="1:17" ht="15" thickTop="1">
      <c r="A93" s="599"/>
      <c r="B93" s="538" t="s">
        <v>2602</v>
      </c>
      <c r="C93" s="2987" t="s">
        <v>3122</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2">C94-$K31</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5"/>
      <c r="O94" s="1155"/>
      <c r="P94" s="45"/>
      <c r="Q94" s="504"/>
    </row>
    <row r="95" spans="1:17" ht="15" thickTop="1">
      <c r="A95" s="599"/>
      <c r="B95" s="538" t="s">
        <v>2604</v>
      </c>
      <c r="C95" s="2987" t="s">
        <v>3124</v>
      </c>
      <c r="D95" s="2987" t="s">
        <v>3126</v>
      </c>
      <c r="E95" s="2987" t="s">
        <v>3128</v>
      </c>
      <c r="F95" s="2988" t="s">
        <v>3130</v>
      </c>
      <c r="G95" s="583"/>
      <c r="H95" s="583"/>
      <c r="I95" s="583"/>
      <c r="J95" s="583"/>
      <c r="K95" s="584"/>
      <c r="L95" s="585"/>
      <c r="M95" s="586"/>
      <c r="N95" s="1154"/>
      <c r="O95" s="1154"/>
      <c r="P95" s="45"/>
      <c r="Q95" s="504"/>
    </row>
    <row r="96" spans="1:17" ht="15.75" thickBot="1">
      <c r="A96" s="534"/>
      <c r="B96" s="543"/>
      <c r="C96" s="544">
        <v>100</v>
      </c>
      <c r="D96" s="544">
        <f t="shared" ref="D96:M96" si="23">C96-$K32</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5">
        <f t="shared" si="23"/>
        <v>90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4">D99+$K33</f>
        <v>100</v>
      </c>
      <c r="F99" s="544">
        <f t="shared" si="24"/>
        <v>100</v>
      </c>
      <c r="G99" s="544">
        <f t="shared" si="24"/>
        <v>100</v>
      </c>
      <c r="H99" s="544">
        <f t="shared" si="24"/>
        <v>100</v>
      </c>
      <c r="I99" s="544">
        <f t="shared" si="24"/>
        <v>100</v>
      </c>
      <c r="J99" s="544">
        <f t="shared" si="24"/>
        <v>100</v>
      </c>
      <c r="K99" s="544">
        <f t="shared" si="24"/>
        <v>100</v>
      </c>
      <c r="L99" s="544">
        <f t="shared" si="24"/>
        <v>100</v>
      </c>
      <c r="M99" s="544">
        <f t="shared" si="24"/>
        <v>100</v>
      </c>
      <c r="N99" s="1155"/>
      <c r="O99" s="1155"/>
      <c r="P99" s="45"/>
      <c r="Q99" s="504"/>
    </row>
    <row r="100" spans="1:17" s="471" customFormat="1" ht="15" thickTop="1">
      <c r="A100" s="593"/>
      <c r="B100" s="538" t="s">
        <v>2605</v>
      </c>
      <c r="C100" s="2987" t="s">
        <v>3132</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98</v>
      </c>
      <c r="E101" s="544">
        <f t="shared" ref="E101:M101" si="25">D101-$K34</f>
        <v>96</v>
      </c>
      <c r="F101" s="544">
        <f t="shared" si="25"/>
        <v>94</v>
      </c>
      <c r="G101" s="544">
        <f t="shared" si="25"/>
        <v>92</v>
      </c>
      <c r="H101" s="544">
        <f t="shared" si="25"/>
        <v>90</v>
      </c>
      <c r="I101" s="544">
        <f t="shared" si="25"/>
        <v>88</v>
      </c>
      <c r="J101" s="544">
        <f t="shared" si="25"/>
        <v>86</v>
      </c>
      <c r="K101" s="544">
        <f t="shared" si="25"/>
        <v>84</v>
      </c>
      <c r="L101" s="544">
        <f t="shared" si="25"/>
        <v>82</v>
      </c>
      <c r="M101" s="544">
        <f t="shared" si="25"/>
        <v>80</v>
      </c>
      <c r="N101" s="1156"/>
      <c r="O101" s="1156"/>
      <c r="P101" s="558"/>
      <c r="Q101" s="559"/>
    </row>
    <row r="102" spans="1:17" ht="15" thickTop="1">
      <c r="A102" s="599"/>
      <c r="B102" s="538" t="s">
        <v>2606</v>
      </c>
      <c r="C102" s="554" t="s">
        <v>3119</v>
      </c>
      <c r="D102" s="554" t="s">
        <v>3133</v>
      </c>
      <c r="E102" s="554" t="s">
        <v>3134</v>
      </c>
      <c r="F102" s="554" t="s">
        <v>3135</v>
      </c>
      <c r="G102" s="554" t="s">
        <v>3136</v>
      </c>
      <c r="H102" s="583"/>
      <c r="I102" s="583"/>
      <c r="J102" s="583"/>
      <c r="K102" s="584"/>
      <c r="L102" s="585"/>
      <c r="M102" s="586"/>
      <c r="N102" s="1154"/>
      <c r="O102" s="1154"/>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5"/>
      <c r="O103" s="1155"/>
      <c r="P103" s="45"/>
      <c r="Q103" s="504"/>
    </row>
    <row r="104" spans="1:17" ht="15" thickTop="1">
      <c r="A104" s="599"/>
      <c r="B104" s="538" t="s">
        <v>2608</v>
      </c>
      <c r="C104" s="554" t="s">
        <v>3123</v>
      </c>
      <c r="D104" s="554" t="s">
        <v>3125</v>
      </c>
      <c r="E104" s="554" t="s">
        <v>3127</v>
      </c>
      <c r="F104" s="554" t="s">
        <v>3129</v>
      </c>
      <c r="G104" s="554"/>
      <c r="H104" s="583"/>
      <c r="I104" s="583"/>
      <c r="J104" s="583"/>
      <c r="K104" s="584"/>
      <c r="L104" s="585"/>
      <c r="M104" s="586"/>
      <c r="N104" s="1154"/>
      <c r="O104" s="1154"/>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5"/>
      <c r="O105" s="1155"/>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5"/>
      <c r="O106" s="1155"/>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93"/>
  <sheetViews>
    <sheetView topLeftCell="A91" workbookViewId="0">
      <selection activeCell="O103" sqref="O103"/>
    </sheetView>
  </sheetViews>
  <sheetFormatPr defaultRowHeight="13.5"/>
  <sheetData>
    <row r="93" spans="15:15">
      <c r="O93" s="2994" t="s">
        <v>3142</v>
      </c>
    </row>
  </sheetData>
  <phoneticPr fontId="143" type="noConversion"/>
  <hyperlinks>
    <hyperlink ref="O93" r:id="rId1"/>
  </hyperlinks>
  <pageMargins left="0.7" right="0.7" top="0.75" bottom="0.75" header="0.3" footer="0.3"/>
  <pageSetup paperSize="9" scale="27"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G19" sqref="G19"/>
    </sheetView>
  </sheetViews>
  <sheetFormatPr defaultRowHeight="13.5"/>
  <cols>
    <col min="2" max="2" width="13.5" bestFit="1" customWidth="1"/>
    <col min="3" max="3" width="13.75" customWidth="1"/>
    <col min="4" max="4" width="10.5" bestFit="1" customWidth="1"/>
    <col min="5" max="5" width="9.5" bestFit="1" customWidth="1"/>
  </cols>
  <sheetData>
    <row r="1" spans="1:10">
      <c r="A1" s="2962" t="s">
        <v>3083</v>
      </c>
      <c r="B1" s="2962" t="s">
        <v>3086</v>
      </c>
      <c r="C1" s="2962" t="s">
        <v>3087</v>
      </c>
      <c r="D1" s="2962" t="s">
        <v>3089</v>
      </c>
      <c r="E1" s="2962" t="s">
        <v>3090</v>
      </c>
      <c r="F1" s="2962" t="s">
        <v>3091</v>
      </c>
      <c r="G1" s="2962" t="s">
        <v>3094</v>
      </c>
      <c r="H1" s="2962" t="s">
        <v>3093</v>
      </c>
      <c r="I1" s="2962" t="s">
        <v>3097</v>
      </c>
    </row>
    <row r="2" spans="1:10">
      <c r="A2" s="2962" t="s">
        <v>3084</v>
      </c>
      <c r="B2">
        <v>311.60000000000002</v>
      </c>
      <c r="C2" s="2962" t="s">
        <v>3088</v>
      </c>
      <c r="D2" s="2963">
        <v>42597</v>
      </c>
      <c r="E2" s="2963">
        <v>43709</v>
      </c>
      <c r="F2" s="2965" t="s">
        <v>3092</v>
      </c>
      <c r="G2">
        <v>386695.6</v>
      </c>
      <c r="H2">
        <v>3.4</v>
      </c>
      <c r="I2">
        <v>60000</v>
      </c>
      <c r="J2">
        <f>0.1/H2</f>
        <v>2.9411764705882356E-2</v>
      </c>
    </row>
    <row r="3" spans="1:10">
      <c r="A3" s="2962" t="s">
        <v>3095</v>
      </c>
      <c r="B3">
        <v>623</v>
      </c>
      <c r="C3" s="2962" t="s">
        <v>3096</v>
      </c>
      <c r="D3" s="2963">
        <v>42590</v>
      </c>
      <c r="E3" s="2963">
        <v>43684</v>
      </c>
      <c r="F3" s="2964" t="str">
        <f>F2</f>
        <v>0.1元</v>
      </c>
      <c r="G3">
        <v>742740</v>
      </c>
      <c r="H3">
        <f>ROUND(G3/B3/365,1)</f>
        <v>3.3</v>
      </c>
      <c r="I3">
        <v>100000</v>
      </c>
      <c r="J3">
        <f t="shared" ref="J3:J4" si="0">0.1/H3</f>
        <v>3.0303030303030307E-2</v>
      </c>
    </row>
    <row r="4" spans="1:10">
      <c r="B4">
        <v>310</v>
      </c>
      <c r="C4" s="2962" t="s">
        <v>3098</v>
      </c>
      <c r="D4" s="2963">
        <v>42682</v>
      </c>
      <c r="E4" s="2963">
        <v>43684</v>
      </c>
      <c r="F4" s="2964" t="str">
        <f>F3</f>
        <v>0.1元</v>
      </c>
      <c r="G4">
        <v>370000</v>
      </c>
      <c r="H4">
        <f>ROUND(G4/B4/365,1)</f>
        <v>3.3</v>
      </c>
      <c r="I4">
        <v>50000</v>
      </c>
      <c r="J4">
        <f t="shared" si="0"/>
        <v>3.0303030303030307E-2</v>
      </c>
    </row>
    <row r="5" spans="1:10">
      <c r="B5">
        <f>SUM(B2:B4)</f>
        <v>1244.5999999999999</v>
      </c>
      <c r="G5">
        <f>SUM(G2:G4)</f>
        <v>1499435.6</v>
      </c>
      <c r="I5">
        <f>SUM(I2:I4)</f>
        <v>210000</v>
      </c>
    </row>
    <row r="6" spans="1:10">
      <c r="B6">
        <f>'数据-汇总表'!E3</f>
        <v>1246.4000000000001</v>
      </c>
      <c r="F6" s="2992" t="s">
        <v>3099</v>
      </c>
      <c r="G6" s="2993">
        <f>ROUND(G5/B6/365,1)</f>
        <v>3.3</v>
      </c>
    </row>
    <row r="7" spans="1:10">
      <c r="F7" s="2993"/>
      <c r="G7" s="2992" t="s">
        <v>3141</v>
      </c>
    </row>
    <row r="9" spans="1:10" ht="14.25" thickBot="1"/>
    <row r="10" spans="1:10" s="2969" customFormat="1" ht="20.25" customHeight="1" thickBot="1">
      <c r="A10" s="2967" t="s">
        <v>3100</v>
      </c>
      <c r="B10" s="2968">
        <f>项目基本情况!B3</f>
        <v>43165</v>
      </c>
    </row>
    <row r="11" spans="1:10" s="2969" customFormat="1" ht="33" customHeight="1">
      <c r="A11" s="2970" t="s">
        <v>3101</v>
      </c>
      <c r="B11" s="2971" t="s">
        <v>3102</v>
      </c>
      <c r="C11" s="2972" t="s">
        <v>3103</v>
      </c>
      <c r="D11" s="2971" t="s">
        <v>3104</v>
      </c>
      <c r="E11" s="2973" t="s">
        <v>3105</v>
      </c>
    </row>
    <row r="12" spans="1:10" s="2969" customFormat="1" ht="20.25" customHeight="1">
      <c r="A12" s="2974">
        <v>40</v>
      </c>
      <c r="B12" s="2975">
        <f>E2</f>
        <v>43709</v>
      </c>
      <c r="C12" s="2976">
        <f>ROUNDDOWN(MIN((B12-$B$10)/365,A12),2)</f>
        <v>1.49</v>
      </c>
      <c r="D12" s="2977">
        <f>IF(ISERROR(ROUND(POWER(1+E12,A12-C12)*(POWER(1+E12,C12)-1)/(POWER(1+E12,A12)-1),3)),0,ROUND(POWER(1+E12,A12-C12)*(POWER(1+E12,C12)-1)/(POWER(1+E12,A12)-1),3))</f>
        <v>7.1999999999999995E-2</v>
      </c>
      <c r="E12" s="2978">
        <v>0.04</v>
      </c>
    </row>
    <row r="13" spans="1:10" s="2969" customFormat="1" ht="20.25" customHeight="1">
      <c r="A13" s="2974">
        <v>50</v>
      </c>
      <c r="B13" s="2975">
        <v>50028</v>
      </c>
      <c r="C13" s="2976" t="e">
        <f>ROUNDDOWN(MIN((B13-$B$1)/365,A13),2)</f>
        <v>#VALUE!</v>
      </c>
      <c r="D13" s="2977">
        <f>IF(ISERROR(ROUND(POWER(1+E13,A13-C13)*(POWER(1+E13,C13)-1)/(POWER(1+E13,A13)-1),3)),0,ROUND(POWER(1+E13,A13-C13)*(POWER(1+E13,C13)-1)/(POWER(1+E13,A13)-1),3))</f>
        <v>0</v>
      </c>
      <c r="E13" s="2978">
        <v>0.04</v>
      </c>
    </row>
    <row r="14" spans="1:10" s="2969" customFormat="1" ht="20.25" customHeight="1" thickBot="1">
      <c r="A14" s="2979">
        <v>70</v>
      </c>
      <c r="B14" s="2980">
        <v>57333</v>
      </c>
      <c r="C14" s="2981" t="e">
        <f>ROUNDDOWN(MIN((B14-$B$1)/365,A14),2)</f>
        <v>#VALUE!</v>
      </c>
      <c r="D14" s="2982">
        <f>IF(ISERROR(ROUND(POWER(1+E14,A14-C14)*(POWER(1+E14,C14)-1)/(POWER(1+E14,A14)-1),3)),0,ROUND(POWER(1+E14,A14-C14)*(POWER(1+E14,C14)-1)/(POWER(1+E14,A14)-1),3))</f>
        <v>0</v>
      </c>
      <c r="E14" s="2983">
        <v>0.04</v>
      </c>
    </row>
  </sheetData>
  <phoneticPr fontId="143" type="noConversion"/>
  <dataValidations count="1">
    <dataValidation type="list" allowBlank="1" showInputMessage="1" showErrorMessage="1" sqref="A12:A14 IW12:IW14 SS12:SS14 ACO12:ACO14 AMK12:AMK14 AWG12:AWG14 BGC12:BGC14 BPY12:BPY14 BZU12:BZU14 CJQ12:CJQ14 CTM12:CTM14 DDI12:DDI14 DNE12:DNE14 DXA12:DXA14 EGW12:EGW14 EQS12:EQS14 FAO12:FAO14 FKK12:FKK14 FUG12:FUG14 GEC12:GEC14 GNY12:GNY14 GXU12:GXU14 HHQ12:HHQ14 HRM12:HRM14 IBI12:IBI14 ILE12:ILE14 IVA12:IVA14 JEW12:JEW14 JOS12:JOS14 JYO12:JYO14 KIK12:KIK14 KSG12:KSG14 LCC12:LCC14 LLY12:LLY14 LVU12:LVU14 MFQ12:MFQ14 MPM12:MPM14 MZI12:MZI14 NJE12:NJE14 NTA12:NTA14 OCW12:OCW14 OMS12:OMS14 OWO12:OWO14 PGK12:PGK14 PQG12:PQG14 QAC12:QAC14 QJY12:QJY14 QTU12:QTU14 RDQ12:RDQ14 RNM12:RNM14 RXI12:RXI14 SHE12:SHE14 SRA12:SRA14 TAW12:TAW14 TKS12:TKS14 TUO12:TUO14 UEK12:UEK14 UOG12:UOG14 UYC12:UYC14 VHY12:VHY14 VRU12:VRU14 WBQ12:WBQ14 WLM12:WLM14 WVI12:WVI14">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1641</v>
      </c>
      <c r="B2" s="3016" t="s">
        <v>1642</v>
      </c>
      <c r="C2" s="3016" t="s">
        <v>1643</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6" t="s">
        <v>1638</v>
      </c>
      <c r="E3" s="1046" t="s">
        <v>1644</v>
      </c>
      <c r="F3" s="1046" t="s">
        <v>1638</v>
      </c>
      <c r="G3" s="1046" t="s">
        <v>1639</v>
      </c>
      <c r="H3" s="1046" t="s">
        <v>1638</v>
      </c>
      <c r="I3" s="1046" t="s">
        <v>1639</v>
      </c>
    </row>
    <row r="4" spans="1:9" ht="30">
      <c r="A4" s="1975" t="str">
        <f>项目基本情况!S2</f>
        <v>北京市昌平区超前路37号院20号楼1至4层101号房地产</v>
      </c>
      <c r="B4" s="1046">
        <f>项目基本情况!C17</f>
        <v>1246.4000000000001</v>
      </c>
      <c r="C4" s="1046">
        <f>项目基本情况!C18</f>
        <v>0</v>
      </c>
      <c r="D4" s="1046" t="e">
        <f ca="1">结果表!D118</f>
        <v>#REF!</v>
      </c>
      <c r="E4" s="1046" t="e">
        <f ca="1">结果表!E118</f>
        <v>#REF!</v>
      </c>
      <c r="F4" s="1046" t="e">
        <f ca="1">结果表!F118</f>
        <v>#REF!</v>
      </c>
      <c r="G4" s="1046" t="e">
        <f ca="1">结果表!G118</f>
        <v>#REF!</v>
      </c>
      <c r="H4" s="1046">
        <f ca="1">结果表!H118</f>
        <v>1995</v>
      </c>
      <c r="I4" s="1046">
        <f ca="1">结果表!I118</f>
        <v>16006</v>
      </c>
    </row>
    <row r="5" spans="1:9" ht="30" customHeight="1">
      <c r="A5" s="3010" t="s">
        <v>1640</v>
      </c>
      <c r="B5" s="3010"/>
      <c r="C5" s="3010"/>
      <c r="D5" s="3011" t="e">
        <f ca="1">结果表!D119</f>
        <v>#REF!</v>
      </c>
      <c r="E5" s="3011"/>
      <c r="F5" s="3011" t="e">
        <f ca="1">结果表!F119</f>
        <v>#REF!</v>
      </c>
      <c r="G5" s="3011"/>
      <c r="H5" s="3011" t="str">
        <f ca="1">结果表!H119</f>
        <v>壹仟玖佰玖拾伍万元整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1640</v>
      </c>
      <c r="B7" s="3010"/>
      <c r="C7" s="3010"/>
      <c r="D7" s="3012" t="str">
        <f>结果表!D121</f>
        <v>零元整</v>
      </c>
      <c r="E7" s="3013"/>
      <c r="F7" s="3013"/>
      <c r="G7" s="3013"/>
      <c r="H7" s="3013"/>
      <c r="I7" s="3014"/>
    </row>
    <row r="8" spans="1:9" ht="15.75">
      <c r="A8" s="3009" t="str">
        <f>结果表!A122</f>
        <v>房地产抵押价值</v>
      </c>
      <c r="B8" s="3009"/>
      <c r="C8" s="3009"/>
      <c r="D8" s="3009">
        <f ca="1">结果表!D122</f>
        <v>1995</v>
      </c>
      <c r="E8" s="3009"/>
      <c r="F8" s="3009"/>
      <c r="G8" s="3009"/>
      <c r="H8" s="3009"/>
      <c r="I8" s="3009"/>
    </row>
    <row r="9" spans="1:9" ht="15">
      <c r="A9" s="3010" t="s">
        <v>1640</v>
      </c>
      <c r="B9" s="3010"/>
      <c r="C9" s="3010"/>
      <c r="D9" s="3011" t="str">
        <f ca="1">结果表!D123</f>
        <v>壹仟玖佰玖拾伍万元整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1640</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3" t="s">
        <v>1662</v>
      </c>
      <c r="B1" s="3023"/>
      <c r="C1" s="3023"/>
      <c r="D1" s="3023"/>
    </row>
    <row r="2" spans="1:4" ht="18">
      <c r="A2" s="3024" t="s">
        <v>1646</v>
      </c>
      <c r="B2" s="3024"/>
      <c r="C2" s="3024"/>
      <c r="D2" s="3024"/>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24" t="s">
        <v>1652</v>
      </c>
      <c r="B6" s="3024"/>
      <c r="C6" s="3024"/>
      <c r="D6" s="3024"/>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25" t="s">
        <v>1655</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（1）根据估价对象《不动产权证书》原件、，截至价值时点，估价对象抵押权未见登记。</v>
      </c>
      <c r="B15" s="3017"/>
      <c r="C15" s="3017"/>
      <c r="D15" s="3017"/>
    </row>
    <row r="16" spans="1:4" ht="30" customHeight="1">
      <c r="A16" s="3019" t="s">
        <v>1656</v>
      </c>
      <c r="B16" s="3019"/>
      <c r="C16" s="3019"/>
      <c r="D16" s="3019"/>
    </row>
    <row r="17" spans="1:4" ht="144" customHeight="1">
      <c r="A17" s="3019" t="s">
        <v>1657</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1658</v>
      </c>
      <c r="B22" s="3021"/>
      <c r="C22" s="3021"/>
      <c r="D22" s="302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31" t="s">
        <v>1669</v>
      </c>
      <c r="B15" s="3026" t="s">
        <v>136</v>
      </c>
      <c r="C15" s="3027"/>
    </row>
    <row r="16" spans="1:7" ht="13.5">
      <c r="A16" s="3032"/>
      <c r="B16" s="3026" t="s">
        <v>69</v>
      </c>
      <c r="C16" s="3027"/>
    </row>
    <row r="17" spans="1:3" ht="13.5">
      <c r="A17" s="3032"/>
      <c r="B17" s="3029" t="s">
        <v>1670</v>
      </c>
      <c r="C17" s="2002" t="s">
        <v>1669</v>
      </c>
    </row>
    <row r="18" spans="1:3" ht="13.5">
      <c r="A18" s="3032"/>
      <c r="B18" s="3029"/>
      <c r="C18" s="2002" t="s">
        <v>1671</v>
      </c>
    </row>
    <row r="19" spans="1:3" ht="13.5">
      <c r="A19" s="3032"/>
      <c r="B19" s="3029"/>
      <c r="C19" s="2002" t="s">
        <v>1672</v>
      </c>
    </row>
    <row r="20" spans="1:3" ht="13.5">
      <c r="A20" s="3033"/>
      <c r="B20" s="3028" t="s">
        <v>1673</v>
      </c>
      <c r="C20" s="3027"/>
    </row>
    <row r="21" spans="1:3" ht="13.5">
      <c r="A21" s="2003" t="s">
        <v>1674</v>
      </c>
      <c r="B21" s="2004"/>
      <c r="C21" s="2005"/>
    </row>
    <row r="22" spans="1:3" ht="13.5">
      <c r="A22" s="3030" t="s">
        <v>1675</v>
      </c>
      <c r="B22" s="3028" t="s">
        <v>1676</v>
      </c>
      <c r="C22" s="3027"/>
    </row>
    <row r="23" spans="1:3" ht="13.5">
      <c r="A23" s="3030"/>
      <c r="B23" s="3028" t="s">
        <v>1677</v>
      </c>
      <c r="C23" s="3027"/>
    </row>
    <row r="24" spans="1:3" ht="13.5">
      <c r="A24" s="3030"/>
      <c r="B24" s="3028" t="s">
        <v>1678</v>
      </c>
      <c r="C24" s="3027"/>
    </row>
    <row r="25" spans="1:3" ht="13.5">
      <c r="A25" s="3030"/>
      <c r="B25" s="3029" t="s">
        <v>1679</v>
      </c>
      <c r="C25" s="2002" t="s">
        <v>1680</v>
      </c>
    </row>
    <row r="26" spans="1:3" ht="13.5">
      <c r="A26" s="3030"/>
      <c r="B26" s="3029"/>
      <c r="C26" s="2002" t="s">
        <v>1681</v>
      </c>
    </row>
    <row r="27" spans="1:3" ht="13.5">
      <c r="A27" s="3030"/>
      <c r="B27" s="3029"/>
      <c r="C27" s="2002" t="s">
        <v>1682</v>
      </c>
    </row>
    <row r="28" spans="1:3" ht="13.5">
      <c r="A28" s="3030"/>
      <c r="B28" s="3029"/>
      <c r="C28" s="2002" t="s">
        <v>1683</v>
      </c>
    </row>
    <row r="29" spans="1:3" ht="13.5">
      <c r="A29" s="3030"/>
      <c r="B29" s="3029"/>
      <c r="C29" s="2002" t="s">
        <v>1684</v>
      </c>
    </row>
    <row r="30" spans="1:3" ht="13.5">
      <c r="A30" s="3030"/>
      <c r="B30" s="3029"/>
      <c r="C30" s="2002" t="s">
        <v>1685</v>
      </c>
    </row>
    <row r="31" spans="1:3" ht="13.5">
      <c r="A31" s="3030"/>
      <c r="B31" s="3029"/>
      <c r="C31" s="2002" t="s">
        <v>1686</v>
      </c>
    </row>
    <row r="32" spans="1:3" ht="13.5">
      <c r="A32" s="3030"/>
      <c r="B32" s="3029"/>
      <c r="C32" s="2002" t="s">
        <v>1687</v>
      </c>
    </row>
    <row r="33" spans="1:3" ht="13.5">
      <c r="A33" s="3030"/>
      <c r="B33" s="302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43166</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c r="B12" s="1025"/>
      <c r="C12" s="2343"/>
      <c r="D12" s="2346"/>
      <c r="E12" s="1025"/>
      <c r="F12" s="1025"/>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f ca="1">IF(C22&lt;B2,"已过期",1120020033)</f>
        <v>1120020033</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34" t="s">
        <v>846</v>
      </c>
      <c r="B25" s="3034"/>
      <c r="C25" s="3034"/>
      <c r="D25" s="3034"/>
      <c r="E25" s="3034"/>
      <c r="F25" s="3034"/>
      <c r="G25" s="3034"/>
    </row>
    <row r="26" spans="1:7" s="1028" customFormat="1" ht="24" customHeight="1">
      <c r="A26" s="3035" t="s">
        <v>847</v>
      </c>
      <c r="B26" s="3035"/>
      <c r="C26" s="3036"/>
      <c r="D26" s="3037" t="s">
        <v>848</v>
      </c>
      <c r="E26" s="3035"/>
      <c r="F26" s="3035"/>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0">
        <v>44377</v>
      </c>
    </row>
    <row r="29" spans="1:7" s="1030" customFormat="1" ht="24" customHeight="1">
      <c r="A29" s="1031"/>
      <c r="B29" s="1031"/>
      <c r="C29" s="2349"/>
      <c r="D29" s="2351"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142</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案例</vt:lpstr>
      <vt:lpstr>租约</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'比较法-租金'!工业公共部分装修</vt:lpstr>
      <vt:lpstr>工业公共部分装修</vt:lpstr>
      <vt:lpstr>'比较法-租金'!工业基础设施水平</vt:lpstr>
      <vt:lpstr>工业基础设施水平</vt:lpstr>
      <vt:lpstr>'比较法-租金'!工业建筑结构</vt:lpstr>
      <vt:lpstr>工业建筑结构</vt:lpstr>
      <vt:lpstr>'比较法-租金'!工业建筑类型</vt:lpstr>
      <vt:lpstr>工业建筑类型</vt:lpstr>
      <vt:lpstr>'比较法-租金'!工业交易情况</vt:lpstr>
      <vt:lpstr>工业交易情况</vt:lpstr>
      <vt:lpstr>'比较法-租金'!工业内部装修</vt:lpstr>
      <vt:lpstr>工业内部装修</vt:lpstr>
      <vt:lpstr>'比较法-租金'!工业物业管理</vt:lpstr>
      <vt:lpstr>工业物业管理</vt:lpstr>
      <vt:lpstr>'比较法-租金'!工业用途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2018-03-07T04:27:45Z</cp:lastPrinted>
  <dcterms:created xsi:type="dcterms:W3CDTF">2015-07-13T07:17:23Z</dcterms:created>
  <dcterms:modified xsi:type="dcterms:W3CDTF">2018-03-07T08:40:19Z</dcterms:modified>
</cp:coreProperties>
</file>