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firstSheet="9"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state="hidden" r:id="rId19"/>
    <sheet name="成本法" sheetId="68" state="hidden" r:id="rId20"/>
    <sheet name="成本法 (元)" sheetId="69" state="hidden" r:id="rId21"/>
    <sheet name="假设开发法" sheetId="12" state="hidden" r:id="rId22"/>
    <sheet name="比较法-工业" sheetId="37"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比较法-租金" sheetId="79" r:id="rId45"/>
    <sheet name="案例" sheetId="77" r:id="rId46"/>
    <sheet name="租约" sheetId="78" r:id="rId47"/>
  </sheets>
  <definedNames>
    <definedName name="_xlnm._FilterDatabase" localSheetId="29" hidden="1">'比较法-办公'!$A$1:$L$50</definedName>
    <definedName name="_xlnm._FilterDatabase" localSheetId="31" hidden="1">'比较法-仓储'!$A$1:$L$37</definedName>
    <definedName name="_xlnm._FilterDatabase" localSheetId="30" hidden="1">'比较法-车位'!$A$1:$L$39</definedName>
    <definedName name="_xlnm._FilterDatabase" localSheetId="22" hidden="1">'比较法-工业'!$A$1:$L$43</definedName>
    <definedName name="_xlnm._FilterDatabase" localSheetId="28" hidden="1">'比较法-商业'!$A$1:$L$49</definedName>
    <definedName name="_xlnm._FilterDatabase" localSheetId="27" hidden="1">'比较法-住宅'!$A$1:$L$49</definedName>
    <definedName name="_xlnm._FilterDatabase" localSheetId="44" hidden="1">'比较法-租金'!$A$1:$L$43</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 localSheetId="44">'比较法-租金'!$B$95:$M$95</definedName>
    <definedName name="工业公共部分装修">'比较法-工业'!$B$95:$M$95</definedName>
    <definedName name="工业基础设施水平" localSheetId="44">'比较法-租金'!$B$102:$M$102</definedName>
    <definedName name="工业基础设施水平">'比较法-工业'!$B$102:$M$102</definedName>
    <definedName name="工业建筑结构" localSheetId="44">'比较法-租金'!$B$93:$M$93</definedName>
    <definedName name="工业建筑结构">'比较法-工业'!$B$93:$M$93</definedName>
    <definedName name="工业建筑类型" localSheetId="44">'比较法-租金'!$B$88:$M$88</definedName>
    <definedName name="工业建筑类型">'比较法-工业'!$B$88:$M$88</definedName>
    <definedName name="工业交易情况" localSheetId="44">'比较法-租金'!$A$55:$M$55</definedName>
    <definedName name="工业交易情况">'比较法-工业'!$A$55:$M$55</definedName>
    <definedName name="工业内部装修" localSheetId="44">'比较法-租金'!$B$104:$M$104</definedName>
    <definedName name="工业内部装修">'比较法-工业'!$B$104:$M$104</definedName>
    <definedName name="工业物业管理" localSheetId="44">'比较法-租金'!$B$100:$M$100</definedName>
    <definedName name="工业物业管理">'比较法-工业'!$B$100:$M$100</definedName>
    <definedName name="工业用途" localSheetId="44">'比较法-租金'!$B$57:$M$57</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0" i="79" l="1"/>
  <c r="G60" i="79" s="1"/>
  <c r="H60" i="79" s="1"/>
  <c r="I60" i="79" s="1"/>
  <c r="K37" i="79"/>
  <c r="D107" i="79" s="1"/>
  <c r="K36" i="79"/>
  <c r="D105" i="79" s="1"/>
  <c r="K35" i="79"/>
  <c r="D103" i="79" s="1"/>
  <c r="E103" i="79" s="1"/>
  <c r="K34" i="79"/>
  <c r="D101" i="79" s="1"/>
  <c r="E101" i="79" s="1"/>
  <c r="F101" i="79" s="1"/>
  <c r="G101" i="79" s="1"/>
  <c r="H101" i="79" s="1"/>
  <c r="I101" i="79" s="1"/>
  <c r="J101" i="79" s="1"/>
  <c r="K101" i="79" s="1"/>
  <c r="L101" i="79" s="1"/>
  <c r="M101" i="79" s="1"/>
  <c r="D99" i="79"/>
  <c r="E99" i="79" s="1"/>
  <c r="F99" i="79" s="1"/>
  <c r="G99" i="79" s="1"/>
  <c r="H99" i="79" s="1"/>
  <c r="I99" i="79" s="1"/>
  <c r="J99" i="79" s="1"/>
  <c r="K99" i="79" s="1"/>
  <c r="L99" i="79" s="1"/>
  <c r="M99" i="79" s="1"/>
  <c r="K32" i="79"/>
  <c r="D96" i="79" s="1"/>
  <c r="K31" i="79"/>
  <c r="K29" i="79"/>
  <c r="D89" i="79" s="1"/>
  <c r="E89" i="79" s="1"/>
  <c r="F89" i="79" s="1"/>
  <c r="G89" i="79" s="1"/>
  <c r="H89" i="79" s="1"/>
  <c r="I89" i="79" s="1"/>
  <c r="J89" i="79" s="1"/>
  <c r="K89" i="79" s="1"/>
  <c r="L89" i="79" s="1"/>
  <c r="M89" i="79" s="1"/>
  <c r="K23" i="79"/>
  <c r="D79" i="79" s="1"/>
  <c r="K21" i="79"/>
  <c r="D77" i="79" s="1"/>
  <c r="E77" i="79" s="1"/>
  <c r="F77" i="79" s="1"/>
  <c r="G77" i="79" s="1"/>
  <c r="K19" i="79"/>
  <c r="D75" i="79" s="1"/>
  <c r="K17" i="79"/>
  <c r="D73" i="79" s="1"/>
  <c r="K15" i="79"/>
  <c r="D71" i="79" s="1"/>
  <c r="I5" i="78"/>
  <c r="B112" i="79"/>
  <c r="B110" i="79"/>
  <c r="B108" i="79"/>
  <c r="G97" i="79"/>
  <c r="F97" i="79"/>
  <c r="E97" i="79"/>
  <c r="D97" i="79"/>
  <c r="C97" i="79"/>
  <c r="D94" i="79"/>
  <c r="E94" i="79" s="1"/>
  <c r="F94" i="79" s="1"/>
  <c r="G94" i="79" s="1"/>
  <c r="H94" i="79" s="1"/>
  <c r="I94" i="79" s="1"/>
  <c r="J94" i="79" s="1"/>
  <c r="K94" i="79" s="1"/>
  <c r="L94" i="79" s="1"/>
  <c r="M94" i="79" s="1"/>
  <c r="E92" i="79"/>
  <c r="F92" i="79" s="1"/>
  <c r="G92" i="79" s="1"/>
  <c r="H92" i="79" s="1"/>
  <c r="I92" i="79" s="1"/>
  <c r="C92" i="79"/>
  <c r="M90" i="79"/>
  <c r="L90" i="79"/>
  <c r="K90" i="79"/>
  <c r="J90" i="79"/>
  <c r="I90" i="79"/>
  <c r="H90" i="79"/>
  <c r="G90" i="79"/>
  <c r="F90" i="79"/>
  <c r="E90" i="79"/>
  <c r="D90" i="79"/>
  <c r="C90" i="79"/>
  <c r="B86" i="79"/>
  <c r="B84" i="79"/>
  <c r="B82" i="79"/>
  <c r="B80" i="79"/>
  <c r="B68" i="79"/>
  <c r="B66" i="79"/>
  <c r="B64" i="79"/>
  <c r="E63" i="79"/>
  <c r="F63" i="79" s="1"/>
  <c r="G63" i="79" s="1"/>
  <c r="H63" i="79" s="1"/>
  <c r="I63" i="79" s="1"/>
  <c r="J63" i="79" s="1"/>
  <c r="K63" i="79" s="1"/>
  <c r="L63" i="79" s="1"/>
  <c r="M63" i="79" s="1"/>
  <c r="D63" i="79"/>
  <c r="M61" i="79"/>
  <c r="L61" i="79"/>
  <c r="K61" i="79"/>
  <c r="J61" i="79"/>
  <c r="I61" i="79"/>
  <c r="H61" i="79"/>
  <c r="G61" i="79"/>
  <c r="F61" i="79"/>
  <c r="E61" i="79"/>
  <c r="D61" i="79"/>
  <c r="C61" i="79"/>
  <c r="C57" i="79"/>
  <c r="G56" i="79"/>
  <c r="F56" i="79"/>
  <c r="E56" i="79"/>
  <c r="P43" i="79"/>
  <c r="P42" i="79"/>
  <c r="P41" i="79"/>
  <c r="T41" i="79"/>
  <c r="Q40" i="79"/>
  <c r="Z40" i="79" s="1"/>
  <c r="J40" i="79"/>
  <c r="AC40" i="79" s="1"/>
  <c r="H40" i="79"/>
  <c r="AB40" i="79" s="1"/>
  <c r="F40" i="79"/>
  <c r="Q39" i="79"/>
  <c r="Z39" i="79" s="1"/>
  <c r="J39" i="79"/>
  <c r="AC39" i="79" s="1"/>
  <c r="H39" i="79"/>
  <c r="AB39" i="79" s="1"/>
  <c r="F39" i="79"/>
  <c r="AA39" i="79" s="1"/>
  <c r="AC38" i="79"/>
  <c r="W38" i="79"/>
  <c r="Q38" i="79"/>
  <c r="Z38" i="79" s="1"/>
  <c r="J38" i="79"/>
  <c r="H38" i="79"/>
  <c r="F38" i="79"/>
  <c r="AA38" i="79" s="1"/>
  <c r="Q37" i="79"/>
  <c r="Z37" i="79" s="1"/>
  <c r="Q36" i="79"/>
  <c r="Z36" i="79" s="1"/>
  <c r="Q35" i="79"/>
  <c r="Z35" i="79" s="1"/>
  <c r="Q34" i="79"/>
  <c r="Z34" i="79" s="1"/>
  <c r="J34" i="79"/>
  <c r="AC34" i="79" s="1"/>
  <c r="H34" i="79"/>
  <c r="AB34" i="79" s="1"/>
  <c r="F34" i="79"/>
  <c r="AA34" i="79" s="1"/>
  <c r="Q33" i="79"/>
  <c r="Z33" i="79" s="1"/>
  <c r="G33" i="79"/>
  <c r="E33" i="79"/>
  <c r="C33" i="79"/>
  <c r="Q32" i="79"/>
  <c r="Z32" i="79" s="1"/>
  <c r="Q31" i="79"/>
  <c r="Z31" i="79" s="1"/>
  <c r="J31" i="79"/>
  <c r="AC31" i="79" s="1"/>
  <c r="H31" i="79"/>
  <c r="AB31" i="79" s="1"/>
  <c r="F31" i="79"/>
  <c r="AA31" i="79" s="1"/>
  <c r="Q30" i="79"/>
  <c r="Z30" i="79" s="1"/>
  <c r="C30" i="79"/>
  <c r="H30" i="79" s="1"/>
  <c r="Q29" i="79"/>
  <c r="Z29" i="79" s="1"/>
  <c r="J29" i="79"/>
  <c r="AC29" i="79" s="1"/>
  <c r="H29" i="79"/>
  <c r="AB29" i="79" s="1"/>
  <c r="F29" i="79"/>
  <c r="AA29" i="79" s="1"/>
  <c r="Q28" i="79"/>
  <c r="Z28" i="79" s="1"/>
  <c r="J28" i="79"/>
  <c r="AC28" i="79" s="1"/>
  <c r="H28" i="79"/>
  <c r="AB28" i="79" s="1"/>
  <c r="F28" i="79"/>
  <c r="AA28" i="79" s="1"/>
  <c r="Q27" i="79"/>
  <c r="Z27" i="79" s="1"/>
  <c r="J27" i="79"/>
  <c r="AC27" i="79" s="1"/>
  <c r="H27" i="79"/>
  <c r="AB27" i="79" s="1"/>
  <c r="F27" i="79"/>
  <c r="AA27" i="79" s="1"/>
  <c r="Q26" i="79"/>
  <c r="Z26" i="79" s="1"/>
  <c r="J26" i="79"/>
  <c r="AC26" i="79" s="1"/>
  <c r="H26" i="79"/>
  <c r="AB26" i="79" s="1"/>
  <c r="F26" i="79"/>
  <c r="AA26" i="79" s="1"/>
  <c r="Q25" i="79"/>
  <c r="Z25" i="79" s="1"/>
  <c r="J25" i="79"/>
  <c r="AC25" i="79" s="1"/>
  <c r="H25" i="79"/>
  <c r="AB25" i="79" s="1"/>
  <c r="F25" i="79"/>
  <c r="AA25" i="79" s="1"/>
  <c r="Q23" i="79"/>
  <c r="Z23" i="79" s="1"/>
  <c r="C23" i="79"/>
  <c r="Q21" i="79"/>
  <c r="Z21" i="79" s="1"/>
  <c r="J21" i="79"/>
  <c r="AC21" i="79" s="1"/>
  <c r="H21" i="79"/>
  <c r="AB21" i="79" s="1"/>
  <c r="F21" i="79"/>
  <c r="AA21" i="79" s="1"/>
  <c r="C21" i="79"/>
  <c r="Q19" i="79"/>
  <c r="Z19" i="79" s="1"/>
  <c r="C19" i="79"/>
  <c r="Q17" i="79"/>
  <c r="Z17" i="79" s="1"/>
  <c r="C17" i="79"/>
  <c r="Q15" i="79"/>
  <c r="Z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F11" i="79"/>
  <c r="AA11" i="79" s="1"/>
  <c r="Q10" i="79"/>
  <c r="Z10" i="79" s="1"/>
  <c r="J10" i="79"/>
  <c r="AC10" i="79" s="1"/>
  <c r="H10" i="79"/>
  <c r="AB10" i="79" s="1"/>
  <c r="F10" i="79"/>
  <c r="AA10" i="79" s="1"/>
  <c r="Q9" i="79"/>
  <c r="Z9" i="79" s="1"/>
  <c r="J9" i="79"/>
  <c r="AC9" i="79" s="1"/>
  <c r="H9" i="79"/>
  <c r="AB9" i="79" s="1"/>
  <c r="F9" i="79"/>
  <c r="AA9" i="79" s="1"/>
  <c r="J8" i="79"/>
  <c r="W8" i="79" s="1"/>
  <c r="H8" i="79"/>
  <c r="AB8" i="79" s="1"/>
  <c r="F8" i="79"/>
  <c r="S8" i="79" s="1"/>
  <c r="C7" i="79"/>
  <c r="C52" i="79" s="1"/>
  <c r="D52" i="79" s="1"/>
  <c r="E52" i="79" s="1"/>
  <c r="F52" i="79" s="1"/>
  <c r="G52" i="79" s="1"/>
  <c r="H52" i="79" s="1"/>
  <c r="I52" i="79" s="1"/>
  <c r="J52" i="79" s="1"/>
  <c r="K52" i="79" s="1"/>
  <c r="L52" i="79" s="1"/>
  <c r="M52" i="79" s="1"/>
  <c r="N52" i="79" s="1"/>
  <c r="O52" i="79" s="1"/>
  <c r="D3" i="79"/>
  <c r="F92" i="37"/>
  <c r="G92" i="37" s="1"/>
  <c r="H92" i="37" s="1"/>
  <c r="I92" i="37" s="1"/>
  <c r="E92" i="37"/>
  <c r="C92" i="37"/>
  <c r="G56" i="37"/>
  <c r="I41" i="37" s="1"/>
  <c r="F56" i="37"/>
  <c r="G41" i="37" s="1"/>
  <c r="E56" i="37"/>
  <c r="E41" i="37" s="1"/>
  <c r="G33" i="37"/>
  <c r="E33" i="37"/>
  <c r="I33" i="37"/>
  <c r="C33" i="37"/>
  <c r="C30" i="37"/>
  <c r="C12" i="78"/>
  <c r="D12" i="78" s="1"/>
  <c r="B12" i="78"/>
  <c r="B10" i="78"/>
  <c r="C14" i="78"/>
  <c r="D14" i="78" s="1"/>
  <c r="C13" i="78"/>
  <c r="D13" i="78" s="1"/>
  <c r="J3" i="78"/>
  <c r="J4" i="78"/>
  <c r="J2" i="78"/>
  <c r="G6" i="78"/>
  <c r="B6" i="78"/>
  <c r="B5" i="78"/>
  <c r="G5" i="78"/>
  <c r="H4" i="78"/>
  <c r="F4" i="78"/>
  <c r="H3" i="78"/>
  <c r="F3" i="78"/>
  <c r="N6" i="1"/>
  <c r="D2" i="79"/>
  <c r="E48" i="79" l="1"/>
  <c r="F48" i="79" s="1"/>
  <c r="U8" i="79"/>
  <c r="I48" i="79"/>
  <c r="J48" i="79" s="1"/>
  <c r="E107" i="79"/>
  <c r="F107" i="79" s="1"/>
  <c r="G107" i="79" s="1"/>
  <c r="H107" i="79" s="1"/>
  <c r="I107" i="79" s="1"/>
  <c r="J107" i="79" s="1"/>
  <c r="K107" i="79" s="1"/>
  <c r="L107" i="79" s="1"/>
  <c r="M107" i="79" s="1"/>
  <c r="J37" i="79"/>
  <c r="AC37" i="79" s="1"/>
  <c r="F37" i="79"/>
  <c r="AA37" i="79" s="1"/>
  <c r="H37" i="79"/>
  <c r="AB37" i="79" s="1"/>
  <c r="E105" i="79"/>
  <c r="J36" i="79"/>
  <c r="AC36" i="79" s="1"/>
  <c r="F103" i="79"/>
  <c r="G103" i="79" s="1"/>
  <c r="H103" i="79" s="1"/>
  <c r="I103" i="79" s="1"/>
  <c r="J103" i="79" s="1"/>
  <c r="K103" i="79" s="1"/>
  <c r="L103" i="79" s="1"/>
  <c r="M103" i="79" s="1"/>
  <c r="J35" i="79"/>
  <c r="AC35" i="79" s="1"/>
  <c r="F35" i="79"/>
  <c r="AA35" i="79" s="1"/>
  <c r="H35" i="79"/>
  <c r="AB35" i="79" s="1"/>
  <c r="H33" i="79"/>
  <c r="AB33" i="79" s="1"/>
  <c r="E96" i="79"/>
  <c r="F96" i="79" s="1"/>
  <c r="G96" i="79" s="1"/>
  <c r="H96" i="79" s="1"/>
  <c r="I96" i="79" s="1"/>
  <c r="J96" i="79" s="1"/>
  <c r="K96" i="79" s="1"/>
  <c r="L96" i="79" s="1"/>
  <c r="M96" i="79" s="1"/>
  <c r="H32" i="79"/>
  <c r="AB32" i="79" s="1"/>
  <c r="J32" i="79"/>
  <c r="AC32" i="79" s="1"/>
  <c r="F32" i="79"/>
  <c r="AA32" i="79" s="1"/>
  <c r="E79" i="79"/>
  <c r="F79" i="79" s="1"/>
  <c r="G79" i="79" s="1"/>
  <c r="H23" i="79"/>
  <c r="AB23" i="79" s="1"/>
  <c r="J23" i="79"/>
  <c r="AC23" i="79" s="1"/>
  <c r="F23" i="79"/>
  <c r="AA23" i="79" s="1"/>
  <c r="E75" i="79"/>
  <c r="F75" i="79" s="1"/>
  <c r="G75" i="79" s="1"/>
  <c r="H19" i="79"/>
  <c r="AB19" i="79" s="1"/>
  <c r="J19" i="79"/>
  <c r="AC19" i="79" s="1"/>
  <c r="F19" i="79"/>
  <c r="AA19" i="79" s="1"/>
  <c r="E73" i="79"/>
  <c r="H17" i="79" s="1"/>
  <c r="F17" i="79"/>
  <c r="AA17" i="79" s="1"/>
  <c r="E71" i="79"/>
  <c r="F71" i="79" s="1"/>
  <c r="G71" i="79" s="1"/>
  <c r="H15" i="79"/>
  <c r="AB15" i="79" s="1"/>
  <c r="J15" i="79"/>
  <c r="AC15" i="79" s="1"/>
  <c r="F15" i="79"/>
  <c r="AA15" i="79" s="1"/>
  <c r="W10" i="79"/>
  <c r="F7" i="79"/>
  <c r="J7" i="79"/>
  <c r="AC8" i="79"/>
  <c r="S10" i="79"/>
  <c r="H7" i="79"/>
  <c r="AA8" i="79"/>
  <c r="U9" i="79"/>
  <c r="AB11" i="79"/>
  <c r="U11" i="79"/>
  <c r="AB30" i="79"/>
  <c r="U30" i="79"/>
  <c r="U33" i="79"/>
  <c r="S9" i="79"/>
  <c r="W9" i="79"/>
  <c r="U10" i="79"/>
  <c r="S11" i="79"/>
  <c r="W11" i="79"/>
  <c r="U12" i="79"/>
  <c r="S13" i="79"/>
  <c r="W13" i="79"/>
  <c r="U14" i="79"/>
  <c r="U15" i="79"/>
  <c r="U19" i="79"/>
  <c r="U21" i="79"/>
  <c r="U23" i="79"/>
  <c r="S25" i="79"/>
  <c r="W25" i="79"/>
  <c r="U26" i="79"/>
  <c r="S27" i="79"/>
  <c r="W27" i="79"/>
  <c r="U28" i="79"/>
  <c r="S29" i="79"/>
  <c r="W29" i="79"/>
  <c r="F30" i="79"/>
  <c r="J30" i="79"/>
  <c r="U31" i="79"/>
  <c r="S32" i="79"/>
  <c r="I33" i="79"/>
  <c r="J33" i="79" s="1"/>
  <c r="S34" i="79"/>
  <c r="W34" i="79"/>
  <c r="U35" i="79"/>
  <c r="U37" i="79"/>
  <c r="S38" i="79"/>
  <c r="U39" i="79"/>
  <c r="S12" i="79"/>
  <c r="W12" i="79"/>
  <c r="U13" i="79"/>
  <c r="S14" i="79"/>
  <c r="W14" i="79"/>
  <c r="S15" i="79"/>
  <c r="S19" i="79"/>
  <c r="S21" i="79"/>
  <c r="W21" i="79"/>
  <c r="S23" i="79"/>
  <c r="U25" i="79"/>
  <c r="S26" i="79"/>
  <c r="W26" i="79"/>
  <c r="U27" i="79"/>
  <c r="S28" i="79"/>
  <c r="W28" i="79"/>
  <c r="U29" i="79"/>
  <c r="S31" i="79"/>
  <c r="W31" i="79"/>
  <c r="U32" i="79"/>
  <c r="F33" i="79"/>
  <c r="U34" i="79"/>
  <c r="W35" i="79"/>
  <c r="W37" i="79"/>
  <c r="AB38" i="79"/>
  <c r="U38" i="79"/>
  <c r="AA40" i="79"/>
  <c r="S40" i="79"/>
  <c r="S39" i="79"/>
  <c r="W39" i="79"/>
  <c r="U40" i="79"/>
  <c r="R41" i="79"/>
  <c r="V41" i="79"/>
  <c r="G48" i="79"/>
  <c r="H48" i="79" s="1"/>
  <c r="W40" i="79"/>
  <c r="C6" i="68"/>
  <c r="D29" i="43"/>
  <c r="B29" i="1"/>
  <c r="Y6" i="1"/>
  <c r="F19" i="6"/>
  <c r="W36" i="79" l="1"/>
  <c r="S37" i="79"/>
  <c r="F105" i="79"/>
  <c r="G105" i="79" s="1"/>
  <c r="H36" i="79"/>
  <c r="F36" i="79"/>
  <c r="S35" i="79"/>
  <c r="W32" i="79"/>
  <c r="W23" i="79"/>
  <c r="W19" i="79"/>
  <c r="AB17" i="79"/>
  <c r="U17" i="79"/>
  <c r="S17" i="79"/>
  <c r="F73" i="79"/>
  <c r="G73" i="79" s="1"/>
  <c r="J17" i="79"/>
  <c r="W15" i="79"/>
  <c r="AB7" i="79"/>
  <c r="U7" i="79"/>
  <c r="AA33" i="79"/>
  <c r="S33" i="79"/>
  <c r="AA30" i="79"/>
  <c r="S30" i="79"/>
  <c r="W7" i="79"/>
  <c r="AC7" i="79"/>
  <c r="AC33" i="79"/>
  <c r="W33" i="79"/>
  <c r="AC30" i="79"/>
  <c r="W30" i="79"/>
  <c r="S7" i="79"/>
  <c r="AA7" i="79"/>
  <c r="C11" i="4"/>
  <c r="B7" i="4"/>
  <c r="D3" i="4"/>
  <c r="AB36" i="79" l="1"/>
  <c r="T42" i="79" s="1"/>
  <c r="G42" i="79" s="1"/>
  <c r="G46" i="79" s="1"/>
  <c r="H46" i="79" s="1"/>
  <c r="U36" i="79"/>
  <c r="AA36" i="79"/>
  <c r="R42" i="79" s="1"/>
  <c r="E42" i="79" s="1"/>
  <c r="S36" i="79"/>
  <c r="AC17" i="79"/>
  <c r="W17" i="79"/>
  <c r="V42" i="79"/>
  <c r="I42" i="79" s="1"/>
  <c r="I46" i="79" s="1"/>
  <c r="J46" i="79" s="1"/>
  <c r="L3" i="71"/>
  <c r="K3" i="71"/>
  <c r="I3" i="71"/>
  <c r="G47" i="79" l="1"/>
  <c r="H47" i="79" s="1"/>
  <c r="R43" i="79"/>
  <c r="C42" i="79" s="1"/>
  <c r="I47" i="79"/>
  <c r="J47" i="79" s="1"/>
  <c r="C43" i="79"/>
  <c r="U6" i="1" s="1"/>
  <c r="E47" i="79"/>
  <c r="F47" i="79" s="1"/>
  <c r="E46" i="79"/>
  <c r="F46" i="79" s="1"/>
  <c r="J3" i="71"/>
  <c r="B3" i="79" l="1"/>
  <c r="B2" i="79"/>
  <c r="AD5" i="71"/>
  <c r="AG5" i="71"/>
  <c r="AH5" i="71"/>
  <c r="AE5" i="71"/>
  <c r="AF5" i="71" s="1"/>
  <c r="N5" i="71"/>
  <c r="Q5" i="71"/>
  <c r="P5" i="71"/>
  <c r="O5" i="71"/>
  <c r="Q6" i="71" l="1"/>
  <c r="P6" i="71"/>
  <c r="O6" i="71"/>
  <c r="N6" i="71"/>
  <c r="A2" i="53" l="1"/>
  <c r="K59" i="67" l="1"/>
  <c r="P61" i="67" s="1"/>
  <c r="K59" i="15"/>
  <c r="P74" i="15" s="1"/>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E11" i="76"/>
  <c r="E8" i="76"/>
  <c r="E12" i="76"/>
  <c r="E10" i="76"/>
  <c r="B7" i="76"/>
  <c r="E7" i="76"/>
  <c r="E9" i="76"/>
  <c r="B13" i="76"/>
  <c r="B8" i="76"/>
  <c r="B9" i="76"/>
  <c r="B12" i="76"/>
  <c r="B11" i="76"/>
  <c r="B10" i="76"/>
  <c r="E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4" i="73"/>
  <c r="F5" i="73"/>
  <c r="F3" i="73"/>
  <c r="D5" i="73"/>
  <c r="F6" i="73"/>
  <c r="D3" i="73"/>
  <c r="D6" i="73"/>
  <c r="I1" i="73" l="1"/>
  <c r="B39" i="1" s="1"/>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0" i="1"/>
  <c r="AO11" i="1"/>
  <c r="AO9" i="1"/>
  <c r="AO12" i="1"/>
  <c r="AO13"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J28" i="37" s="1"/>
  <c r="AC28" i="37" s="1"/>
  <c r="B84" i="37"/>
  <c r="H27" i="37" s="1"/>
  <c r="B82" i="37"/>
  <c r="H26" i="37" s="1"/>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E103" i="37"/>
  <c r="F103" i="37" s="1"/>
  <c r="G103" i="37" s="1"/>
  <c r="H103" i="37" s="1"/>
  <c r="I103" i="37" s="1"/>
  <c r="J103" i="37" s="1"/>
  <c r="K103" i="37" s="1"/>
  <c r="L103" i="37" s="1"/>
  <c r="M103" i="37" s="1"/>
  <c r="F39" i="37"/>
  <c r="S39" i="37" s="1"/>
  <c r="U14" i="37"/>
  <c r="F29" i="36"/>
  <c r="AA29" i="36" s="1"/>
  <c r="W8" i="36"/>
  <c r="F16" i="36"/>
  <c r="AA16" i="36" s="1"/>
  <c r="W28" i="36"/>
  <c r="S30" i="36"/>
  <c r="AA31" i="36"/>
  <c r="AC31" i="36"/>
  <c r="W31" i="36"/>
  <c r="U31" i="36"/>
  <c r="J33" i="36"/>
  <c r="W33" i="36" s="1"/>
  <c r="H22" i="35"/>
  <c r="AB22" i="35" s="1"/>
  <c r="AC27" i="35"/>
  <c r="W28" i="35"/>
  <c r="U31" i="35"/>
  <c r="S34" i="35"/>
  <c r="W34" i="35"/>
  <c r="W22" i="35"/>
  <c r="S31"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AB11" i="36"/>
  <c r="AB11" i="35"/>
  <c r="J10" i="36"/>
  <c r="AC10" i="36" s="1"/>
  <c r="AB26" i="33"/>
  <c r="AB30" i="21"/>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BA528" i="3"/>
  <c r="AZ528" i="3"/>
  <c r="BA526" i="3"/>
  <c r="AZ526" i="3"/>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47" i="34"/>
  <c r="AB13" i="34"/>
  <c r="W37" i="34"/>
  <c r="AB37" i="34"/>
  <c r="AC36" i="34"/>
  <c r="AA13" i="33"/>
  <c r="AC31" i="33"/>
  <c r="AC45" i="33"/>
  <c r="W44" i="33"/>
  <c r="U11" i="33"/>
  <c r="U19" i="21"/>
  <c r="W44" i="21"/>
  <c r="U26" i="21"/>
  <c r="AC46" i="21"/>
  <c r="U12" i="21"/>
  <c r="AB38" i="21"/>
  <c r="F43" i="33"/>
  <c r="AA43" i="33" s="1"/>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0" i="3"/>
  <c r="AZ28"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AZ393" i="3" s="1"/>
  <c r="BA394" i="3"/>
  <c r="BL394" i="3"/>
  <c r="G113" i="3"/>
  <c r="BA115" i="3"/>
  <c r="BL116" i="3"/>
  <c r="AZ116" i="3"/>
  <c r="G117" i="3"/>
  <c r="BA119" i="3"/>
  <c r="AZ119" i="3" s="1"/>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G157" i="3"/>
  <c r="BA159" i="3"/>
  <c r="AZ159" i="3" s="1"/>
  <c r="BL160" i="3"/>
  <c r="AZ160" i="3" s="1"/>
  <c r="G161" i="3"/>
  <c r="BA163" i="3"/>
  <c r="AZ163" i="3" s="1"/>
  <c r="BL164" i="3"/>
  <c r="G165" i="3"/>
  <c r="BA167" i="3"/>
  <c r="AZ167" i="3" s="1"/>
  <c r="BL168" i="3"/>
  <c r="G169" i="3"/>
  <c r="BA171" i="3"/>
  <c r="AZ171" i="3" s="1"/>
  <c r="BL172" i="3"/>
  <c r="G173" i="3"/>
  <c r="BA175" i="3"/>
  <c r="AZ175" i="3"/>
  <c r="BL176" i="3"/>
  <c r="G177" i="3"/>
  <c r="BA179" i="3"/>
  <c r="AZ179" i="3"/>
  <c r="BL180" i="3"/>
  <c r="G181" i="3"/>
  <c r="BA183" i="3"/>
  <c r="AZ183" i="3" s="1"/>
  <c r="BL184" i="3"/>
  <c r="G185" i="3"/>
  <c r="BA187" i="3"/>
  <c r="AZ187" i="3" s="1"/>
  <c r="BL188" i="3"/>
  <c r="G189" i="3"/>
  <c r="BA191" i="3"/>
  <c r="AZ191" i="3" s="1"/>
  <c r="BL192" i="3"/>
  <c r="AZ192" i="3" s="1"/>
  <c r="G193" i="3"/>
  <c r="BA195" i="3"/>
  <c r="AZ195" i="3" s="1"/>
  <c r="BL196" i="3"/>
  <c r="G197" i="3"/>
  <c r="BA199" i="3"/>
  <c r="AZ199" i="3" s="1"/>
  <c r="BL200" i="3"/>
  <c r="G201" i="3"/>
  <c r="BA203" i="3"/>
  <c r="AZ203" i="3" s="1"/>
  <c r="BL204" i="3"/>
  <c r="AZ43" i="3"/>
  <c r="AZ47" i="3"/>
  <c r="AZ59" i="3"/>
  <c r="AZ63" i="3"/>
  <c r="AZ67" i="3"/>
  <c r="AZ71" i="3"/>
  <c r="AZ79" i="3"/>
  <c r="AZ83" i="3"/>
  <c r="AZ136" i="3"/>
  <c r="AZ144" i="3"/>
  <c r="AZ168" i="3"/>
  <c r="AZ176" i="3"/>
  <c r="AZ184" i="3"/>
  <c r="AZ200"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BA347" i="3"/>
  <c r="BL347" i="3"/>
  <c r="G350" i="3"/>
  <c r="BA351" i="3"/>
  <c r="AZ351" i="3" s="1"/>
  <c r="BL351" i="3"/>
  <c r="G352" i="3"/>
  <c r="G354" i="3"/>
  <c r="BA355" i="3"/>
  <c r="AZ355" i="3" s="1"/>
  <c r="BA356" i="3"/>
  <c r="BL356" i="3"/>
  <c r="G357" i="3"/>
  <c r="G360" i="3"/>
  <c r="BL361" i="3"/>
  <c r="BA363" i="3"/>
  <c r="AZ363" i="3"/>
  <c r="BA364" i="3"/>
  <c r="BL364" i="3"/>
  <c r="G365" i="3"/>
  <c r="G368" i="3"/>
  <c r="BL369" i="3"/>
  <c r="BA371" i="3"/>
  <c r="AZ371" i="3" s="1"/>
  <c r="BA372" i="3"/>
  <c r="BL372" i="3"/>
  <c r="G373" i="3"/>
  <c r="G376" i="3"/>
  <c r="BL377" i="3"/>
  <c r="BL379" i="3"/>
  <c r="BA381" i="3"/>
  <c r="AZ381" i="3"/>
  <c r="BA382" i="3"/>
  <c r="BL382" i="3"/>
  <c r="G383" i="3"/>
  <c r="G386" i="3"/>
  <c r="BL387" i="3"/>
  <c r="BA389" i="3"/>
  <c r="AZ389" i="3" s="1"/>
  <c r="BA390" i="3"/>
  <c r="BL390" i="3"/>
  <c r="G391" i="3"/>
  <c r="G394" i="3"/>
  <c r="AZ138" i="3"/>
  <c r="AZ142" i="3"/>
  <c r="AZ146" i="3"/>
  <c r="AZ158" i="3"/>
  <c r="AZ166" i="3"/>
  <c r="AZ174" i="3"/>
  <c r="AZ182" i="3"/>
  <c r="AZ190" i="3"/>
  <c r="AZ198" i="3"/>
  <c r="AZ500" i="3"/>
  <c r="BA16" i="3"/>
  <c r="AZ16" i="3" s="1"/>
  <c r="BL303" i="3"/>
  <c r="G304" i="3"/>
  <c r="BA306" i="3"/>
  <c r="AZ306" i="3"/>
  <c r="BL307" i="3"/>
  <c r="AZ307" i="3"/>
  <c r="G308" i="3"/>
  <c r="BA310" i="3"/>
  <c r="AZ310" i="3" s="1"/>
  <c r="BL311" i="3"/>
  <c r="G312" i="3"/>
  <c r="BA314" i="3"/>
  <c r="AZ314" i="3" s="1"/>
  <c r="BL315" i="3"/>
  <c r="G316" i="3"/>
  <c r="BA318" i="3"/>
  <c r="AZ318" i="3" s="1"/>
  <c r="BL319" i="3"/>
  <c r="AZ319" i="3" s="1"/>
  <c r="G320" i="3"/>
  <c r="BA322" i="3"/>
  <c r="AZ322" i="3" s="1"/>
  <c r="BL323" i="3"/>
  <c r="AZ323" i="3" s="1"/>
  <c r="G324" i="3"/>
  <c r="BA326" i="3"/>
  <c r="BL327" i="3"/>
  <c r="AZ327" i="3" s="1"/>
  <c r="G328" i="3"/>
  <c r="BA330" i="3"/>
  <c r="AZ330" i="3" s="1"/>
  <c r="BL331" i="3"/>
  <c r="G332" i="3"/>
  <c r="BA334" i="3"/>
  <c r="AZ334" i="3"/>
  <c r="BL335" i="3"/>
  <c r="G336" i="3"/>
  <c r="BA338" i="3"/>
  <c r="AZ338" i="3"/>
  <c r="BL339" i="3"/>
  <c r="AZ339" i="3"/>
  <c r="G340" i="3"/>
  <c r="BL343" i="3"/>
  <c r="G344" i="3"/>
  <c r="G348" i="3"/>
  <c r="G355" i="3"/>
  <c r="AZ209" i="3"/>
  <c r="AZ218" i="3"/>
  <c r="AZ222" i="3"/>
  <c r="AZ303"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BL384" i="3"/>
  <c r="G385" i="3"/>
  <c r="BA387" i="3"/>
  <c r="AZ387" i="3"/>
  <c r="BL388" i="3"/>
  <c r="G389" i="3"/>
  <c r="BA391" i="3"/>
  <c r="AZ391" i="3"/>
  <c r="BL392" i="3"/>
  <c r="G393" i="3"/>
  <c r="AZ275" i="3"/>
  <c r="AZ283" i="3"/>
  <c r="AZ291"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2" i="3"/>
  <c r="AZ356" i="3"/>
  <c r="AZ360" i="3"/>
  <c r="AZ364" i="3"/>
  <c r="BA15" i="3"/>
  <c r="BB5" i="3"/>
  <c r="E8" i="6" s="1"/>
  <c r="F27" i="6" s="1"/>
  <c r="BR5" i="3"/>
  <c r="AZ380" i="3"/>
  <c r="AZ384" i="3"/>
  <c r="AZ396" i="3"/>
  <c r="AZ394" i="3"/>
  <c r="AZ509" i="3"/>
  <c r="G509" i="3"/>
  <c r="BL493" i="3"/>
  <c r="AZ493" i="3" s="1"/>
  <c r="AZ376" i="3"/>
  <c r="AZ390" i="3"/>
  <c r="AZ382" i="3"/>
  <c r="U36" i="40"/>
  <c r="N4" i="43"/>
  <c r="F36" i="43"/>
  <c r="H113" i="43"/>
  <c r="F48" i="43"/>
  <c r="H52" i="43" s="1"/>
  <c r="N7" i="43"/>
  <c r="F81" i="43" s="1"/>
  <c r="F70" i="43"/>
  <c r="H73" i="43" s="1"/>
  <c r="M6" i="43"/>
  <c r="M11" i="43"/>
  <c r="E17" i="43"/>
  <c r="F39" i="43"/>
  <c r="I17" i="43"/>
  <c r="F35" i="43"/>
  <c r="J17" i="43"/>
  <c r="F6" i="1"/>
  <c r="U17" i="39"/>
  <c r="S14" i="35"/>
  <c r="U43" i="21"/>
  <c r="U35" i="21"/>
  <c r="AC35" i="21"/>
  <c r="U10" i="21"/>
  <c r="G8" i="1"/>
  <c r="G9" i="1"/>
  <c r="G10" i="1"/>
  <c r="F48" i="9"/>
  <c r="O52" i="9" s="1"/>
  <c r="AC11" i="39"/>
  <c r="AZ563" i="3"/>
  <c r="W37" i="37"/>
  <c r="W44" i="34"/>
  <c r="AC44" i="34"/>
  <c r="U13" i="37"/>
  <c r="U12" i="40"/>
  <c r="AA12" i="40"/>
  <c r="J37" i="33"/>
  <c r="W37" i="33" s="1"/>
  <c r="AC17" i="34"/>
  <c r="J34" i="33"/>
  <c r="W34" i="33" s="1"/>
  <c r="F33" i="34"/>
  <c r="S33" i="34" s="1"/>
  <c r="H20" i="36"/>
  <c r="U20" i="36" s="1"/>
  <c r="J20" i="36"/>
  <c r="W20" i="36" s="1"/>
  <c r="J27" i="36"/>
  <c r="W27" i="36" s="1"/>
  <c r="AC33" i="40"/>
  <c r="F111" i="40"/>
  <c r="G111" i="40"/>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15" i="3"/>
  <c r="AZ223" i="3"/>
  <c r="AZ232" i="3"/>
  <c r="AZ235" i="3"/>
  <c r="AZ248" i="3"/>
  <c r="AZ251" i="3"/>
  <c r="AZ268" i="3"/>
  <c r="AZ271" i="3"/>
  <c r="AZ288" i="3"/>
  <c r="AZ117" i="3"/>
  <c r="AZ133"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F20" i="36"/>
  <c r="AA20" i="36" s="1"/>
  <c r="J33" i="34"/>
  <c r="AC33" i="34" s="1"/>
  <c r="H23" i="39"/>
  <c r="U23" i="39" s="1"/>
  <c r="D48" i="9"/>
  <c r="M52" i="9" s="1"/>
  <c r="K9" i="1"/>
  <c r="M9" i="1" s="1"/>
  <c r="O9" i="1" s="1"/>
  <c r="P9" i="1" s="1"/>
  <c r="AE9" i="1"/>
  <c r="AC8" i="37" l="1"/>
  <c r="J35" i="37"/>
  <c r="W35" i="37" s="1"/>
  <c r="W31" i="37"/>
  <c r="AB26" i="37"/>
  <c r="U26" i="37"/>
  <c r="W26" i="37"/>
  <c r="W25" i="37"/>
  <c r="F25" i="37"/>
  <c r="AA25" i="37" s="1"/>
  <c r="S15" i="37"/>
  <c r="AA14" i="37"/>
  <c r="J51" i="15"/>
  <c r="H83" i="43"/>
  <c r="H86" i="43"/>
  <c r="H87" i="43"/>
  <c r="H82" i="43"/>
  <c r="C15" i="39"/>
  <c r="A15" i="62"/>
  <c r="B61" i="72" s="1"/>
  <c r="AB34" i="35"/>
  <c r="U34" i="35"/>
  <c r="AC12" i="36"/>
  <c r="W12" i="36"/>
  <c r="U25" i="37"/>
  <c r="AB25" i="37"/>
  <c r="S12" i="21"/>
  <c r="AA12" i="21"/>
  <c r="U23" i="35"/>
  <c r="AB23" i="35"/>
  <c r="AB9" i="36"/>
  <c r="U9" i="36"/>
  <c r="AC24" i="36"/>
  <c r="W24" i="36"/>
  <c r="U27" i="37"/>
  <c r="AB27" i="37"/>
  <c r="AC12" i="40"/>
  <c r="W12" i="40"/>
  <c r="G28" i="6"/>
  <c r="AZ326" i="3"/>
  <c r="AZ311" i="3"/>
  <c r="AZ372" i="3"/>
  <c r="AZ347" i="3"/>
  <c r="AZ344" i="3"/>
  <c r="AZ337" i="3"/>
  <c r="AZ320" i="3"/>
  <c r="AZ313" i="3"/>
  <c r="AZ305" i="3"/>
  <c r="AZ362" i="3"/>
  <c r="AZ569" i="3"/>
  <c r="AZ577" i="3"/>
  <c r="AZ557" i="3"/>
  <c r="AZ516" i="3"/>
  <c r="AZ524" i="3"/>
  <c r="AZ532" i="3"/>
  <c r="AZ536" i="3"/>
  <c r="AZ544" i="3"/>
  <c r="AZ554" i="3"/>
  <c r="AZ558" i="3"/>
  <c r="AZ582" i="3"/>
  <c r="J36" i="35"/>
  <c r="H12" i="36"/>
  <c r="H24" i="36"/>
  <c r="AB24" i="36" s="1"/>
  <c r="BA551" i="3"/>
  <c r="BL550" i="3"/>
  <c r="BA550" i="3"/>
  <c r="BL548" i="3"/>
  <c r="AZ548" i="3" s="1"/>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AZ521" i="3"/>
  <c r="AZ581" i="3"/>
  <c r="BL586" i="3"/>
  <c r="AZ585" i="3"/>
  <c r="G574" i="3"/>
  <c r="G558" i="3"/>
  <c r="AZ402" i="3"/>
  <c r="AZ418" i="3"/>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BL458" i="3"/>
  <c r="AZ458" i="3" s="1"/>
  <c r="G461" i="3"/>
  <c r="BL461" i="3"/>
  <c r="G464" i="3"/>
  <c r="G465" i="3"/>
  <c r="BL465" i="3"/>
  <c r="BA466" i="3"/>
  <c r="AZ466" i="3" s="1"/>
  <c r="BA467" i="3"/>
  <c r="AZ467" i="3" s="1"/>
  <c r="BL469" i="3"/>
  <c r="AZ469" i="3" s="1"/>
  <c r="BA470" i="3"/>
  <c r="AZ470" i="3" s="1"/>
  <c r="BA471" i="3"/>
  <c r="AZ471" i="3" s="1"/>
  <c r="BA472" i="3"/>
  <c r="AZ472" i="3" s="1"/>
  <c r="G475" i="3"/>
  <c r="G476" i="3"/>
  <c r="BL476" i="3"/>
  <c r="G479" i="3"/>
  <c r="G480" i="3"/>
  <c r="BL480" i="3"/>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G208" i="3"/>
  <c r="BL208" i="3"/>
  <c r="G211" i="3"/>
  <c r="BL211" i="3"/>
  <c r="BA212" i="3"/>
  <c r="AZ212" i="3" s="1"/>
  <c r="BL214" i="3"/>
  <c r="AZ214" i="3" s="1"/>
  <c r="G217" i="3"/>
  <c r="BL217" i="3"/>
  <c r="AZ434" i="3"/>
  <c r="AZ443" i="3"/>
  <c r="AZ445" i="3"/>
  <c r="AZ446" i="3"/>
  <c r="AZ449" i="3"/>
  <c r="AZ450" i="3"/>
  <c r="AZ459" i="3"/>
  <c r="AZ461" i="3"/>
  <c r="AZ462" i="3"/>
  <c r="AZ476" i="3"/>
  <c r="AZ477" i="3"/>
  <c r="AZ480" i="3"/>
  <c r="AZ481" i="3"/>
  <c r="AZ332" i="3"/>
  <c r="AZ395" i="3"/>
  <c r="AZ208" i="3"/>
  <c r="AZ211" i="3"/>
  <c r="AZ217"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BL194" i="3"/>
  <c r="AZ194" i="3" s="1"/>
  <c r="BA196" i="3"/>
  <c r="AZ196" i="3" s="1"/>
  <c r="BL197" i="3"/>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AZ290" i="3" s="1"/>
  <c r="G293" i="3"/>
  <c r="BL293" i="3"/>
  <c r="AZ293" i="3" s="1"/>
  <c r="BA294" i="3"/>
  <c r="AZ294" i="3" s="1"/>
  <c r="BA295" i="3"/>
  <c r="AZ295" i="3" s="1"/>
  <c r="BA296" i="3"/>
  <c r="AZ296" i="3" s="1"/>
  <c r="G299" i="3"/>
  <c r="G300" i="3"/>
  <c r="BL300" i="3"/>
  <c r="AZ300" i="3" s="1"/>
  <c r="BA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AZ46" i="3"/>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6" i="15"/>
  <c r="L48" i="15"/>
  <c r="F9" i="15"/>
  <c r="F8" i="67"/>
  <c r="M9" i="15"/>
  <c r="F40" i="67"/>
  <c r="M23" i="67"/>
  <c r="M28" i="67"/>
  <c r="M24" i="67"/>
  <c r="L48" i="67"/>
  <c r="F36" i="67"/>
  <c r="M29" i="15"/>
  <c r="F16" i="15"/>
  <c r="F7" i="15"/>
  <c r="F6" i="67"/>
  <c r="F7" i="67"/>
  <c r="M6" i="67"/>
  <c r="C76" i="15"/>
  <c r="M23" i="15"/>
  <c r="M28" i="15"/>
  <c r="M26" i="15"/>
  <c r="F8" i="15"/>
  <c r="F38" i="67"/>
  <c r="C76" i="67"/>
  <c r="F42" i="15"/>
  <c r="F42" i="67"/>
  <c r="F40" i="15"/>
  <c r="F26" i="15"/>
  <c r="F43" i="67"/>
  <c r="F26" i="67"/>
  <c r="L47" i="15"/>
  <c r="F13" i="67"/>
  <c r="F38" i="15"/>
  <c r="M22" i="67"/>
  <c r="L47" i="67"/>
  <c r="M29" i="67"/>
  <c r="F13" i="15"/>
  <c r="M26" i="67"/>
  <c r="F43" i="15"/>
  <c r="M8" i="67"/>
  <c r="M8" i="15"/>
  <c r="F6" i="15"/>
  <c r="F9" i="67"/>
  <c r="J15" i="67"/>
  <c r="F36" i="15"/>
  <c r="F37" i="15"/>
  <c r="F37" i="67"/>
  <c r="M24" i="15"/>
  <c r="M9" i="67"/>
  <c r="J15" i="15"/>
  <c r="M22" i="15"/>
  <c r="F16" i="67"/>
  <c r="G1" i="73"/>
  <c r="F70" i="15" l="1"/>
  <c r="F52" i="15"/>
  <c r="F49" i="15"/>
  <c r="AA11" i="37"/>
  <c r="D22" i="43"/>
  <c r="C4" i="4"/>
  <c r="B4" i="62" s="1"/>
  <c r="B71" i="72" s="1"/>
  <c r="E4" i="4"/>
  <c r="B5" i="62" s="1"/>
  <c r="B73" i="72" s="1"/>
  <c r="U12" i="36"/>
  <c r="AB12" i="36"/>
  <c r="AC36" i="35"/>
  <c r="W36" i="35"/>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S21" i="6"/>
  <c r="L27" i="6"/>
  <c r="S22"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D9" i="68"/>
  <c r="M17" i="67"/>
  <c r="M17" i="15"/>
  <c r="F31" i="15"/>
  <c r="F59" i="67"/>
  <c r="F31" i="67"/>
  <c r="F59" i="15"/>
  <c r="C16" i="67"/>
  <c r="C16" i="15"/>
  <c r="C17" i="15"/>
  <c r="K4" i="4" l="1"/>
  <c r="B46" i="48" s="1"/>
  <c r="B4" i="72" s="1"/>
  <c r="C9" i="68"/>
  <c r="M19" i="6"/>
  <c r="AR6" i="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I19" i="6"/>
  <c r="M27" i="6"/>
  <c r="H10" i="39"/>
  <c r="J10" i="39"/>
  <c r="C49" i="15"/>
  <c r="Q60" i="15"/>
  <c r="M16" i="1"/>
  <c r="N16" i="1" s="1"/>
  <c r="Q60" i="67"/>
  <c r="Q73" i="67"/>
  <c r="F27" i="11"/>
  <c r="Q61" i="67"/>
  <c r="Q74" i="67"/>
  <c r="C49" i="67"/>
  <c r="F1" i="67"/>
  <c r="Q52" i="67"/>
  <c r="F27" i="68"/>
  <c r="C29" i="68" l="1"/>
  <c r="D27" i="68" s="1"/>
  <c r="Q61" i="15"/>
  <c r="E37" i="43"/>
  <c r="AA7" i="36"/>
  <c r="R36" i="36" s="1"/>
  <c r="E36" i="36" s="1"/>
  <c r="E40" i="36" s="1"/>
  <c r="F40" i="36" s="1"/>
  <c r="AC11" i="37"/>
  <c r="W11" i="37"/>
  <c r="AB7" i="37"/>
  <c r="T42" i="37" s="1"/>
  <c r="G42" i="37" s="1"/>
  <c r="G46" i="37" s="1"/>
  <c r="H46" i="37" s="1"/>
  <c r="W11" i="34"/>
  <c r="AC11" i="34"/>
  <c r="J5" i="67"/>
  <c r="J5" i="15"/>
  <c r="H20" i="6"/>
  <c r="AB7" i="36"/>
  <c r="T36" i="36" s="1"/>
  <c r="C23" i="68"/>
  <c r="C38" i="15"/>
  <c r="E38" i="43"/>
  <c r="E6" i="3"/>
  <c r="C47" i="68"/>
  <c r="D45" i="68" s="1"/>
  <c r="AA10" i="39"/>
  <c r="D10" i="11"/>
  <c r="C10" i="11" s="1"/>
  <c r="D20" i="12"/>
  <c r="C20" i="12" s="1"/>
  <c r="C18" i="12" s="1"/>
  <c r="M19" i="9"/>
  <c r="C118" i="9" s="1"/>
  <c r="C14" i="74" s="1"/>
  <c r="B2" i="74"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c r="D10" i="68"/>
  <c r="C36" i="11" l="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C34" i="68"/>
  <c r="E6" i="76"/>
  <c r="D31" i="6" l="1"/>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67"/>
  <c r="F35" i="15"/>
  <c r="M21" i="67"/>
  <c r="B6" i="76"/>
  <c r="M21" i="15"/>
  <c r="I5" i="6" l="1"/>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F41" i="15"/>
  <c r="M27" i="67"/>
  <c r="F41" i="67"/>
  <c r="M27"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7" i="1"/>
  <c r="AO8" i="1"/>
  <c r="AO6" i="1"/>
  <c r="B8" i="70" l="1"/>
  <c r="B7" i="70"/>
  <c r="B6" i="70"/>
  <c r="C46" i="15"/>
  <c r="B2" i="69"/>
  <c r="B3" i="69" s="1"/>
  <c r="B2" i="68"/>
  <c r="B3" i="67"/>
  <c r="D2" i="21"/>
  <c r="D2" i="33"/>
  <c r="D2" i="37"/>
  <c r="D2" i="36"/>
  <c r="F20" i="31"/>
  <c r="D2" i="34"/>
  <c r="E2" i="68"/>
  <c r="D2" i="35"/>
  <c r="B20" i="31" l="1"/>
  <c r="B2" i="36"/>
  <c r="B3" i="36" s="1"/>
  <c r="B2" i="35"/>
  <c r="B3" i="35" s="1"/>
  <c r="B2" i="37"/>
  <c r="B2" i="34"/>
  <c r="B3" i="34" s="1"/>
  <c r="B2" i="21"/>
  <c r="B3" i="21" s="1"/>
  <c r="B2" i="70"/>
  <c r="B3" i="70" s="1"/>
  <c r="B3" i="68"/>
  <c r="C19" i="9"/>
  <c r="D20" i="9"/>
  <c r="D19" i="9"/>
  <c r="C21" i="9" l="1"/>
  <c r="C102" i="9"/>
  <c r="B3" i="37"/>
  <c r="G19" i="9"/>
  <c r="D102" i="9"/>
  <c r="D22" i="9"/>
  <c r="D21" i="9"/>
  <c r="D103" i="9"/>
  <c r="C20" i="9"/>
  <c r="C103" i="9" l="1"/>
  <c r="G20" i="9"/>
  <c r="C32" i="9"/>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l="1"/>
  <c r="M49" i="9" s="1"/>
  <c r="L68" i="9" s="1"/>
  <c r="M68" i="9" s="1"/>
  <c r="D45" i="9"/>
  <c r="D53" i="9" s="1"/>
  <c r="I4" i="52"/>
  <c r="D5" i="53"/>
  <c r="B20" i="72" s="1"/>
  <c r="H102" i="9"/>
  <c r="D7" i="53" s="1"/>
  <c r="B21" i="72" s="1"/>
  <c r="E118" i="9"/>
  <c r="E4" i="52" s="1"/>
  <c r="B48" i="72" s="1"/>
  <c r="E14" i="74"/>
  <c r="B5" i="74"/>
  <c r="F14" i="74"/>
  <c r="D13" i="53" l="1"/>
  <c r="B30" i="72" s="1"/>
  <c r="L67" i="9"/>
  <c r="M67" i="9" s="1"/>
  <c r="D122" i="9"/>
  <c r="D123" i="9" s="1"/>
  <c r="D9" i="52" s="1"/>
  <c r="L63" i="9"/>
  <c r="M63" i="9" s="1"/>
  <c r="L65" i="9"/>
  <c r="M65" i="9" s="1"/>
  <c r="H108" i="9"/>
  <c r="D15" i="53" s="1"/>
  <c r="B31" i="72" s="1"/>
  <c r="L66" i="9"/>
  <c r="M66" i="9" s="1"/>
  <c r="L64" i="9"/>
  <c r="M64" i="9" s="1"/>
  <c r="C93" i="9"/>
  <c r="C86" i="9" s="1"/>
  <c r="D52" i="9"/>
  <c r="C78" i="9"/>
  <c r="C73" i="9" s="1"/>
  <c r="C85" i="9"/>
  <c r="C72" i="9"/>
  <c r="D55" i="9"/>
  <c r="M53" i="9" s="1"/>
  <c r="C64" i="9"/>
  <c r="C63" i="9" s="1"/>
  <c r="D6" i="53"/>
  <c r="B22" i="72" s="1"/>
  <c r="D5" i="74"/>
  <c r="C5" i="74"/>
  <c r="D14" i="53"/>
  <c r="B32" i="72" s="1"/>
  <c r="M69" i="9" l="1"/>
  <c r="N69" i="9" s="1"/>
  <c r="D8" i="52"/>
  <c r="G14" i="74"/>
  <c r="B6" i="74" s="1"/>
  <c r="C6" i="74" s="1"/>
  <c r="C95" i="9"/>
  <c r="C67" i="9"/>
  <c r="C68" i="9" s="1"/>
  <c r="D54" i="9" s="1"/>
  <c r="C79" i="9"/>
  <c r="D6" i="74" l="1"/>
  <c r="C96" i="9"/>
  <c r="E96" i="9" s="1"/>
  <c r="E97" i="9" s="1"/>
  <c r="C80" i="9"/>
  <c r="E80" i="9" s="1"/>
  <c r="E81" i="9" s="1"/>
  <c r="C81" i="9" l="1"/>
  <c r="C97" i="9"/>
  <c r="D58" i="9" s="1"/>
  <c r="D56" i="9" s="1"/>
  <c r="M54" i="9" s="1"/>
  <c r="N57" i="9" s="1"/>
  <c r="P57" i="9" l="1"/>
  <c r="N59" i="9"/>
  <c r="N58"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<sst xmlns="http://schemas.openxmlformats.org/spreadsheetml/2006/main" count="7699" uniqueCount="3143">
  <si>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</si>
  <si>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</si>
  <si>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</si>
  <si>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</si>
  <si>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</si>
  <si>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</si>
  <si>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</si>
  <si>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</si>
  <si>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</si>
  <si>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</si>
  <si>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</si>
  <si>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</si>
  <si>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</si>
  <si>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</si>
  <si>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</si>
  <si>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</si>
  <si>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</si>
  <si>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</si>
  <si>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</si>
  <si>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</si>
  <si>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</si>
  <si>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</si>
  <si>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</si>
  <si>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</si>
  <si>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</si>
  <si>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</si>
  <si>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</si>
  <si>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</si>
  <si>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</si>
  <si>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</si>
  <si>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</si>
  <si>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</si>
  <si>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</si>
  <si>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</si>
  <si>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</si>
  <si>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</si>
  <si>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</si>
  <si>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</si>
  <si>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</si>
  <si>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</si>
  <si>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</si>
  <si>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</si>
  <si>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</si>
  <si>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</si>
  <si>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</si>
  <si>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</si>
  <si>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</si>
  <si>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</si>
  <si>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</si>
  <si>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</si>
  <si>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</si>
  <si>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</si>
  <si>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</si>
  <si>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</si>
  <si>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</si>
  <si>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</si>
  <si>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</si>
  <si>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</si>
  <si>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</si>
  <si>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</si>
  <si>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</si>
  <si>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</si>
  <si>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</si>
  <si>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</si>
  <si>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</si>
  <si>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</si>
  <si>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</si>
  <si>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</si>
  <si>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</si>
  <si>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</si>
  <si>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</si>
  <si>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</si>
  <si>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</si>
  <si>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</si>
  <si>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</si>
  <si>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</si>
  <si>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</si>
  <si>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</si>
  <si>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</si>
  <si>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</si>
  <si>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</si>
  <si>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</si>
  <si>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</si>
  <si>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</si>
  <si>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</si>
  <si>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</si>
  <si>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</si>
  <si>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</si>
  <si>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</si>
  <si>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</si>
  <si>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</si>
  <si>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</si>
  <si>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</si>
  <si>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</si>
  <si>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</si>
  <si>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</si>
  <si>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</si>
  <si>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</si>
  <si>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</si>
  <si>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</si>
  <si>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</si>
  <si>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</si>
  <si>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</si>
  <si>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</si>
  <si>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</si>
  <si>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</si>
  <si>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</si>
  <si>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</si>
  <si>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</si>
  <si>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</si>
  <si>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</si>
  <si>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</si>
  <si>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</si>
  <si>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</si>
  <si>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</si>
  <si>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</si>
  <si>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</si>
  <si>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</si>
  <si>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</si>
  <si>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</si>
  <si>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</si>
  <si>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</si>
  <si>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</si>
  <si>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</si>
  <si>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</si>
  <si>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</si>
  <si>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</si>
  <si>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</si>
  <si>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</si>
  <si>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</si>
  <si>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</si>
  <si>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</si>
  <si>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</si>
  <si>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</si>
  <si>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</si>
  <si>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</si>
  <si>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</si>
  <si>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</si>
  <si>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</si>
  <si>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</si>
  <si>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</si>
  <si>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</si>
  <si>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</si>
  <si>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</si>
  <si>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</si>
  <si>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</si>
  <si>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</si>
  <si>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</si>
  <si>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</si>
  <si>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</si>
  <si>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</si>
  <si>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</si>
  <si>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</si>
  <si>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</si>
  <si>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</si>
  <si>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</si>
  <si>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</si>
  <si>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</si>
  <si>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</si>
  <si>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</si>
  <si>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</si>
  <si>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</si>
  <si>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</si>
  <si>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</si>
  <si>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</si>
  <si>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</si>
  <si>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</si>
  <si>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</si>
  <si>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</si>
  <si>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</si>
  <si>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</si>
  <si>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</si>
  <si>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</si>
  <si>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</si>
  <si>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</si>
  <si>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</si>
  <si>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</si>
  <si>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</si>
  <si>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</si>
  <si>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</si>
  <si>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</si>
  <si>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</si>
  <si>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</si>
  <si>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</si>
  <si>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</si>
  <si>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</si>
  <si>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</si>
  <si>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</si>
  <si>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</si>
  <si>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</si>
  <si>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</si>
  <si>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</si>
  <si>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</si>
  <si>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</si>
  <si>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</si>
  <si>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</si>
  <si>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</si>
  <si>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</si>
  <si>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</si>
  <si>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</si>
  <si>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</si>
  <si>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</si>
  <si>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</si>
  <si>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</si>
  <si>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</si>
  <si>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</si>
  <si>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</si>
  <si>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</si>
  <si>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</si>
  <si>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</si>
  <si>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</si>
  <si>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</si>
  <si>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</si>
  <si>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</si>
  <si>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</si>
  <si>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</si>
  <si>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</si>
  <si>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</si>
  <si>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</si>
  <si>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</si>
  <si>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</si>
  <si>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</si>
  <si>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</si>
  <si>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</si>
  <si>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</si>
  <si>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</si>
  <si>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</si>
  <si>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</si>
  <si>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</si>
  <si>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</si>
  <si>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</si>
  <si>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</si>
  <si>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</si>
  <si>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</si>
  <si>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</si>
  <si>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</si>
  <si>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</si>
  <si>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</si>
  <si>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</si>
  <si>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</si>
  <si>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</si>
  <si>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</si>
  <si>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</si>
  <si>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</si>
  <si>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</si>
  <si>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</si>
  <si>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</si>
  <si>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</si>
  <si>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</si>
  <si>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</si>
  <si>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</si>
  <si>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</si>
  <si>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</si>
  <si>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</si>
  <si>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</si>
  <si>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</si>
  <si>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</si>
  <si>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</si>
  <si>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</si>
  <si>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</si>
  <si>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</si>
  <si>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</si>
  <si>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</si>
  <si>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</si>
  <si>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</si>
  <si>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</si>
  <si>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</si>
  <si>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</si>
  <si>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</si>
  <si>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</si>
  <si>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</si>
  <si>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</si>
  <si>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</si>
  <si>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</si>
  <si>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</si>
  <si>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</si>
  <si>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</si>
  <si>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</si>
  <si>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</si>
  <si>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</si>
  <si>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</si>
  <si>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</si>
  <si>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</si>
  <si>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</si>
  <si>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</si>
  <si>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</si>
  <si>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</si>
  <si>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</si>
  <si>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</si>
  <si>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</si>
  <si>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</si>
  <si>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</si>
  <si>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</si>
  <si>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</si>
  <si>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</si>
  <si>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</si>
  <si>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</si>
  <si>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</si>
  <si>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</si>
  <si>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</si>
  <si>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</si>
  <si>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</si>
  <si>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</si>
  <si>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</si>
  <si>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</si>
  <si>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</si>
  <si>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</si>
  <si>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</si>
  <si>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</si>
  <si>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</si>
  <si>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</si>
  <si>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</si>
  <si>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</si>
  <si>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</si>
  <si>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</si>
  <si>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</si>
  <si>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</si>
  <si>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</si>
  <si>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</si>
  <si>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</si>
  <si>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</si>
  <si>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</si>
  <si>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</si>
  <si>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</si>
  <si>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</si>
  <si>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</si>
  <si>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</si>
  <si>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</si>
  <si>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</si>
  <si>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</si>
  <si>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</si>
  <si>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</si>
  <si>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</si>
  <si>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</si>
  <si>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</si>
  <si>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</si>
  <si>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</si>
  <si>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</si>
  <si>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</si>
  <si>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</si>
  <si>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</si>
  <si>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</si>
  <si>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</si>
  <si>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</si>
  <si>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</si>
  <si>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</si>
  <si>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</si>
  <si>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</si>
  <si>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</si>
  <si>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</si>
  <si>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</si>
  <si>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</si>
  <si>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</si>
  <si>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</si>
  <si>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</si>
  <si>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</si>
  <si>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</si>
  <si>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</si>
  <si>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</si>
  <si>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</si>
  <si>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</si>
  <si>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</si>
  <si>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</si>
  <si>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</si>
  <si>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</si>
  <si>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</si>
  <si>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</si>
  <si>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</si>
  <si>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</si>
  <si>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</si>
  <si>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</si>
  <si>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</si>
  <si>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</si>
  <si>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</si>
  <si>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</si>
  <si>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</si>
  <si>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</si>
  <si>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</si>
  <si>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</si>
  <si>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</si>
  <si>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</si>
  <si>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</si>
  <si>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</si>
  <si>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</si>
  <si>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</si>
  <si>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</si>
  <si>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</si>
  <si>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</si>
  <si>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</si>
  <si>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</si>
  <si>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</si>
  <si>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</si>
  <si>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</si>
  <si>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</si>
  <si>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</si>
  <si>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</si>
  <si>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</si>
  <si>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</si>
  <si>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</si>
  <si>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</si>
  <si>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</si>
  <si>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</si>
  <si>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</si>
  <si>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</si>
  <si>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</si>
  <si>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</si>
  <si>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</si>
  <si>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</si>
  <si>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</si>
  <si>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</si>
  <si>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</si>
  <si>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</si>
  <si>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</si>
  <si>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</si>
  <si>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</si>
  <si>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</si>
  <si>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</si>
  <si>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</si>
  <si>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</si>
  <si>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</si>
  <si>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</si>
  <si>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</si>
  <si>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</si>
  <si>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</si>
  <si>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</si>
  <si>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</si>
  <si>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</si>
  <si>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</si>
  <si>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</si>
  <si>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</si>
  <si>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</si>
  <si>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</si>
  <si>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</si>
  <si>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</si>
  <si>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</si>
  <si>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</si>
  <si>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</si>
  <si>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</si>
  <si>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</si>
  <si>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</si>
  <si>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</si>
  <si>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</si>
  <si>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</si>
  <si>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</si>
  <si>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</si>
  <si>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</si>
  <si>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</si>
  <si>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</si>
  <si>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</si>
  <si>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</si>
  <si>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</si>
  <si>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</si>
  <si>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</si>
  <si>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</si>
  <si>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</si>
  <si>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</si>
  <si>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</si>
  <si>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</si>
  <si>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</si>
  <si>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</si>
  <si>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</si>
  <si>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</si>
  <si>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</si>
  <si>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</si>
  <si>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</si>
  <si>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</si>
  <si>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</si>
  <si>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</si>
  <si>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</si>
  <si>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</si>
  <si>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</si>
  <si>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</si>
  <si>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</si>
  <si>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</si>
  <si>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</si>
  <si>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</si>
  <si>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</si>
  <si>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</si>
  <si>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</si>
  <si>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</si>
  <si>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</si>
  <si>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</si>
  <si>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</si>
  <si>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</si>
  <si>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</si>
  <si>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</si>
  <si>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</si>
  <si>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</si>
  <si>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</si>
  <si>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</si>
  <si>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</si>
  <si>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</si>
  <si>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</si>
  <si>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</si>
  <si>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</si>
  <si>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</si>
  <si>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</si>
  <si>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</si>
  <si>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</si>
  <si>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</si>
  <si>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</si>
  <si>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</si>
  <si>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</si>
  <si>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</si>
  <si>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</si>
  <si>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</si>
  <si>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</si>
  <si>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</si>
  <si>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</si>
  <si>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</si>
  <si>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</si>
  <si>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</si>
  <si>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</si>
  <si>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</si>
  <si>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</si>
  <si>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</si>
  <si>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</si>
  <si>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</si>
  <si>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</si>
  <si>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</si>
  <si>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</si>
  <si>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</si>
  <si>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</si>
  <si>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</si>
  <si>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</si>
  <si>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</si>
  <si>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</si>
  <si>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</si>
  <si>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</si>
  <si>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</si>
  <si>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</si>
  <si>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</si>
  <si>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</si>
  <si>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</si>
  <si>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</si>
  <si>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</si>
  <si>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</si>
  <si>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</si>
  <si>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</si>
  <si>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</si>
  <si>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</si>
  <si>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</si>
  <si>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</si>
  <si>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</si>
  <si>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</si>
  <si>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</si>
  <si>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</si>
  <si>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</si>
  <si>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</si>
  <si>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</si>
  <si>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</si>
  <si>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</si>
  <si>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</si>
  <si>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</si>
  <si>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</si>
  <si>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</si>
  <si>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</si>
  <si>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</si>
  <si>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</si>
  <si>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</si>
  <si>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</si>
  <si>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</si>
  <si>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</si>
  <si>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</si>
  <si>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</si>
  <si>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</si>
  <si>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</si>
  <si>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</si>
  <si>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</si>
  <si>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</si>
  <si>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</si>
  <si>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</si>
  <si>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</si>
  <si>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</si>
  <si>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</si>
  <si>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</si>
  <si>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</si>
  <si>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</si>
  <si>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</si>
  <si>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</si>
  <si>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</si>
  <si>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</si>
  <si>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</si>
  <si>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</si>
  <si>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</si>
  <si>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</si>
  <si>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</si>
  <si>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</si>
  <si>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</si>
  <si>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</si>
  <si>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</si>
  <si>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</si>
  <si>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</si>
  <si>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</si>
  <si>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</si>
  <si>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</si>
  <si>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</si>
  <si>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</si>
  <si>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</si>
  <si>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</si>
  <si>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</si>
  <si>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</si>
  <si>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</si>
  <si>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</si>
  <si>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</si>
  <si>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</si>
  <si>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</si>
  <si>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</si>
  <si>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</si>
  <si>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</si>
  <si>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</si>
  <si>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</si>
  <si>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</si>
  <si>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</si>
  <si>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</si>
  <si>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</si>
  <si>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</si>
  <si>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</si>
  <si>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</si>
  <si>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</si>
  <si>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</si>
  <si>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</si>
  <si>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</si>
  <si>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</si>
  <si>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</si>
  <si>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</si>
  <si>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</si>
  <si>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</si>
  <si>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</si>
  <si>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</si>
  <si>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</si>
  <si>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</si>
  <si>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</si>
  <si>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</si>
  <si>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</si>
  <si>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</si>
  <si>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</si>
  <si>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</si>
  <si>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</si>
  <si>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</si>
  <si>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</si>
  <si>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</si>
  <si>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</si>
  <si>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</si>
  <si>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</si>
  <si>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</si>
  <si>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</si>
  <si>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</si>
  <si>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</si>
  <si>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</si>
  <si>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</si>
  <si>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</si>
  <si>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</si>
  <si>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</si>
  <si>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</si>
  <si>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</si>
  <si>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</si>
  <si>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</si>
  <si>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</si>
  <si>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</si>
  <si>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</si>
  <si>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</si>
  <si>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</si>
  <si>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</si>
  <si>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</si>
  <si>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</si>
  <si>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</si>
  <si>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</si>
  <si>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</si>
  <si>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</si>
  <si>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</si>
  <si>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</si>
  <si>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</si>
  <si>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</si>
  <si>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</si>
  <si>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</si>
  <si>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</si>
  <si>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</si>
  <si>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</si>
  <si>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</si>
  <si>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</si>
  <si>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</si>
  <si>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</si>
  <si>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</si>
  <si>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</si>
  <si>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</si>
  <si>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</si>
  <si>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</si>
  <si>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</si>
  <si>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</si>
  <si>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</si>
  <si>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</si>
  <si>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</si>
  <si>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</si>
  <si>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</si>
  <si>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</si>
  <si>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</si>
  <si>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</si>
  <si>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</si>
  <si>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</si>
  <si>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</si>
  <si>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</si>
  <si>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</si>
  <si>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</si>
  <si>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</si>
  <si>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</si>
  <si>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</si>
  <si>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</si>
  <si>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</si>
  <si>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</si>
  <si>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</si>
  <si>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</si>
  <si>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</si>
  <si>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</si>
  <si>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</si>
  <si>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</si>
  <si>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</si>
  <si>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</si>
  <si>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</si>
  <si>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</si>
  <si>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</si>
  <si>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</si>
  <si>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</si>
  <si>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</si>
  <si>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</si>
  <si>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</si>
  <si>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</si>
  <si>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</si>
  <si>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</si>
  <si>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</si>
  <si>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</si>
  <si>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</si>
  <si>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</si>
  <si>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</si>
  <si>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</si>
  <si>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</si>
  <si>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</si>
  <si>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</si>
  <si>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</si>
  <si>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</si>
  <si>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</si>
  <si>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</si>
  <si>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</si>
  <si>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</si>
  <si>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</si>
  <si>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</si>
  <si>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</si>
  <si>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</si>
  <si>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</si>
  <si>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</si>
  <si>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</si>
  <si>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</si>
  <si>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</si>
  <si>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</si>
  <si>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</si>
  <si>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</si>
  <si>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</si>
  <si>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</si>
  <si>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</si>
  <si>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</si>
  <si>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</si>
  <si>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</si>
  <si>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</si>
  <si>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</si>
  <si>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</si>
  <si>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</si>
  <si>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</si>
  <si>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</si>
  <si>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</si>
  <si>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</si>
  <si>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</si>
  <si>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</si>
  <si>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</si>
  <si>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</si>
  <si>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</si>
  <si>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</si>
  <si>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</si>
  <si>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</si>
  <si>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</si>
  <si>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</si>
  <si>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</si>
  <si>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</si>
  <si>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</si>
  <si>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</si>
  <si>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</si>
  <si>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</si>
  <si>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</si>
  <si>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</si>
  <si>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</si>
  <si>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</si>
  <si>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</si>
  <si>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</si>
  <si>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</si>
  <si>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</si>
  <si>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</si>
  <si>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</si>
  <si>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</si>
  <si>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</si>
  <si>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</si>
  <si>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</si>
  <si>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</si>
  <si>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</si>
  <si>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</si>
  <si>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</si>
  <si>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</si>
  <si>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</si>
  <si>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</si>
  <si>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</si>
  <si>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</si>
  <si>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</si>
  <si>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</si>
  <si>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</si>
  <si>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</si>
  <si>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</si>
  <si>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</si>
  <si>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</si>
  <si>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</si>
  <si>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</si>
  <si>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</si>
  <si>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</si>
  <si>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</si>
  <si>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</si>
  <si>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</si>
  <si>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</si>
  <si>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</si>
  <si>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</si>
  <si>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</si>
  <si>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</si>
  <si>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</si>
  <si>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</si>
  <si>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</si>
  <si>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</si>
  <si>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</si>
  <si>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</si>
  <si>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</si>
  <si>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</si>
  <si>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</si>
  <si>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</si>
  <si>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</si>
  <si>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</si>
  <si>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</si>
  <si>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</si>
  <si>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</si>
  <si>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</si>
  <si>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</si>
  <si>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</si>
  <si>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</si>
  <si>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</si>
  <si>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</si>
  <si>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</si>
  <si>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</si>
  <si>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</si>
  <si>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</si>
  <si>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</si>
  <si>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</si>
  <si>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</si>
  <si>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</si>
  <si>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</si>
  <si>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</si>
  <si>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</si>
  <si>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</si>
  <si>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</si>
  <si>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</si>
  <si>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</si>
  <si>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</si>
  <si>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</si>
  <si>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</si>
  <si>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</si>
  <si>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</si>
  <si>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</si>
  <si>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</si>
  <si>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</si>
  <si>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</si>
  <si>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</si>
  <si>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</si>
  <si>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</si>
  <si>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</si>
  <si>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</si>
  <si>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</si>
  <si>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</si>
  <si>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</si>
  <si>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</si>
  <si>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</si>
  <si>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</si>
  <si>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</si>
  <si>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</si>
  <si>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</si>
  <si>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</si>
  <si>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</si>
  <si>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</si>
  <si>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</si>
  <si>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</si>
  <si>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</si>
  <si>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</si>
  <si>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</si>
  <si>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</si>
  <si>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</si>
  <si>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</si>
  <si>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</si>
  <si>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</si>
  <si>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</si>
  <si>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</si>
  <si>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</si>
  <si>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</si>
  <si>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</si>
  <si>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</si>
  <si>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</si>
  <si>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</si>
  <si>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</si>
  <si>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</si>
  <si>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</si>
  <si>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</si>
  <si>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</si>
  <si>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</si>
  <si>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</si>
  <si>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</si>
  <si>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</si>
  <si>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</si>
  <si>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</si>
  <si>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</si>
  <si>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</si>
  <si>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</si>
  <si>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</si>
  <si>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</si>
  <si>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</si>
  <si>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</si>
  <si>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</si>
  <si>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</si>
  <si>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</si>
  <si>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</si>
  <si>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</si>
  <si>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</si>
  <si>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</si>
  <si>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</si>
  <si>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</si>
  <si>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</si>
  <si>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</si>
  <si>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</si>
  <si>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</si>
  <si>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</si>
  <si>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</si>
  <si>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</si>
  <si>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</si>
  <si>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</si>
  <si>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</si>
  <si>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</si>
  <si>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</si>
  <si>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</si>
  <si>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</si>
  <si>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</si>
  <si>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</si>
  <si>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</si>
  <si>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</si>
  <si>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</si>
  <si>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</si>
  <si>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</si>
  <si>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</si>
  <si>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</si>
  <si>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</si>
  <si>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</si>
  <si>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</si>
  <si>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</si>
  <si>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</si>
  <si>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</si>
  <si>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</si>
  <si>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</si>
  <si>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</si>
  <si>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</si>
  <si>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</si>
  <si>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</si>
  <si>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</si>
  <si>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</si>
  <si>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</si>
  <si>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</si>
  <si>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</si>
  <si>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</si>
  <si>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</si>
  <si>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</si>
  <si>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</si>
  <si>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</si>
  <si>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</si>
  <si>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</si>
  <si>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</si>
  <si>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</si>
  <si>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</si>
  <si>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</si>
  <si>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</si>
  <si>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</si>
  <si>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</si>
  <si>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</si>
  <si>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</si>
  <si>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</si>
  <si>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</si>
  <si>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</si>
  <si>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</si>
  <si>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</si>
  <si>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</si>
  <si>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</si>
  <si>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</si>
  <si>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</si>
  <si>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</si>
  <si>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</si>
  <si>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</si>
  <si>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</si>
  <si>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</si>
  <si>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</si>
  <si>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</si>
  <si>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</si>
  <si>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</si>
  <si>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</si>
  <si>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</si>
  <si>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</si>
  <si>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</si>
  <si>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</si>
  <si>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</si>
  <si>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</si>
  <si>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</si>
  <si>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</si>
  <si>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</si>
  <si>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</si>
  <si>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</si>
  <si>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</si>
  <si>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</si>
  <si>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</si>
  <si>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</si>
  <si>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</si>
  <si>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</si>
  <si>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</si>
  <si>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</si>
  <si>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</si>
  <si>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</si>
  <si>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</si>
  <si>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</si>
  <si>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</si>
  <si>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</si>
  <si>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</si>
  <si>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</si>
  <si>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</si>
  <si>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</si>
  <si>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</si>
  <si>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</si>
  <si>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</si>
  <si>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</si>
  <si>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</si>
  <si>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</si>
  <si>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</si>
  <si>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</si>
  <si>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</si>
  <si>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</si>
  <si>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</si>
  <si>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</si>
  <si>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</si>
  <si>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</si>
  <si>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</si>
  <si>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</si>
  <si>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</si>
  <si>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</si>
  <si>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</si>
  <si>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</si>
  <si>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</si>
  <si>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</si>
  <si>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</si>
  <si>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</si>
  <si>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</si>
  <si>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</si>
  <si>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</si>
  <si>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</si>
  <si>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</si>
  <si>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</si>
  <si>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</si>
  <si>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</si>
  <si>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</si>
  <si>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</si>
  <si>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</si>
  <si>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</si>
  <si>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</si>
  <si>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</si>
  <si>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</si>
  <si>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</si>
  <si>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</si>
  <si>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</si>
  <si>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</si>
  <si>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</si>
  <si>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</si>
  <si>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</si>
  <si>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</si>
  <si>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</si>
  <si>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</si>
  <si>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</si>
  <si>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</si>
  <si>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</si>
  <si>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</si>
  <si>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</si>
  <si>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</si>
  <si>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</si>
  <si>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</si>
  <si>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</si>
  <si>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</si>
  <si>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</si>
  <si>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</si>
  <si>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</si>
  <si>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</si>
  <si>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</si>
  <si>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</si>
  <si>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</si>
  <si>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</si>
  <si>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</si>
  <si>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</si>
  <si>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</si>
  <si>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</si>
  <si>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</si>
  <si>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</si>
  <si>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</si>
  <si>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</si>
  <si>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</si>
  <si>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</si>
  <si>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</si>
  <si>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</si>
  <si>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</si>
  <si>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</si>
  <si>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</si>
  <si>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</si>
  <si>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</si>
  <si>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</si>
  <si>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</si>
  <si>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</si>
  <si>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</si>
  <si>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</si>
  <si>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</si>
  <si>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</si>
  <si>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</si>
  <si>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</si>
  <si>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</si>
  <si>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</si>
  <si>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</si>
  <si>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</si>
  <si>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</si>
  <si>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</si>
  <si>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</si>
  <si>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</si>
  <si>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</si>
  <si>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</si>
  <si>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</si>
  <si>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</si>
  <si>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</si>
  <si>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</si>
  <si>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</si>
  <si>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</si>
  <si>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</si>
  <si>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</si>
  <si>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</si>
  <si>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</si>
  <si>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</si>
  <si>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</si>
  <si>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</si>
  <si>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</si>
  <si>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</si>
  <si>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</si>
  <si>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</si>
  <si>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</si>
  <si>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</si>
  <si>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</si>
  <si>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</si>
  <si>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</si>
  <si>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</si>
  <si>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</si>
  <si>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</si>
  <si>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</si>
  <si>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</si>
  <si>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</si>
  <si>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</si>
  <si>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</si>
  <si>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</si>
  <si>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</si>
  <si>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</si>
  <si>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</si>
  <si>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</si>
  <si>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</si>
  <si>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</si>
  <si>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</si>
  <si>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</si>
  <si>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</si>
  <si>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</si>
  <si>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</si>
  <si>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</si>
  <si>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</si>
  <si>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</si>
  <si>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</si>
  <si>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</si>
  <si>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</si>
  <si>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</si>
  <si>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</si>
  <si>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</si>
  <si>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</si>
  <si>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</si>
  <si>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</si>
  <si>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</si>
  <si>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</si>
  <si>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</si>
  <si>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</si>
  <si>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</si>
  <si>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</si>
  <si>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</si>
  <si>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</si>
  <si>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</si>
  <si>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</si>
  <si>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</si>
  <si>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</si>
  <si>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</si>
  <si>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</si>
  <si>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</si>
  <si>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</si>
  <si>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</si>
  <si>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</si>
  <si>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</si>
  <si>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</si>
  <si>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</si>
  <si>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</si>
  <si>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</si>
  <si>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</si>
  <si>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</si>
  <si>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</si>
  <si>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</si>
  <si>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</si>
  <si>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</si>
  <si>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</si>
  <si>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</si>
  <si>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</si>
  <si>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</si>
  <si>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</si>
  <si>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</si>
  <si>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</si>
  <si>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</si>
  <si>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</si>
  <si>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</si>
  <si>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</si>
  <si>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</si>
  <si>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</si>
  <si>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</si>
  <si>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</si>
  <si>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</si>
  <si>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</si>
  <si>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</si>
  <si>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</si>
  <si>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</si>
  <si>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</si>
  <si>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</si>
  <si>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</si>
  <si>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</si>
  <si>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</si>
  <si>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</si>
  <si>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</si>
  <si>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</si>
  <si>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</si>
  <si>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</si>
  <si>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</si>
  <si>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</si>
  <si>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</si>
  <si>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</si>
  <si>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</si>
  <si>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</si>
  <si>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</si>
  <si>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</si>
  <si>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</si>
  <si>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</si>
  <si>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</si>
  <si>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</si>
  <si>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</si>
  <si>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</si>
  <si>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</si>
  <si>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</si>
  <si>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</si>
  <si>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</si>
  <si>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</si>
  <si>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</si>
  <si>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</si>
  <si>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</si>
  <si>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</si>
  <si>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</si>
  <si>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</si>
  <si>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</si>
  <si>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</si>
  <si>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</si>
  <si>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</si>
  <si>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</si>
  <si>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</si>
  <si>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</si>
  <si>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</si>
  <si>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</si>
  <si>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</si>
  <si>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</si>
  <si>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</si>
  <si>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</si>
  <si>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</si>
  <si>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</si>
  <si>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</si>
  <si>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</si>
  <si>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</si>
  <si>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</si>
  <si>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</si>
  <si>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</si>
  <si>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</si>
  <si>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</si>
  <si>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</si>
  <si>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</si>
  <si>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</si>
  <si>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</si>
  <si>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</si>
  <si>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</si>
  <si>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</si>
  <si>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</si>
  <si>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</si>
  <si>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</si>
  <si>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</si>
  <si>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</si>
  <si>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</si>
  <si>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</si>
  <si>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</si>
  <si>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</si>
  <si>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</si>
  <si>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</si>
  <si>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</si>
  <si>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</si>
  <si>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</si>
  <si>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</si>
  <si>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</si>
  <si>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</si>
  <si>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</si>
  <si>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</si>
  <si>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</si>
  <si>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</si>
  <si>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</si>
  <si>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</si>
  <si>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</si>
  <si>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</si>
  <si>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</si>
  <si>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</si>
  <si>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</si>
  <si>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</si>
  <si>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</si>
  <si>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</si>
  <si>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</si>
  <si>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</si>
  <si>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</si>
  <si>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</si>
  <si>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</si>
  <si>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</si>
  <si>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</si>
  <si>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</si>
  <si>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</si>
  <si>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</si>
  <si>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</si>
  <si>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</si>
  <si>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</si>
  <si>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</si>
  <si>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</si>
  <si>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</si>
  <si>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</si>
  <si>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</si>
  <si>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</si>
  <si>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</si>
  <si>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</si>
  <si>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</si>
  <si>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</si>
  <si>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</si>
  <si>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</si>
  <si>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</si>
  <si>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</si>
  <si>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</si>
  <si>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</si>
  <si>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</si>
  <si>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</si>
  <si>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</si>
  <si>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</si>
  <si>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</si>
  <si>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</si>
  <si>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</si>
  <si>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</si>
  <si>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</si>
  <si>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</si>
  <si>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</si>
  <si>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</si>
  <si>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</si>
  <si>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</si>
  <si>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</si>
  <si>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</si>
  <si>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</si>
  <si>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</si>
  <si>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</si>
  <si>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</si>
  <si>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</si>
  <si>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</si>
  <si>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</si>
  <si>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</si>
  <si>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</si>
  <si>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</si>
  <si>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</si>
  <si>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</si>
  <si>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</si>
  <si>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</si>
  <si>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</si>
  <si>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</si>
  <si>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</si>
  <si>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</si>
  <si>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</si>
  <si>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</si>
  <si>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</si>
  <si>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</si>
  <si>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</si>
  <si>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</si>
  <si>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</si>
  <si>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</si>
  <si>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</si>
  <si>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</si>
  <si>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</si>
  <si>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</si>
  <si>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</si>
  <si>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</si>
  <si>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</si>
  <si>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</si>
  <si>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</si>
  <si>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</si>
  <si>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</si>
  <si>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</si>
  <si>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</si>
  <si>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</si>
  <si>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</si>
  <si>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</si>
  <si>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</si>
  <si>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</si>
  <si>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</si>
  <si>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</si>
  <si>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</si>
  <si>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</si>
  <si>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</si>
  <si>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</si>
  <si>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</si>
  <si>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</si>
  <si>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</si>
  <si>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</si>
  <si>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</si>
  <si>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</si>
  <si>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</si>
  <si>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</si>
  <si>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</si>
  <si>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</si>
  <si>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</si>
  <si>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</si>
  <si>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</si>
  <si>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</si>
  <si>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</si>
  <si>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</si>
  <si>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</si>
  <si>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</si>
  <si>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</si>
  <si>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</si>
  <si>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</si>
  <si>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</si>
  <si>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</si>
  <si>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</si>
  <si>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</si>
  <si>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</si>
  <si>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</si>
  <si>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</si>
  <si>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</si>
  <si>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</si>
  <si>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</si>
  <si>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</si>
  <si>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</si>
  <si>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</si>
  <si>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</si>
  <si>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</si>
  <si>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</si>
  <si>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</si>
  <si>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</si>
  <si>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</si>
  <si>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</si>
  <si>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</si>
  <si>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</si>
  <si>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</si>
  <si>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</si>
  <si>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</si>
  <si>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</si>
  <si>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</si>
  <si>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</si>
  <si>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</si>
  <si>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</si>
  <si>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</si>
  <si>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</si>
  <si>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</si>
  <si>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</si>
  <si>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</si>
  <si>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</si>
  <si>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</si>
  <si>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</si>
  <si>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</si>
  <si>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</si>
  <si>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</si>
  <si>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</si>
  <si>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</si>
  <si>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</si>
  <si>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</si>
  <si>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</si>
  <si>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</si>
  <si>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</si>
  <si>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</si>
  <si>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</si>
  <si>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</si>
  <si>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</si>
  <si>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</si>
  <si>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</si>
  <si>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</si>
  <si>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</si>
  <si>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</si>
  <si>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</si>
  <si>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</si>
  <si>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</si>
  <si>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</si>
  <si>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</si>
  <si>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</si>
  <si>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</si>
  <si>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</si>
  <si>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</si>
  <si>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</si>
  <si>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</si>
  <si>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</si>
  <si>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</si>
  <si>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</si>
  <si>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</si>
  <si>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</si>
  <si>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</si>
  <si>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</si>
  <si>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</si>
  <si>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</si>
  <si>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</si>
  <si>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</si>
  <si>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</si>
  <si>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</si>
  <si>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</si>
  <si>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</si>
  <si>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</si>
  <si>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</si>
  <si>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</si>
  <si>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</si>
  <si>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</si>
  <si>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</si>
  <si>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</si>
  <si>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</si>
  <si>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</si>
  <si>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</si>
  <si>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</si>
  <si>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</si>
  <si>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</si>
  <si>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</si>
  <si>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</si>
  <si>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</si>
  <si>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</si>
  <si>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</si>
  <si>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</si>
  <si>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</si>
  <si>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</si>
  <si>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</si>
  <si>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</si>
  <si>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</si>
  <si>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</si>
  <si>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</si>
  <si>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</si>
  <si>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</si>
  <si>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</si>
  <si>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</si>
  <si>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</si>
  <si>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</si>
  <si>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</si>
  <si>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</si>
  <si>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</si>
  <si>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</si>
  <si>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</si>
  <si>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</si>
  <si>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</si>
  <si>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</si>
  <si>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</si>
  <si>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</si>
  <si>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</si>
  <si>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</si>
  <si>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</si>
  <si>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</si>
  <si>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</si>
  <si>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</si>
  <si>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</si>
  <si>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</si>
  <si>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</si>
  <si>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</si>
  <si>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</si>
  <si>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</si>
  <si>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</si>
  <si>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</si>
  <si>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</si>
  <si>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</si>
  <si>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</si>
  <si>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</si>
  <si>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</si>
  <si>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</si>
  <si>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</si>
  <si>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</si>
  <si>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</si>
  <si>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</si>
  <si>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</si>
  <si>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</si>
  <si>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</si>
  <si>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</si>
  <si>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</si>
  <si>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</si>
  <si>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</si>
  <si>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</si>
  <si>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</si>
  <si>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</si>
  <si>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</si>
  <si>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</si>
  <si>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</si>
  <si>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</si>
  <si>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</si>
  <si>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</si>
  <si>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</si>
  <si>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</si>
  <si>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</si>
  <si>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</si>
  <si>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</si>
  <si>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</si>
  <si>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</si>
  <si>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</si>
  <si>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</si>
  <si>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</si>
  <si>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</si>
  <si>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</si>
  <si>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</si>
  <si>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</si>
  <si>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</si>
  <si>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</si>
  <si>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</si>
  <si>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</si>
  <si>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</si>
  <si>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</si>
  <si>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</si>
  <si>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</si>
  <si>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</si>
  <si>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</si>
  <si>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</si>
  <si>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</si>
  <si>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</si>
  <si>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</si>
  <si>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</si>
  <si>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</si>
  <si>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</si>
  <si>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</si>
  <si>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</si>
  <si>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</si>
  <si>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</si>
  <si>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</si>
  <si>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</si>
  <si>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</si>
  <si>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</si>
  <si>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</si>
  <si>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</si>
  <si>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</si>
  <si>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</si>
  <si>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</si>
  <si>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</si>
  <si>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</si>
  <si>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</si>
  <si>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</si>
  <si>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</si>
  <si>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</si>
  <si>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</si>
  <si>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</si>
  <si>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</si>
  <si>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</si>
  <si>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</si>
  <si>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</si>
  <si>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</si>
  <si>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</si>
  <si>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</si>
  <si>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</si>
  <si>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</si>
  <si>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</si>
  <si>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</si>
  <si>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</si>
  <si>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</si>
  <si>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</si>
  <si>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</si>
  <si>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</si>
  <si>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</si>
  <si>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</si>
  <si>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</si>
  <si>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</si>
  <si>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</si>
  <si>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</si>
  <si>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</si>
  <si>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</si>
  <si>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</si>
  <si>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</si>
  <si>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</si>
  <si>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</si>
  <si>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</si>
  <si>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</si>
  <si>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</si>
  <si>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</si>
  <si>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</si>
  <si>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</si>
  <si>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</si>
  <si>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</si>
  <si>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</si>
  <si>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</si>
  <si>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</si>
  <si>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</si>
  <si>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</si>
  <si>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</si>
  <si>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</si>
  <si>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</si>
  <si>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</si>
  <si>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</si>
  <si>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</si>
  <si>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</si>
  <si>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</si>
  <si>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</si>
  <si>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</si>
  <si>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</si>
  <si>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</si>
  <si>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</si>
  <si>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</si>
  <si>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</si>
  <si>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</si>
  <si>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</si>
  <si>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</si>
  <si>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</si>
  <si>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</si>
  <si>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</si>
  <si>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</si>
  <si>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</si>
  <si>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</si>
  <si>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</si>
  <si>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</si>
  <si>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</si>
  <si>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</si>
  <si>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</si>
  <si>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</si>
  <si>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</si>
  <si>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</si>
  <si>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</si>
  <si>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</si>
  <si>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</si>
  <si>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</si>
  <si>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</si>
  <si>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</si>
  <si>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</si>
  <si>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</si>
  <si>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</si>
  <si>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</si>
  <si>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</si>
  <si>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</si>
  <si>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</si>
  <si>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</si>
  <si>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</si>
  <si>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</si>
  <si>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</si>
  <si>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</si>
  <si>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</si>
  <si>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</si>
  <si>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</si>
  <si>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</si>
  <si>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</si>
  <si>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</si>
  <si>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</si>
  <si>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</si>
  <si>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</si>
  <si>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</si>
  <si>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</si>
  <si>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</si>
  <si>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</si>
  <si>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</si>
  <si>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</si>
  <si>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</si>
  <si>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</si>
  <si>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</si>
  <si>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</si>
  <si>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</si>
  <si>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</si>
  <si>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</si>
  <si>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</si>
  <si>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</si>
  <si>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</si>
  <si>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</si>
  <si>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</si>
  <si>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</si>
  <si>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</si>
  <si>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</si>
  <si>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</si>
  <si>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</si>
  <si>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</si>
  <si>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</si>
  <si>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</si>
  <si>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</si>
  <si>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</si>
  <si>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</si>
  <si>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</si>
  <si>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</si>
  <si>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</si>
  <si>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</si>
  <si>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</si>
  <si>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</si>
  <si>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</si>
  <si>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</si>
  <si>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</si>
  <si>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</si>
  <si>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</si>
  <si>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</si>
  <si>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</si>
  <si>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</si>
  <si>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</si>
  <si>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</si>
  <si>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</si>
  <si>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</si>
  <si>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</si>
  <si>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</si>
  <si>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</si>
  <si>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</si>
  <si>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</si>
  <si>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</si>
  <si>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</si>
  <si>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</si>
  <si>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</si>
  <si>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</si>
  <si>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</si>
  <si>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</si>
  <si>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</si>
  <si>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</si>
  <si>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</si>
  <si>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</si>
  <si>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</si>
  <si>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</si>
  <si>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</si>
  <si>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</si>
  <si>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</si>
  <si>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</si>
  <si>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</si>
  <si>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</si>
  <si>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</si>
  <si>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</si>
  <si>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</si>
  <si>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</si>
  <si>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</si>
  <si>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</si>
  <si>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</si>
  <si>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</si>
  <si>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</si>
  <si>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</si>
  <si>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</si>
  <si>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</si>
  <si>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</si>
  <si>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</si>
  <si>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</si>
  <si>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</si>
  <si>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</si>
  <si>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</si>
  <si>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</si>
  <si>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</si>
  <si>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</si>
  <si>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</si>
  <si>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</si>
  <si>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</si>
  <si>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</si>
  <si>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</si>
  <si>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</si>
  <si>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</si>
  <si>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</si>
  <si>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</si>
  <si>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</si>
  <si>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</si>
  <si>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</si>
  <si>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</si>
  <si>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</si>
  <si>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</si>
  <si>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</si>
  <si>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</si>
  <si>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</si>
  <si>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</si>
  <si>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</si>
  <si>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</si>
  <si>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</si>
  <si>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</si>
  <si>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</si>
  <si>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</si>
  <si>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</si>
  <si>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</si>
  <si>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</si>
  <si>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</si>
  <si>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</si>
  <si>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</si>
  <si>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</si>
  <si>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</si>
  <si>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</si>
  <si>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</si>
  <si>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</si>
  <si>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</si>
  <si>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</si>
  <si>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</si>
  <si>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</si>
  <si>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</si>
  <si>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</si>
  <si>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</si>
  <si>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</si>
  <si>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</si>
  <si>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</si>
  <si>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</si>
  <si>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</si>
  <si>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</si>
  <si>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</si>
  <si>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</si>
  <si>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</si>
  <si>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</si>
  <si>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</si>
  <si>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</si>
  <si>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</si>
  <si>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</si>
  <si>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</si>
  <si>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</si>
  <si>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</si>
  <si>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</si>
  <si>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</si>
  <si>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</si>
  <si>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</si>
  <si>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</si>
  <si>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</si>
  <si>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</si>
  <si>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</si>
  <si>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</si>
  <si>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</si>
  <si>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</si>
  <si>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</si>
  <si>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</si>
  <si>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</si>
  <si>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</si>
  <si>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</si>
  <si>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</si>
  <si>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</si>
  <si>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</si>
  <si>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</si>
  <si>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</si>
  <si>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</si>
  <si>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</si>
  <si>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</si>
  <si>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</si>
  <si>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</si>
  <si>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</si>
  <si>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</si>
  <si>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</si>
  <si>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</si>
  <si>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</si>
  <si>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</si>
  <si>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</si>
  <si>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</si>
  <si>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</si>
  <si>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</si>
  <si>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</si>
  <si>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</si>
  <si>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</si>
  <si>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</si>
  <si>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</si>
  <si>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</si>
  <si>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</si>
  <si>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</si>
  <si>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</si>
  <si>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</si>
  <si>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</si>
  <si>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</si>
  <si>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</si>
  <si>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</si>
  <si>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</si>
  <si>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</si>
  <si>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</si>
  <si>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</si>
  <si>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</si>
  <si>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</si>
  <si>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</si>
  <si>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</si>
  <si>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</si>
  <si>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</si>
  <si>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</si>
  <si>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</si>
  <si>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</si>
  <si>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</si>
  <si>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</si>
  <si>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</si>
  <si>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</si>
  <si>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</si>
  <si>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</si>
  <si>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</si>
  <si>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</si>
  <si>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</si>
  <si>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</si>
  <si>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</si>
  <si>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</si>
  <si>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</si>
  <si>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</si>
  <si>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</si>
  <si>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</si>
  <si>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</si>
  <si>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</si>
  <si>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</si>
  <si>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</si>
  <si>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</si>
  <si>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</si>
  <si>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</si>
  <si>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</si>
  <si>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</si>
  <si>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</si>
  <si>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</si>
  <si>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</si>
  <si>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</si>
  <si>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</si>
  <si>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</si>
  <si>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</si>
  <si>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</si>
  <si>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</si>
  <si>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</si>
  <si>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</si>
  <si>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</si>
  <si>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</si>
  <si>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</si>
  <si>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</si>
  <si>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</si>
  <si>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</si>
  <si>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</si>
  <si>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</si>
  <si>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</si>
  <si>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</si>
  <si>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</si>
  <si>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</si>
  <si>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</si>
  <si>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</si>
  <si>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</si>
  <si>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</si>
  <si>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</si>
  <si>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</si>
  <si>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</si>
  <si>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</si>
  <si>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</si>
  <si>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</si>
  <si>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</si>
  <si>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</si>
  <si>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</si>
  <si>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</si>
  <si>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</si>
  <si>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</si>
  <si>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</si>
  <si>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</si>
  <si>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</si>
  <si>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</si>
  <si>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</si>
  <si>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</si>
  <si>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</si>
  <si>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</si>
  <si>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</si>
  <si>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</si>
  <si>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</si>
  <si>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</si>
  <si>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</si>
  <si>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</si>
  <si>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</si>
  <si>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</si>
  <si>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</si>
  <si>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</si>
  <si>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</si>
  <si>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</si>
  <si>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</si>
  <si>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</si>
  <si>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</si>
  <si>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</si>
  <si>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</si>
  <si>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</si>
  <si>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</si>
  <si>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</si>
  <si>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</si>
  <si>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</si>
  <si>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</si>
  <si>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</si>
  <si>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</si>
  <si>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</si>
  <si>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</si>
  <si>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</si>
  <si>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</si>
  <si>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</si>
  <si>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</si>
  <si>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</si>
  <si>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</si>
  <si>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</si>
  <si>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</si>
  <si>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</si>
  <si>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</si>
  <si>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</si>
  <si>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</si>
  <si>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</si>
  <si>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</si>
  <si>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</si>
  <si>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</si>
  <si>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</si>
  <si>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</si>
  <si>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</si>
  <si>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</si>
  <si>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</si>
  <si>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</si>
  <si>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</si>
  <si>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</si>
  <si>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</si>
  <si>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</si>
  <si>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</si>
  <si>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</si>
  <si>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</si>
  <si>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</si>
  <si>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</si>
  <si>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</si>
  <si>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</si>
  <si>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</si>
  <si>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</si>
  <si>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</si>
  <si>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</si>
  <si>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</si>
  <si>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</si>
  <si>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</si>
  <si>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</si>
  <si>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</si>
  <si>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</si>
  <si>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</si>
  <si>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</si>
  <si>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</si>
  <si>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</si>
  <si>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</si>
  <si>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</si>
  <si>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</si>
  <si>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</si>
  <si>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</si>
  <si>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</si>
  <si>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</si>
  <si>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</si>
  <si>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</si>
  <si>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</si>
  <si>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</si>
  <si>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</si>
  <si>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</si>
  <si>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</si>
  <si>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</si>
  <si>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</si>
  <si>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</si>
  <si>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</si>
  <si>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</si>
  <si>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</si>
  <si>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</si>
  <si>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</si>
  <si>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</si>
  <si>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</si>
  <si>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</si>
  <si>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</si>
  <si>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</si>
  <si>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</si>
  <si>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</si>
  <si>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</si>
  <si>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</si>
  <si>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</si>
  <si>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</si>
  <si>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</si>
  <si>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</si>
  <si>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</si>
  <si>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</si>
  <si>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</si>
  <si>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</si>
  <si>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</si>
  <si>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</si>
  <si>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</si>
  <si>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</si>
  <si>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</si>
  <si>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</si>
  <si>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</si>
  <si>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</si>
  <si>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</si>
  <si>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</si>
  <si>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</si>
  <si>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</si>
  <si>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</si>
  <si>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</si>
  <si>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</si>
  <si>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</si>
  <si>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</si>
  <si>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</si>
  <si>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</si>
  <si>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</si>
  <si>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</si>
  <si>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</si>
  <si>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</si>
  <si>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</si>
  <si>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</si>
  <si>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</si>
  <si>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</si>
  <si>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</si>
  <si>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</si>
  <si>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</si>
  <si>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</si>
  <si>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</si>
  <si>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</si>
  <si>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</si>
  <si>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</si>
  <si>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</si>
  <si>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</si>
  <si>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</si>
  <si>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</si>
  <si>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</si>
  <si>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</si>
  <si>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</si>
  <si>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</si>
  <si>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</si>
  <si>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</si>
  <si>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</si>
  <si>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</si>
  <si>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</si>
  <si>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</si>
  <si>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</si>
  <si>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</si>
  <si>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</si>
  <si>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</si>
  <si>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</si>
  <si>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</si>
  <si>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</si>
  <si>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</si>
  <si>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</si>
  <si>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</si>
  <si>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</si>
  <si>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</si>
  <si>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</si>
  <si>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</si>
  <si>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</si>
  <si>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</si>
  <si>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</si>
  <si>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</si>
  <si>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</si>
  <si>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</si>
  <si>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</si>
  <si>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</si>
  <si>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</si>
  <si>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</si>
  <si>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</si>
  <si>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</si>
  <si>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</si>
  <si>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</si>
  <si>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</si>
  <si>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</si>
  <si>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</si>
  <si>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</si>
  <si>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</si>
  <si>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</si>
  <si>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</si>
  <si>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</si>
  <si>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</si>
  <si>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</si>
  <si>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</si>
  <si>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</si>
  <si>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</si>
  <si>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</si>
  <si>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</si>
  <si>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</si>
  <si>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</si>
  <si>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</si>
  <si>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</si>
  <si>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</si>
  <si>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</si>
  <si>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</si>
  <si>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</si>
  <si>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</si>
  <si>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</si>
  <si>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</si>
  <si>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</si>
  <si>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</si>
  <si>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</si>
  <si>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</si>
  <si>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</si>
  <si>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</si>
  <si>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</si>
  <si>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</si>
  <si>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</si>
  <si>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</si>
  <si>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</si>
  <si>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</si>
  <si>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</si>
  <si>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</si>
  <si>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</si>
  <si>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</si>
  <si>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</si>
  <si>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</si>
  <si>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</si>
  <si>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</si>
  <si>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</si>
  <si>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</si>
  <si>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</si>
  <si>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</si>
  <si>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</si>
  <si>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</si>
  <si>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</si>
  <si>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</si>
  <si>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</si>
  <si>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</si>
  <si>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</si>
  <si>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</si>
  <si>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</si>
  <si>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</si>
  <si>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</si>
  <si>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</si>
  <si>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</si>
  <si>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</si>
  <si>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</si>
  <si>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</si>
  <si>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</si>
  <si>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</si>
  <si>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</si>
  <si>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</si>
  <si>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</si>
  <si>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</si>
  <si>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</si>
  <si>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</si>
  <si>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</si>
  <si>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</si>
  <si>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</si>
  <si>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</si>
  <si>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</si>
  <si>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</si>
  <si>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</si>
  <si>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</si>
  <si>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</si>
  <si>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</si>
  <si>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</si>
  <si>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</si>
  <si>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</si>
  <si>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</si>
  <si>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</si>
  <si>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</si>
  <si>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</si>
  <si>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</si>
  <si>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</si>
  <si>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</si>
  <si>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</si>
  <si>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</si>
  <si>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</si>
  <si>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</si>
  <si>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</si>
  <si>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</si>
  <si>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</si>
  <si>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</si>
  <si>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</si>
  <si>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</si>
  <si>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</si>
  <si>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</si>
  <si>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</si>
  <si>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</si>
  <si>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</si>
  <si>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</si>
  <si>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</si>
  <si>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</si>
  <si>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</si>
  <si>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</si>
  <si>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</si>
  <si>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</si>
  <si>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</si>
  <si>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</si>
  <si>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</si>
  <si>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</si>
  <si>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</si>
  <si>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</si>
  <si>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</si>
  <si>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</si>
  <si>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</si>
  <si>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</si>
  <si>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</si>
  <si>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</si>
  <si>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</si>
  <si>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</si>
  <si>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</si>
  <si>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</si>
  <si>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</si>
  <si>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</si>
  <si>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</si>
  <si>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</si>
  <si>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</si>
  <si>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</si>
  <si>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</si>
  <si>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</si>
  <si>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</si>
  <si>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</si>
  <si>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</si>
  <si>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</si>
  <si>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</si>
  <si>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</si>
  <si>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</si>
  <si>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</si>
  <si>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</si>
  <si>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</si>
  <si>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</si>
  <si>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</si>
  <si>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</si>
  <si>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</si>
  <si>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</si>
  <si>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</si>
  <si>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</si>
  <si>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</si>
  <si>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</si>
  <si>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</si>
  <si>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</si>
  <si>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</si>
  <si>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</si>
  <si>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</si>
  <si>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</si>
  <si>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</si>
  <si>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</si>
  <si>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</si>
  <si>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</si>
  <si>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</si>
  <si>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</si>
  <si>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</si>
  <si>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</si>
  <si>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</si>
  <si>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</si>
  <si>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</si>
  <si>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</si>
  <si>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</si>
  <si>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</si>
  <si>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</si>
  <si>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</si>
  <si>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</si>
  <si>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</si>
  <si>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</si>
  <si>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</si>
  <si>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</si>
  <si>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</si>
  <si>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</si>
  <si>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</si>
  <si>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</si>
  <si>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</si>
  <si>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</si>
  <si>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</si>
  <si>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</si>
  <si>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</si>
  <si>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</si>
  <si>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</si>
  <si>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</si>
  <si>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</si>
  <si>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</si>
  <si>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</si>
  <si>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</si>
  <si>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</si>
  <si>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</si>
  <si>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</si>
  <si>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</si>
  <si>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</si>
  <si>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</si>
  <si>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</si>
  <si>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</si>
  <si>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</si>
  <si>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</si>
  <si>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</si>
  <si>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</si>
  <si>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</si>
  <si>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</si>
  <si>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</si>
  <si>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</si>
  <si>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</si>
  <si>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</si>
  <si>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</si>
  <si>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</si>
  <si>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</si>
  <si>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</si>
  <si>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</si>
  <si>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</si>
  <si>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</si>
  <si>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</si>
  <si>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</si>
  <si>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</si>
  <si>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</si>
  <si>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</si>
  <si>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</si>
  <si>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</si>
  <si>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</si>
  <si>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</si>
  <si>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</si>
  <si>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</si>
  <si>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</si>
  <si>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</si>
  <si>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</si>
  <si>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</si>
  <si>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</si>
  <si>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</si>
  <si>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</si>
  <si>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</si>
  <si>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</si>
  <si>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</si>
  <si>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</si>
  <si>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</si>
  <si>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</si>
  <si>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</si>
  <si>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</si>
  <si>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</si>
  <si>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</si>
  <si>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</si>
  <si>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</si>
  <si>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</si>
  <si>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</si>
  <si>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</si>
  <si>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</si>
  <si>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</si>
  <si>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</si>
  <si>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</si>
  <si>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</si>
  <si>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</si>
  <si>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</si>
  <si>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</si>
  <si>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</si>
  <si>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</si>
  <si>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</si>
  <si>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</si>
  <si>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</si>
  <si>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</si>
  <si>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</si>
  <si>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</si>
  <si>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</si>
  <si>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</si>
  <si>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</si>
  <si>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</si>
  <si>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</si>
  <si>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</si>
  <si>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</si>
  <si>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</si>
  <si>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</si>
  <si>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</si>
  <si>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</si>
  <si>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</si>
  <si>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</si>
  <si>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</si>
  <si>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</si>
  <si>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</si>
  <si>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</si>
  <si>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</si>
  <si>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</si>
  <si>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</si>
  <si>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</si>
  <si>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</si>
  <si>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</si>
  <si>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</si>
  <si>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</si>
  <si>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</si>
  <si>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</si>
  <si>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</si>
  <si>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</si>
  <si>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</si>
  <si>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</si>
  <si>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</si>
  <si>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</si>
  <si>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</si>
  <si>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</si>
  <si>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</si>
  <si>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</si>
  <si>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</si>
  <si>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</si>
  <si>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</si>
  <si>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</si>
  <si>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</si>
  <si>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</si>
  <si>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</si>
  <si>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</si>
  <si>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</si>
  <si>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</si>
  <si>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</si>
  <si>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</si>
  <si>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</si>
  <si>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</si>
  <si>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</si>
  <si>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</si>
  <si>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</si>
  <si>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</si>
  <si>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</si>
  <si>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</si>
  <si>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</si>
  <si>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</si>
  <si>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</si>
  <si>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</si>
  <si>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</si>
  <si>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</si>
  <si>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</si>
  <si>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</si>
  <si>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</si>
  <si>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</si>
  <si>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</si>
  <si>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</si>
  <si>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</si>
  <si>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</si>
  <si>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</si>
  <si>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</si>
  <si>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</si>
  <si>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</si>
  <si>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</si>
  <si>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</si>
  <si>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</si>
  <si>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</si>
  <si>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</si>
  <si>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</si>
  <si>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</si>
  <si>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</si>
  <si>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</si>
  <si>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</si>
  <si>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</si>
  <si>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</si>
  <si>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</si>
  <si>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</si>
  <si>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</si>
  <si>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</si>
  <si>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</si>
  <si>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</si>
  <si>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</si>
  <si>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</si>
  <si>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</si>
  <si>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</si>
  <si>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</si>
  <si>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</si>
  <si>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</si>
  <si>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</si>
  <si>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</si>
  <si>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</si>
  <si>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</si>
  <si>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</si>
  <si>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</si>
  <si>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</si>
  <si>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</si>
  <si>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</si>
  <si>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</si>
  <si>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</si>
  <si>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</si>
  <si>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</si>
  <si>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</si>
  <si>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</si>
  <si>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</si>
  <si>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</si>
  <si>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</si>
  <si>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</si>
  <si>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</si>
  <si>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</si>
  <si>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</si>
  <si>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</si>
  <si>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</si>
  <si>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</si>
  <si>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</si>
  <si>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</si>
  <si>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</si>
  <si>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</si>
  <si>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</si>
  <si>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</si>
  <si>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</si>
  <si>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</si>
  <si>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</si>
  <si>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</si>
  <si>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</si>
  <si>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</si>
  <si>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</si>
  <si>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</si>
  <si>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</si>
  <si>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</si>
  <si>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</si>
  <si>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</si>
  <si>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</si>
  <si>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</si>
  <si>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</si>
  <si>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</si>
  <si>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</si>
  <si>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</si>
  <si>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</si>
  <si>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</si>
  <si>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</si>
  <si>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</si>
  <si>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</si>
  <si>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</si>
  <si>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</si>
  <si>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</si>
  <si>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</si>
  <si>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</si>
  <si>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</si>
  <si>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</si>
  <si>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</si>
  <si>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</si>
  <si>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</si>
  <si>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</si>
  <si>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</si>
  <si>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</si>
  <si>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</si>
  <si>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</si>
  <si>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</si>
  <si>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</si>
  <si>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</si>
  <si>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</si>
  <si>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</si>
  <si>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</si>
  <si>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</si>
  <si>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</si>
  <si>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</si>
  <si>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</si>
  <si>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</si>
  <si>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</si>
  <si>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</si>
  <si>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</si>
  <si>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</si>
  <si>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</si>
  <si>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</si>
  <si>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</si>
  <si>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</si>
  <si>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</si>
  <si>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</si>
  <si>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</si>
  <si>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</si>
  <si>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</si>
  <si>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</si>
  <si>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</si>
  <si>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</si>
  <si>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</si>
  <si>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</si>
  <si>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</si>
  <si>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</si>
  <si>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</si>
  <si>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</si>
  <si>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</si>
  <si>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</si>
  <si>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</si>
  <si>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</si>
  <si>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</si>
  <si>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</si>
  <si>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</si>
  <si>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</si>
  <si>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</si>
  <si>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</si>
  <si>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</si>
  <si>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</si>
  <si>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</si>
  <si>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</si>
  <si>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</si>
  <si>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</si>
  <si>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</si>
  <si>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</si>
  <si>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</si>
  <si>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</si>
  <si>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</si>
  <si>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</si>
  <si>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</si>
  <si>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</si>
  <si>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</si>
  <si>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</si>
  <si>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</si>
  <si>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</si>
  <si>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</si>
  <si>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</si>
  <si>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</si>
  <si>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</si>
  <si>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</si>
  <si>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</si>
  <si>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</si>
  <si>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</si>
  <si>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</si>
  <si>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</si>
  <si>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</si>
  <si>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</si>
  <si>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</si>
  <si>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</si>
  <si>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</si>
  <si>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</si>
  <si>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</si>
  <si>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</si>
  <si>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</si>
  <si>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</si>
  <si>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</si>
  <si>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</si>
  <si>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</si>
  <si>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</si>
  <si>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</si>
  <si>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</si>
  <si>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</si>
  <si>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</si>
  <si>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</si>
  <si>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</si>
  <si>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</si>
  <si>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</si>
  <si>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</si>
  <si>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</si>
  <si>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</si>
  <si>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</si>
  <si>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</si>
  <si>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</si>
  <si>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</si>
  <si>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</si>
  <si>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</si>
  <si>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</si>
  <si>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</si>
  <si>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</si>
  <si>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</si>
  <si>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</si>
  <si>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</si>
  <si>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</si>
  <si>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</si>
  <si>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</si>
  <si>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</si>
  <si>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</si>
  <si>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</si>
  <si>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</si>
  <si>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</si>
  <si>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</si>
  <si>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</si>
  <si>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</si>
  <si>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</si>
  <si>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</si>
  <si>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</si>
  <si>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</si>
  <si>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</si>
  <si>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</si>
  <si>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</si>
  <si>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</si>
  <si>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</si>
  <si>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</si>
  <si>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</si>
  <si>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</si>
  <si>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</si>
  <si>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</si>
  <si>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</si>
  <si>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</si>
  <si>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</si>
  <si>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</si>
  <si>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</si>
  <si>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</si>
  <si>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</si>
  <si>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</si>
  <si>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</si>
  <si>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</si>
  <si>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</si>
  <si>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</si>
  <si>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</si>
  <si>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</si>
  <si>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</si>
  <si>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</si>
  <si>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</si>
  <si>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</si>
  <si>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</si>
  <si>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</si>
  <si>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</si>
  <si>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</si>
  <si>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</si>
  <si>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</si>
  <si>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</si>
  <si>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</si>
  <si>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</si>
  <si>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</si>
  <si>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</si>
  <si>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</si>
  <si>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</si>
  <si>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</si>
  <si>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</si>
  <si>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</si>
  <si>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</si>
  <si>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</si>
  <si>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</si>
  <si>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</si>
  <si>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</si>
  <si>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</si>
  <si>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</si>
  <si>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</si>
  <si>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</si>
  <si>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</si>
  <si>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</si>
  <si>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</si>
  <si>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</si>
  <si>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</si>
  <si>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</si>
  <si>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</si>
  <si>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</si>
  <si>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</si>
  <si>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</si>
  <si>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</si>
  <si>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</si>
  <si>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</si>
  <si>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</si>
  <si>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</si>
  <si>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</si>
  <si>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</si>
  <si>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</si>
  <si>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</si>
  <si>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</si>
  <si>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</si>
  <si>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</si>
  <si>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</si>
  <si>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</si>
  <si>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</si>
  <si>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</si>
  <si>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</si>
  <si>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</si>
  <si>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</si>
  <si>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</si>
  <si>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</si>
  <si>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</si>
  <si>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</si>
  <si>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</si>
  <si>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</si>
  <si>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</si>
  <si>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</si>
  <si>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</si>
  <si>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</si>
  <si>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</si>
  <si>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</si>
  <si>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</si>
  <si>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</si>
  <si>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</si>
  <si>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</si>
  <si>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</si>
  <si>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</si>
  <si>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</si>
  <si>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</si>
  <si>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</si>
  <si>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</si>
  <si>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</si>
  <si>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</si>
  <si>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</si>
  <si>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</si>
  <si>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</si>
  <si>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</si>
  <si>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</si>
  <si>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</si>
  <si>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</si>
  <si>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</si>
  <si>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</si>
  <si>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</si>
  <si>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</si>
  <si>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</si>
  <si>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</si>
  <si>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</si>
  <si>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</si>
  <si>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</si>
  <si>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</si>
  <si>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</si>
  <si>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</si>
  <si>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</si>
  <si>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</si>
  <si>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</si>
  <si>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</si>
  <si>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</si>
  <si>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</si>
  <si>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</si>
  <si>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</si>
  <si>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</si>
  <si>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</si>
  <si>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</si>
  <si>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</si>
  <si>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</si>
  <si>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</si>
  <si>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</si>
  <si>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</si>
  <si>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</si>
  <si>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</si>
  <si>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</si>
  <si>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</si>
  <si>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</si>
  <si>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</si>
  <si>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</si>
  <si>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</si>
  <si>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</si>
  <si>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</si>
  <si>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</si>
  <si>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</si>
  <si>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</si>
  <si>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</si>
  <si>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</si>
  <si>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</si>
  <si>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</si>
  <si>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</si>
  <si>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</si>
  <si>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</si>
  <si>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</si>
  <si>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</si>
  <si>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</si>
  <si>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</si>
  <si>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</si>
  <si>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</si>
  <si>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</si>
  <si>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</si>
  <si>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</si>
  <si>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</si>
  <si>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</si>
  <si>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</si>
  <si>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</si>
  <si>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</si>
  <si>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</si>
  <si>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</si>
  <si>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</si>
  <si>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</si>
  <si>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</si>
  <si>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</si>
  <si>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</si>
  <si>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</si>
  <si>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</si>
  <si>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</si>
  <si>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</si>
  <si>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</si>
  <si>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</si>
  <si>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</si>
  <si>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</si>
  <si>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</si>
  <si>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</si>
  <si>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</si>
  <si>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</si>
  <si>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</si>
  <si>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</si>
  <si>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</si>
  <si>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</si>
  <si>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</si>
  <si>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</si>
  <si>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</si>
  <si>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</si>
  <si>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</si>
  <si>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</si>
  <si>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</si>
  <si>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</si>
  <si>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</si>
  <si>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</si>
  <si>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</si>
  <si>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</si>
  <si>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</si>
  <si>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</si>
  <si>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</si>
  <si>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欧红伟</t>
  </si>
  <si>
    <t>崔锴</t>
  </si>
  <si>
    <t>北京厦诚科技有限公司</t>
    <phoneticPr fontId="6" type="noConversion"/>
  </si>
  <si>
    <t>抵押</t>
  </si>
  <si>
    <t>房地产抵押价值</t>
  </si>
  <si>
    <t>北京市</t>
  </si>
  <si>
    <r>
      <rPr>
        <sz val="12"/>
        <color theme="9" tint="-0.249977111117893"/>
        <rFont val="宋体"/>
        <family val="3"/>
        <charset val="134"/>
      </rPr>
      <t>昌平区超前路</t>
    </r>
    <r>
      <rPr>
        <sz val="12"/>
        <color theme="9" tint="-0.249977111117893"/>
        <rFont val="Arial"/>
        <family val="2"/>
      </rPr>
      <t>37</t>
    </r>
    <r>
      <rPr>
        <sz val="12"/>
        <color theme="9" tint="-0.249977111117893"/>
        <rFont val="宋体"/>
        <family val="3"/>
        <charset val="134"/>
      </rPr>
      <t>号院</t>
    </r>
    <r>
      <rPr>
        <sz val="12"/>
        <color theme="9" tint="-0.249977111117893"/>
        <rFont val="Arial"/>
        <family val="2"/>
      </rPr>
      <t>20</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至</t>
    </r>
    <r>
      <rPr>
        <sz val="12"/>
        <color theme="9" tint="-0.249977111117893"/>
        <rFont val="Arial"/>
        <family val="2"/>
      </rPr>
      <t>4</t>
    </r>
    <r>
      <rPr>
        <sz val="12"/>
        <color theme="9" tint="-0.249977111117893"/>
        <rFont val="宋体"/>
        <family val="3"/>
        <charset val="134"/>
      </rPr>
      <t>层</t>
    </r>
    <r>
      <rPr>
        <sz val="12"/>
        <color theme="9" tint="-0.249977111117893"/>
        <rFont val="Arial"/>
        <family val="2"/>
      </rPr>
      <t>101</t>
    </r>
    <r>
      <rPr>
        <sz val="12"/>
        <color theme="9" tint="-0.249977111117893"/>
        <rFont val="宋体"/>
        <family val="3"/>
        <charset val="134"/>
      </rPr>
      <t>号</t>
    </r>
    <phoneticPr fontId="6" type="noConversion"/>
  </si>
  <si>
    <t>企业</t>
  </si>
  <si>
    <t>出让</t>
  </si>
  <si>
    <t>工业</t>
    <phoneticPr fontId="6" type="noConversion"/>
  </si>
  <si>
    <r>
      <rPr>
        <sz val="12"/>
        <color theme="9" tint="-0.249977111117893"/>
        <rFont val="宋体"/>
        <family val="3"/>
        <charset val="134"/>
      </rPr>
      <t>工业</t>
    </r>
    <r>
      <rPr>
        <sz val="12"/>
        <color theme="9" tint="-0.249977111117893"/>
        <rFont val="Arial"/>
        <family val="2"/>
      </rPr>
      <t>43.03</t>
    </r>
    <r>
      <rPr>
        <sz val="12"/>
        <color theme="9" tint="-0.249977111117893"/>
        <rFont val="宋体"/>
        <family val="3"/>
        <charset val="134"/>
      </rPr>
      <t>年</t>
    </r>
    <phoneticPr fontId="6" type="noConversion"/>
  </si>
  <si>
    <t>《不动产权证书》</t>
  </si>
  <si>
    <t>《不动产权证书》</t>
    <phoneticPr fontId="6" type="noConversion"/>
  </si>
  <si>
    <t>是</t>
  </si>
  <si>
    <t>工业项目</t>
  </si>
  <si>
    <t>无</t>
  </si>
  <si>
    <t>否</t>
  </si>
  <si>
    <t>现房</t>
  </si>
  <si>
    <t>通路</t>
  </si>
  <si>
    <t>通电</t>
  </si>
  <si>
    <t>通讯</t>
  </si>
  <si>
    <t>通上水</t>
  </si>
  <si>
    <t>通下水</t>
  </si>
  <si>
    <t>Ⅶ-昌平园北Ⅰ</t>
  </si>
  <si>
    <t>办公楼</t>
  </si>
  <si>
    <t>地上</t>
  </si>
  <si>
    <t>工业立项办公</t>
  </si>
  <si>
    <t>工业立项办公</t>
    <phoneticPr fontId="7" type="noConversion"/>
  </si>
  <si>
    <t>成新度</t>
  </si>
  <si>
    <t>收益法</t>
  </si>
  <si>
    <t>估价对象所在区域基础设施水平七通</t>
    <phoneticPr fontId="25" type="noConversion"/>
  </si>
  <si>
    <t>该园区内是否有污染型企业，绿化情况，卫生条件，整体环境状况判断，较好</t>
    <phoneticPr fontId="41" type="noConversion"/>
  </si>
  <si>
    <t>较好</t>
    <phoneticPr fontId="25" type="noConversion"/>
  </si>
  <si>
    <t>支路</t>
    <phoneticPr fontId="25" type="noConversion"/>
  </si>
  <si>
    <t>产业用地</t>
  </si>
  <si>
    <t>不临58条商业街</t>
  </si>
  <si>
    <t>五通一平</t>
  </si>
  <si>
    <t>缺少</t>
  </si>
  <si>
    <t>通热</t>
  </si>
  <si>
    <t>燃气</t>
  </si>
  <si>
    <t>按公示增长率计算</t>
  </si>
  <si>
    <t>容积率修正</t>
  </si>
  <si>
    <t>未包含在土地购买价格中</t>
  </si>
  <si>
    <t>全部缴纳</t>
  </si>
  <si>
    <t>已包含在土地取得成本中</t>
  </si>
  <si>
    <t>押一</t>
  </si>
  <si>
    <t>钢混</t>
  </si>
  <si>
    <t>非生产用房</t>
  </si>
  <si>
    <t>2018-1-0123</t>
    <phoneticPr fontId="6" type="noConversion"/>
  </si>
  <si>
    <t>工商银行总行北京分行昌平支行</t>
    <phoneticPr fontId="6" type="noConversion"/>
  </si>
  <si>
    <t>工业立项办公楼</t>
    <phoneticPr fontId="3" type="noConversion"/>
  </si>
  <si>
    <t>租户</t>
    <phoneticPr fontId="143" type="noConversion"/>
  </si>
  <si>
    <t>万德兴业科技有限公司</t>
    <phoneticPr fontId="143" type="noConversion"/>
  </si>
  <si>
    <t>建筑面积</t>
  </si>
  <si>
    <t>建筑面积</t>
    <phoneticPr fontId="143" type="noConversion"/>
  </si>
  <si>
    <t>位置</t>
    <phoneticPr fontId="143" type="noConversion"/>
  </si>
  <si>
    <t>一层</t>
    <phoneticPr fontId="143" type="noConversion"/>
  </si>
  <si>
    <t>租期起始</t>
    <phoneticPr fontId="143" type="noConversion"/>
  </si>
  <si>
    <t>终止</t>
    <phoneticPr fontId="143" type="noConversion"/>
  </si>
  <si>
    <t>增长</t>
    <phoneticPr fontId="143" type="noConversion"/>
  </si>
  <si>
    <t>0.1元</t>
    <phoneticPr fontId="143" type="noConversion"/>
  </si>
  <si>
    <t>日租金</t>
    <phoneticPr fontId="143" type="noConversion"/>
  </si>
  <si>
    <t>当前年租金</t>
    <phoneticPr fontId="143" type="noConversion"/>
  </si>
  <si>
    <t>自定义</t>
  </si>
  <si>
    <t>齐力众信科技有限公司</t>
    <phoneticPr fontId="143" type="noConversion"/>
  </si>
  <si>
    <t>三层、四层</t>
    <phoneticPr fontId="143" type="noConversion"/>
  </si>
  <si>
    <t>押金</t>
    <phoneticPr fontId="143" type="noConversion"/>
  </si>
  <si>
    <t>二层</t>
    <phoneticPr fontId="143" type="noConversion"/>
  </si>
  <si>
    <t>平均日租金</t>
    <phoneticPr fontId="143" type="noConversion"/>
  </si>
  <si>
    <t>价值时点</t>
  </si>
  <si>
    <t>法定最高/出让年限</t>
  </si>
  <si>
    <t>终止日期</t>
  </si>
  <si>
    <t>剩余土地使用年限</t>
  </si>
  <si>
    <t>年期修正系数</t>
  </si>
  <si>
    <t>报酬率-土地</t>
  </si>
  <si>
    <t>估价对象位于中关村兴业创业园，园区建设成熟度较好，产业集聚程度较好</t>
    <phoneticPr fontId="41" type="noConversion"/>
  </si>
  <si>
    <t>估价对象周边道路状况较好、公共交通通达情况一般、停车便捷程度一般，综合评价交通便捷度一般</t>
    <phoneticPr fontId="41" type="noConversion"/>
  </si>
  <si>
    <t>估价对象所在区域公共配套设施有农村商业银行、上海浦东发展银行、世纪华联、容中超市、中国石油大学附属中学、昌平五中等，齐备情况较好</t>
    <phoneticPr fontId="41" type="noConversion"/>
  </si>
  <si>
    <t>多面临街</t>
  </si>
  <si>
    <t>比较法-工业</t>
  </si>
  <si>
    <t>售价</t>
  </si>
  <si>
    <t>中关村兴业创业园</t>
    <phoneticPr fontId="3" type="noConversion"/>
  </si>
  <si>
    <t>企业墅</t>
    <phoneticPr fontId="3" type="noConversion"/>
  </si>
  <si>
    <t>中关村兴业创业园</t>
    <phoneticPr fontId="3" type="noConversion"/>
  </si>
  <si>
    <t>工业</t>
    <phoneticPr fontId="32" type="noConversion"/>
  </si>
  <si>
    <t>40-50（含）</t>
  </si>
  <si>
    <t>较好</t>
  </si>
  <si>
    <t>一般</t>
  </si>
  <si>
    <t>七通</t>
  </si>
  <si>
    <t>板楼</t>
  </si>
  <si>
    <t>板楼</t>
    <phoneticPr fontId="32" type="noConversion"/>
  </si>
  <si>
    <t>钢混</t>
    <phoneticPr fontId="32" type="noConversion"/>
  </si>
  <si>
    <t>精装修</t>
  </si>
  <si>
    <t>精装修</t>
    <phoneticPr fontId="32" type="noConversion"/>
  </si>
  <si>
    <t>普通装修</t>
  </si>
  <si>
    <t>普通装修</t>
    <phoneticPr fontId="32" type="noConversion"/>
  </si>
  <si>
    <t>简单装修</t>
  </si>
  <si>
    <t>简单装修</t>
    <phoneticPr fontId="32" type="noConversion"/>
  </si>
  <si>
    <t>毛坯</t>
  </si>
  <si>
    <t>毛坯</t>
    <phoneticPr fontId="32" type="noConversion"/>
  </si>
  <si>
    <t>专业物业管理</t>
  </si>
  <si>
    <t>专业物业管理</t>
    <phoneticPr fontId="32" type="noConversion"/>
  </si>
  <si>
    <t>六通</t>
  </si>
  <si>
    <t>五通</t>
  </si>
  <si>
    <t>四通</t>
  </si>
  <si>
    <t>三通</t>
  </si>
  <si>
    <t>北控宏创大厦</t>
    <phoneticPr fontId="3" type="noConversion"/>
  </si>
  <si>
    <t>租金</t>
  </si>
  <si>
    <t>土地面积</t>
  </si>
  <si>
    <t>生命科技园</t>
    <phoneticPr fontId="3" type="noConversion"/>
  </si>
  <si>
    <t>高于市场租金未使用</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</si>
</sst>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1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64" fillId="17" borderId="0" xfId="0" applyFont="1" applyFill="1" applyBorder="1" applyAlignment="1" applyProtection="1">
      <alignment vertical="center"/>
      <protection locked="0"/>
    </xf>
    <xf numFmtId="0" fontId="190" fillId="17" borderId="151" xfId="0" applyFont="1" applyFill="1" applyBorder="1" applyAlignment="1" applyProtection="1">
      <alignment vertical="center" wrapText="1"/>
      <protection locked="0"/>
    </xf>
    <xf numFmtId="0" fontId="50" fillId="17" borderId="15" xfId="0" applyFont="1" applyFill="1" applyBorder="1" applyAlignment="1" applyProtection="1">
      <alignment horizontal="center" vertical="center" wrapText="1"/>
      <protection locked="0"/>
    </xf>
    <xf numFmtId="0" fontId="50" fillId="17" borderId="74" xfId="0" applyFont="1" applyFill="1" applyBorder="1" applyAlignment="1" applyProtection="1">
      <alignment horizontal="center" vertical="center" wrapText="1"/>
      <protection locked="0"/>
    </xf>
    <xf numFmtId="0" fontId="50" fillId="17" borderId="24" xfId="0" applyFont="1" applyFill="1" applyBorder="1" applyAlignment="1" applyProtection="1">
      <alignment horizontal="center" vertical="center" wrapText="1"/>
      <protection locked="0"/>
    </xf>
    <xf numFmtId="184" fontId="180" fillId="17" borderId="24" xfId="0" applyNumberFormat="1" applyFont="1" applyFill="1" applyBorder="1" applyAlignment="1" applyProtection="1">
      <alignment horizontal="left" vertical="center" shrinkToFit="1"/>
      <protection locked="0"/>
    </xf>
    <xf numFmtId="0" fontId="180" fillId="17" borderId="24" xfId="0" applyFont="1" applyFill="1" applyBorder="1" applyAlignment="1" applyProtection="1">
      <alignment horizontal="left" vertical="center" wrapText="1"/>
      <protection locked="0"/>
    </xf>
    <xf numFmtId="0" fontId="180" fillId="17" borderId="79" xfId="0" applyFont="1" applyFill="1" applyBorder="1" applyAlignment="1" applyProtection="1">
      <alignment horizontal="left" vertical="center" wrapText="1"/>
      <protection locked="0"/>
    </xf>
    <xf numFmtId="0" fontId="64" fillId="17" borderId="78" xfId="0" applyNumberFormat="1"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0" fontId="50" fillId="17" borderId="1" xfId="1" applyNumberFormat="1"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47" fillId="17" borderId="24" xfId="0" applyNumberFormat="1" applyFont="1" applyFill="1" applyBorder="1" applyAlignment="1" applyProtection="1">
      <alignment horizontal="center" vertical="center" wrapText="1"/>
      <protection locked="0"/>
    </xf>
    <xf numFmtId="0" fontId="56" fillId="17" borderId="9" xfId="0" applyFont="1" applyFill="1" applyBorder="1" applyAlignment="1" applyProtection="1">
      <alignment horizontal="center" vertical="center" wrapText="1"/>
      <protection locked="0"/>
    </xf>
    <xf numFmtId="0" fontId="53" fillId="17" borderId="9" xfId="0" applyFont="1" applyFill="1" applyBorder="1" applyAlignment="1" applyProtection="1">
      <alignment horizontal="left" vertical="center" wrapText="1"/>
      <protection locked="0"/>
    </xf>
    <xf numFmtId="0" fontId="57" fillId="17" borderId="5" xfId="1"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0" fillId="17" borderId="5" xfId="0" applyFont="1" applyFill="1" applyBorder="1" applyAlignment="1" applyProtection="1">
      <alignment vertical="center"/>
      <protection locked="0"/>
    </xf>
    <xf numFmtId="0" fontId="99" fillId="0" borderId="0" xfId="0" applyFont="1">
      <alignment vertical="center"/>
    </xf>
    <xf numFmtId="14" fontId="0" fillId="0" borderId="0" xfId="0" applyNumberFormat="1">
      <alignment vertical="center"/>
    </xf>
    <xf numFmtId="9" fontId="0" fillId="0" borderId="0" xfId="0" applyNumberFormat="1">
      <alignment vertical="center"/>
    </xf>
    <xf numFmtId="9" fontId="99" fillId="0" borderId="0" xfId="0" applyNumberFormat="1" applyFont="1">
      <alignment vertical="center"/>
    </xf>
    <xf numFmtId="181" fontId="55" fillId="18" borderId="61" xfId="0" applyNumberFormat="1" applyFont="1" applyFill="1" applyBorder="1" applyAlignment="1" applyProtection="1">
      <alignment horizontal="center" vertical="center"/>
      <protection locked="0"/>
    </xf>
    <xf numFmtId="0" fontId="118" fillId="6" borderId="26" xfId="0" applyFont="1" applyFill="1" applyBorder="1" applyAlignment="1"/>
    <xf numFmtId="184" fontId="254" fillId="0" borderId="67" xfId="0" applyNumberFormat="1" applyFont="1" applyFill="1" applyBorder="1" applyAlignment="1" applyProtection="1">
      <alignment horizontal="center" vertical="center"/>
      <protection locked="0"/>
    </xf>
    <xf numFmtId="0" fontId="118" fillId="0" borderId="0" xfId="0" applyFont="1" applyAlignment="1"/>
    <xf numFmtId="180" fontId="255" fillId="6" borderId="6" xfId="1" applyNumberFormat="1" applyFont="1" applyFill="1" applyBorder="1" applyAlignment="1" applyProtection="1">
      <alignment horizontal="center" vertical="center" wrapText="1"/>
    </xf>
    <xf numFmtId="0" fontId="256" fillId="6" borderId="9" xfId="0" applyFont="1" applyFill="1" applyBorder="1" applyAlignment="1" applyProtection="1">
      <alignment horizontal="center" vertical="center" wrapText="1"/>
    </xf>
    <xf numFmtId="179" fontId="256" fillId="6" borderId="9" xfId="0" applyNumberFormat="1" applyFont="1" applyFill="1" applyBorder="1" applyAlignment="1" applyProtection="1">
      <alignment horizontal="center" vertical="center" wrapText="1"/>
    </xf>
    <xf numFmtId="0" fontId="256" fillId="6" borderId="10" xfId="0" applyFont="1" applyFill="1" applyBorder="1" applyAlignment="1" applyProtection="1">
      <alignment horizontal="center" vertical="center" wrapText="1"/>
    </xf>
    <xf numFmtId="177" fontId="254" fillId="5" borderId="23" xfId="1" applyNumberFormat="1" applyFont="1" applyFill="1" applyBorder="1" applyAlignment="1" applyProtection="1">
      <alignment horizontal="center" vertical="center"/>
      <protection locked="0"/>
    </xf>
    <xf numFmtId="184" fontId="254" fillId="0" borderId="1" xfId="0" applyNumberFormat="1" applyFont="1" applyFill="1" applyBorder="1" applyAlignment="1" applyProtection="1">
      <alignment horizontal="center" vertical="center"/>
      <protection locked="0"/>
    </xf>
    <xf numFmtId="179" fontId="257" fillId="6" borderId="1" xfId="1" applyNumberFormat="1" applyFont="1" applyFill="1" applyBorder="1" applyAlignment="1" applyProtection="1">
      <alignment horizontal="center" vertical="center"/>
    </xf>
    <xf numFmtId="180" fontId="257" fillId="6" borderId="1" xfId="1" applyNumberFormat="1" applyFont="1" applyFill="1" applyBorder="1" applyAlignment="1" applyProtection="1">
      <alignment horizontal="center" vertical="center"/>
    </xf>
    <xf numFmtId="181" fontId="104" fillId="0" borderId="24" xfId="0" applyNumberFormat="1" applyFont="1" applyFill="1" applyBorder="1" applyAlignment="1" applyProtection="1">
      <alignment horizontal="center" vertical="center"/>
      <protection locked="0"/>
    </xf>
    <xf numFmtId="177" fontId="254" fillId="5" borderId="25" xfId="1" applyNumberFormat="1" applyFont="1" applyFill="1" applyBorder="1" applyAlignment="1" applyProtection="1">
      <alignment horizontal="center" vertical="center"/>
      <protection locked="0"/>
    </xf>
    <xf numFmtId="184" fontId="254" fillId="0" borderId="32" xfId="0" applyNumberFormat="1" applyFont="1" applyFill="1" applyBorder="1" applyAlignment="1" applyProtection="1">
      <alignment horizontal="center" vertical="center"/>
      <protection locked="0"/>
    </xf>
    <xf numFmtId="179" fontId="257" fillId="6" borderId="32" xfId="1" applyNumberFormat="1" applyFont="1" applyFill="1" applyBorder="1" applyAlignment="1" applyProtection="1">
      <alignment horizontal="center" vertical="center"/>
    </xf>
    <xf numFmtId="180" fontId="257" fillId="6" borderId="32" xfId="1" applyNumberFormat="1" applyFont="1" applyFill="1" applyBorder="1" applyAlignment="1" applyProtection="1">
      <alignment horizontal="center" vertical="center"/>
    </xf>
    <xf numFmtId="181" fontId="104" fillId="0" borderId="49" xfId="0" applyNumberFormat="1" applyFont="1" applyFill="1" applyBorder="1" applyAlignment="1" applyProtection="1">
      <alignment horizontal="center"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xf numFmtId="0" fontId="55" fillId="18" borderId="1" xfId="0" applyFont="1" applyFill="1" applyBorder="1" applyAlignment="1" applyProtection="1">
      <alignment horizontal="center" vertical="center"/>
      <protection locked="0"/>
    </xf>
    <xf numFmtId="0" fontId="61" fillId="18" borderId="3" xfId="0" applyNumberFormat="1" applyFont="1" applyFill="1" applyBorder="1" applyAlignment="1" applyProtection="1">
      <alignment horizontal="center" vertical="center" wrapText="1"/>
      <protection locked="0"/>
    </xf>
    <xf numFmtId="0" fontId="99" fillId="18" borderId="0" xfId="0" applyFont="1" applyFill="1">
      <alignment vertical="center"/>
    </xf>
    <xf numFmtId="0" fontId="0" fillId="18" borderId="0" xfId="0" applyFill="1">
      <alignment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58</xdr:row>
      <xdr:rowOff>85725</xdr:rowOff>
    </xdr:from>
    <xdr:to>
      <xdr:col>12</xdr:col>
      <xdr:colOff>322782</xdr:colOff>
      <xdr:row>87</xdr:row>
      <xdr:rowOff>8913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0029825"/>
          <a:ext cx="8552382" cy="4895238"/>
        </a:xfrm>
        <a:prstGeom prst="rect">
          <a:avLst/>
        </a:prstGeom>
      </xdr:spPr>
    </xdr:pic>
    <xdr:clientData/>
  </xdr:twoCellAnchor>
  <xdr:twoCellAnchor editAs="oneCell">
    <xdr:from>
      <xdr:col>0</xdr:col>
      <xdr:colOff>0</xdr:colOff>
      <xdr:row>92</xdr:row>
      <xdr:rowOff>104775</xdr:rowOff>
    </xdr:from>
    <xdr:to>
      <xdr:col>13</xdr:col>
      <xdr:colOff>132220</xdr:colOff>
      <xdr:row>118</xdr:row>
      <xdr:rowOff>94694</xdr:rowOff>
    </xdr:to>
    <xdr:pic>
      <xdr:nvPicPr>
        <xdr:cNvPr id="4" name="图片 3"/>
        <xdr:cNvPicPr>
          <a:picLocks noChangeAspect="1"/>
        </xdr:cNvPicPr>
      </xdr:nvPicPr>
      <xdr:blipFill>
        <a:blip xmlns:r="http://schemas.openxmlformats.org/officeDocument/2006/relationships" r:embed="rId2"/>
        <a:stretch>
          <a:fillRect/>
        </a:stretch>
      </xdr:blipFill>
      <xdr:spPr>
        <a:xfrm>
          <a:off x="0" y="15878175"/>
          <a:ext cx="9047620" cy="4447619"/>
        </a:xfrm>
        <a:prstGeom prst="rect">
          <a:avLst/>
        </a:prstGeom>
      </xdr:spPr>
    </xdr:pic>
    <xdr:clientData/>
  </xdr:twoCellAnchor>
  <xdr:twoCellAnchor editAs="oneCell">
    <xdr:from>
      <xdr:col>0</xdr:col>
      <xdr:colOff>0</xdr:colOff>
      <xdr:row>0</xdr:row>
      <xdr:rowOff>0</xdr:rowOff>
    </xdr:from>
    <xdr:to>
      <xdr:col>12</xdr:col>
      <xdr:colOff>170401</xdr:colOff>
      <xdr:row>30</xdr:row>
      <xdr:rowOff>161262</xdr:rowOff>
    </xdr:to>
    <xdr:pic>
      <xdr:nvPicPr>
        <xdr:cNvPr id="5" name="图片 4"/>
        <xdr:cNvPicPr>
          <a:picLocks noChangeAspect="1"/>
        </xdr:cNvPicPr>
      </xdr:nvPicPr>
      <xdr:blipFill>
        <a:blip xmlns:r="http://schemas.openxmlformats.org/officeDocument/2006/relationships" r:embed="rId3"/>
        <a:stretch>
          <a:fillRect/>
        </a:stretch>
      </xdr:blipFill>
      <xdr:spPr>
        <a:xfrm>
          <a:off x="0" y="0"/>
          <a:ext cx="8400001" cy="5304762"/>
        </a:xfrm>
        <a:prstGeom prst="rect">
          <a:avLst/>
        </a:prstGeom>
      </xdr:spPr>
    </xdr:pic>
    <xdr:clientData/>
  </xdr:twoCellAnchor>
  <xdr:twoCellAnchor editAs="oneCell">
    <xdr:from>
      <xdr:col>0</xdr:col>
      <xdr:colOff>0</xdr:colOff>
      <xdr:row>30</xdr:row>
      <xdr:rowOff>57150</xdr:rowOff>
    </xdr:from>
    <xdr:to>
      <xdr:col>12</xdr:col>
      <xdr:colOff>189448</xdr:colOff>
      <xdr:row>59</xdr:row>
      <xdr:rowOff>18434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5200650"/>
          <a:ext cx="8419048" cy="4933334"/>
        </a:xfrm>
        <a:prstGeom prst="rect">
          <a:avLst/>
        </a:prstGeom>
      </xdr:spPr>
    </xdr:pic>
    <xdr:clientData/>
  </xdr:twoCellAnchor>
  <xdr:twoCellAnchor editAs="oneCell">
    <xdr:from>
      <xdr:col>12</xdr:col>
      <xdr:colOff>85725</xdr:colOff>
      <xdr:row>0</xdr:row>
      <xdr:rowOff>0</xdr:rowOff>
    </xdr:from>
    <xdr:to>
      <xdr:col>25</xdr:col>
      <xdr:colOff>122707</xdr:colOff>
      <xdr:row>30</xdr:row>
      <xdr:rowOff>37453</xdr:rowOff>
    </xdr:to>
    <xdr:pic>
      <xdr:nvPicPr>
        <xdr:cNvPr id="7" name="图片 6"/>
        <xdr:cNvPicPr>
          <a:picLocks noChangeAspect="1"/>
        </xdr:cNvPicPr>
      </xdr:nvPicPr>
      <xdr:blipFill>
        <a:blip xmlns:r="http://schemas.openxmlformats.org/officeDocument/2006/relationships" r:embed="rId5"/>
        <a:stretch>
          <a:fillRect/>
        </a:stretch>
      </xdr:blipFill>
      <xdr:spPr>
        <a:xfrm>
          <a:off x="8315325" y="0"/>
          <a:ext cx="8952382" cy="5180953"/>
        </a:xfrm>
        <a:prstGeom prst="rect">
          <a:avLst/>
        </a:prstGeom>
      </xdr:spPr>
    </xdr:pic>
    <xdr:clientData/>
  </xdr:twoCellAnchor>
  <xdr:twoCellAnchor editAs="oneCell">
    <xdr:from>
      <xdr:col>0</xdr:col>
      <xdr:colOff>0</xdr:colOff>
      <xdr:row>120</xdr:row>
      <xdr:rowOff>0</xdr:rowOff>
    </xdr:from>
    <xdr:to>
      <xdr:col>13</xdr:col>
      <xdr:colOff>246505</xdr:colOff>
      <xdr:row>132</xdr:row>
      <xdr:rowOff>37838</xdr:rowOff>
    </xdr:to>
    <xdr:pic>
      <xdr:nvPicPr>
        <xdr:cNvPr id="8" name="图片 7"/>
        <xdr:cNvPicPr>
          <a:picLocks noChangeAspect="1"/>
        </xdr:cNvPicPr>
      </xdr:nvPicPr>
      <xdr:blipFill>
        <a:blip xmlns:r="http://schemas.openxmlformats.org/officeDocument/2006/relationships" r:embed="rId6"/>
        <a:stretch>
          <a:fillRect/>
        </a:stretch>
      </xdr:blipFill>
      <xdr:spPr>
        <a:xfrm>
          <a:off x="0" y="20574000"/>
          <a:ext cx="9161905" cy="2095238"/>
        </a:xfrm>
        <a:prstGeom prst="rect">
          <a:avLst/>
        </a:prstGeom>
      </xdr:spPr>
    </xdr:pic>
    <xdr:clientData/>
  </xdr:twoCellAnchor>
  <xdr:twoCellAnchor editAs="oneCell">
    <xdr:from>
      <xdr:col>0</xdr:col>
      <xdr:colOff>0</xdr:colOff>
      <xdr:row>133</xdr:row>
      <xdr:rowOff>0</xdr:rowOff>
    </xdr:from>
    <xdr:to>
      <xdr:col>13</xdr:col>
      <xdr:colOff>46505</xdr:colOff>
      <xdr:row>142</xdr:row>
      <xdr:rowOff>123617</xdr:rowOff>
    </xdr:to>
    <xdr:pic>
      <xdr:nvPicPr>
        <xdr:cNvPr id="9" name="图片 8"/>
        <xdr:cNvPicPr>
          <a:picLocks noChangeAspect="1"/>
        </xdr:cNvPicPr>
      </xdr:nvPicPr>
      <xdr:blipFill>
        <a:blip xmlns:r="http://schemas.openxmlformats.org/officeDocument/2006/relationships" r:embed="rId7"/>
        <a:stretch>
          <a:fillRect/>
        </a:stretch>
      </xdr:blipFill>
      <xdr:spPr>
        <a:xfrm>
          <a:off x="0" y="22802850"/>
          <a:ext cx="8961905" cy="1666667"/>
        </a:xfrm>
        <a:prstGeom prst="rect">
          <a:avLst/>
        </a:prstGeom>
      </xdr:spPr>
    </xdr:pic>
    <xdr:clientData/>
  </xdr:twoCellAnchor>
  <xdr:twoCellAnchor editAs="oneCell">
    <xdr:from>
      <xdr:col>0</xdr:col>
      <xdr:colOff>0</xdr:colOff>
      <xdr:row>143</xdr:row>
      <xdr:rowOff>0</xdr:rowOff>
    </xdr:from>
    <xdr:to>
      <xdr:col>13</xdr:col>
      <xdr:colOff>313172</xdr:colOff>
      <xdr:row>161</xdr:row>
      <xdr:rowOff>18662</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24517350"/>
          <a:ext cx="9228572" cy="3104762"/>
        </a:xfrm>
        <a:prstGeom prst="rect">
          <a:avLst/>
        </a:prstGeom>
      </xdr:spPr>
    </xdr:pic>
    <xdr:clientData/>
  </xdr:twoCellAnchor>
  <xdr:twoCellAnchor editAs="oneCell">
    <xdr:from>
      <xdr:col>0</xdr:col>
      <xdr:colOff>0</xdr:colOff>
      <xdr:row>162</xdr:row>
      <xdr:rowOff>0</xdr:rowOff>
    </xdr:from>
    <xdr:to>
      <xdr:col>14</xdr:col>
      <xdr:colOff>46420</xdr:colOff>
      <xdr:row>170</xdr:row>
      <xdr:rowOff>18876</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7774900"/>
          <a:ext cx="9647620" cy="1390476"/>
        </a:xfrm>
        <a:prstGeom prst="rect">
          <a:avLst/>
        </a:prstGeom>
      </xdr:spPr>
    </xdr:pic>
    <xdr:clientData/>
  </xdr:twoCellAnchor>
  <xdr:twoCellAnchor editAs="oneCell">
    <xdr:from>
      <xdr:col>0</xdr:col>
      <xdr:colOff>0</xdr:colOff>
      <xdr:row>171</xdr:row>
      <xdr:rowOff>0</xdr:rowOff>
    </xdr:from>
    <xdr:to>
      <xdr:col>13</xdr:col>
      <xdr:colOff>341743</xdr:colOff>
      <xdr:row>179</xdr:row>
      <xdr:rowOff>18876</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9317950"/>
          <a:ext cx="9257143" cy="1390476"/>
        </a:xfrm>
        <a:prstGeom prst="rect">
          <a:avLst/>
        </a:prstGeom>
      </xdr:spPr>
    </xdr:pic>
    <xdr:clientData/>
  </xdr:twoCellAnchor>
  <xdr:twoCellAnchor editAs="oneCell">
    <xdr:from>
      <xdr:col>0</xdr:col>
      <xdr:colOff>0</xdr:colOff>
      <xdr:row>180</xdr:row>
      <xdr:rowOff>0</xdr:rowOff>
    </xdr:from>
    <xdr:to>
      <xdr:col>14</xdr:col>
      <xdr:colOff>27372</xdr:colOff>
      <xdr:row>194</xdr:row>
      <xdr:rowOff>104462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30861000"/>
          <a:ext cx="9628572" cy="25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A25" sqref="A25:G25"/>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北京市昌平区超前路37号院20号楼1至4层101号房地产抵押价值预评估</v>
      </c>
    </row>
    <row r="3" spans="1:2" s="1595" customFormat="1">
      <c r="A3" s="1593" t="s">
        <v>1221</v>
      </c>
      <c r="B3" s="1594" t="str">
        <f>'预评函-封皮'!B40</f>
        <v>北京厦诚科技有限公司</v>
      </c>
    </row>
    <row r="4" spans="1:2" s="1595" customFormat="1">
      <c r="A4" s="1593" t="s">
        <v>1222</v>
      </c>
      <c r="B4" s="1594" t="str">
        <f ca="1">'预评函-封皮'!B46</f>
        <v>欧红伟（注册号：1120000080)、崔锴（注册号：1120100036)</v>
      </c>
    </row>
    <row r="5" spans="1:2" s="1589" customFormat="1" ht="15" thickBot="1">
      <c r="A5" s="1596" t="s">
        <v>1223</v>
      </c>
      <c r="B5" s="1597" t="str">
        <f>'预评函-封皮'!B49</f>
        <v>康正预评字2018-1-0123号</v>
      </c>
    </row>
    <row r="6" spans="1:2" s="1592" customFormat="1" ht="15" thickTop="1">
      <c r="A6" s="1590" t="s">
        <v>1224</v>
      </c>
      <c r="B6" s="1591" t="str">
        <f>'预评函-1'!A4</f>
        <v>受贵公司委托，我公司对北京市昌平区超前路37号院20号楼1至4层101号房地产抵押价值进行了预评估。</v>
      </c>
    </row>
    <row r="7" spans="1:2" s="1595" customFormat="1">
      <c r="A7" s="1593" t="s">
        <v>1264</v>
      </c>
      <c r="B7" s="1594" t="str">
        <f>'预评函-1'!A7</f>
        <v>估价对象为北京市昌平区超前路37号院20号楼1至4层101号房地产，为北京厦诚科技有限公司所有。根据《不动产权证书》，估价对象（分摊）出让国有建设用地使用权面积为0平方米，建筑面积为1246.4平方米。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北京市昌平区超前路37号院20号楼1至4层101号房地产,属北京厦诚科技有限公司开发建设的工业项目，该项目尚在开发建设中。根据《不动产权证书》，估价对象（分摊）出让国有建设用地使用权面积为0平方米，规划建筑面积为1246.4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为估价委托人在向工商银行总行北京分行昌平支行办理贷款手续过程中，确定房地产抵押贷款额度提供参考依据而评估房地产抵押价值。</v>
      </c>
    </row>
    <row r="12" spans="1:2" s="1595" customFormat="1">
      <c r="A12" s="1593" t="s">
        <v>1226</v>
      </c>
      <c r="B12" s="1594" t="str">
        <f>'预评函-1'!A15</f>
        <v>2018年3月6日（评估专业人员实地查勘之日）</v>
      </c>
    </row>
    <row r="13" spans="1:2" s="1595" customFormat="1">
      <c r="A13" s="1593" t="s">
        <v>1227</v>
      </c>
      <c r="B13" s="1594" t="str">
        <f>'预评函-1'!A18</f>
        <v>本次估价的“房地产价值”是指在正常市场情况下，在价值时点2018年3月6日，估价对象规划用途为工业，土地取得方式为出让，出让国有建设用地使用权剩余土地使用年限为工业43.03年，假定未设立法定优先受偿款下的房地产市场价值。</v>
      </c>
    </row>
    <row r="14" spans="1:2" s="1595" customFormat="1">
      <c r="A14" s="1593" t="s">
        <v>1228</v>
      </c>
      <c r="B14" s="1594" t="str">
        <f>'预评函-1'!A19</f>
        <v>其中，“出让国有建设用地使用权价值”是指估价对象用途为工业，实际开发程度为宗地红线外“七通”（即通路、通电、通讯、通上水、通下水、、）、红线内场地平整条件下，剩余土地使用年限为工业43.03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
      </c>
    </row>
    <row r="18" spans="1:2" s="1589" customFormat="1" ht="15" thickBot="1">
      <c r="A18" s="1596" t="s">
        <v>1232</v>
      </c>
      <c r="B18" s="1597" t="str">
        <f>'预评函-1'!A24</f>
        <v>本次评估采用的主估价方法为比较法和收益法。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2064</v>
      </c>
    </row>
    <row r="21" spans="1:2" s="1595" customFormat="1">
      <c r="A21" s="1593" t="s">
        <v>1235</v>
      </c>
      <c r="B21" s="1594">
        <f ca="1">'预评函-2'!D7</f>
        <v>16560</v>
      </c>
    </row>
    <row r="22" spans="1:2" s="1595" customFormat="1">
      <c r="A22" s="1593" t="s">
        <v>1236</v>
      </c>
      <c r="B22" s="1594" t="str">
        <f ca="1">'预评函-2'!D6</f>
        <v>贰仟零陆拾肆万元整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2064</v>
      </c>
    </row>
    <row r="31" spans="1:2" s="1595" customFormat="1">
      <c r="A31" s="1593" t="s">
        <v>1274</v>
      </c>
      <c r="B31" s="1594">
        <f ca="1">'预评函-2'!D15</f>
        <v>16560</v>
      </c>
    </row>
    <row r="32" spans="1:2" s="1595" customFormat="1">
      <c r="A32" s="1593" t="s">
        <v>1241</v>
      </c>
      <c r="B32" s="1594" t="str">
        <f ca="1">'预评函-2'!D14</f>
        <v>贰仟零陆拾肆万元整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北京市昌平区超前路37号院20号楼1至4层101号房地产</v>
      </c>
    </row>
    <row r="42" spans="1:2" s="1595" customFormat="1">
      <c r="A42" s="1593" t="s">
        <v>1288</v>
      </c>
      <c r="B42" s="1594" t="str">
        <f>'预评函-3'!B2</f>
        <v>建筑面积</v>
      </c>
    </row>
    <row r="43" spans="1:2" s="1595" customFormat="1">
      <c r="A43" s="1593" t="s">
        <v>1289</v>
      </c>
      <c r="B43" s="1594">
        <f>'预评函-3'!B4</f>
        <v>1246.4000000000001</v>
      </c>
    </row>
    <row r="44" spans="1:2" s="1595" customFormat="1">
      <c r="A44" s="1593" t="s">
        <v>1273</v>
      </c>
      <c r="B44" s="1594" t="str">
        <f>'预评函-3'!C2</f>
        <v>(分摊)土地面积</v>
      </c>
    </row>
    <row r="45" spans="1:2" s="1595" customFormat="1">
      <c r="A45" s="1593" t="s">
        <v>1245</v>
      </c>
      <c r="B45" s="1594">
        <f>'预评函-3'!C4</f>
        <v>0</v>
      </c>
    </row>
    <row r="46" spans="1:2" s="1595" customFormat="1">
      <c r="A46" s="1593" t="s">
        <v>1271</v>
      </c>
      <c r="B46" s="1594" t="str">
        <f>'预评函-3'!D2</f>
        <v>出让国有建设用地使用权价值</v>
      </c>
    </row>
    <row r="47" spans="1:2" s="1595" customFormat="1">
      <c r="A47" s="1593" t="s">
        <v>1246</v>
      </c>
      <c r="B47" s="1594" t="e">
        <f ca="1">'预评函-3'!D4</f>
        <v>#REF!</v>
      </c>
    </row>
    <row r="48" spans="1:2" s="1595" customFormat="1">
      <c r="A48" s="1593" t="s">
        <v>1247</v>
      </c>
      <c r="B48" s="1594" t="e">
        <f ca="1">'预评函-3'!E4</f>
        <v>#REF!</v>
      </c>
    </row>
    <row r="49" spans="1:2" s="1595" customFormat="1">
      <c r="A49" s="1593" t="s">
        <v>1248</v>
      </c>
      <c r="B49" s="1594" t="e">
        <f ca="1">'预评函-3'!D5</f>
        <v>#REF!</v>
      </c>
    </row>
    <row r="50" spans="1:2" s="1595" customFormat="1">
      <c r="A50" s="1593" t="s">
        <v>1272</v>
      </c>
      <c r="B50" s="1594" t="str">
        <f>'预评函-3'!F2</f>
        <v>在建建筑物价值</v>
      </c>
    </row>
    <row r="51" spans="1:2" s="1595" customFormat="1">
      <c r="A51" s="1593" t="s">
        <v>1249</v>
      </c>
      <c r="B51" s="1594" t="e">
        <f ca="1">'预评函-3'!F4</f>
        <v>#REF!</v>
      </c>
    </row>
    <row r="52" spans="1:2" s="1595" customFormat="1">
      <c r="A52" s="1593" t="s">
        <v>1250</v>
      </c>
      <c r="B52" s="1594" t="e">
        <f ca="1">'预评函-3'!G4</f>
        <v>#REF!</v>
      </c>
    </row>
    <row r="53" spans="1:2" s="1595" customFormat="1">
      <c r="A53" s="1593" t="s">
        <v>1278</v>
      </c>
      <c r="B53" s="1594" t="e">
        <f ca="1">'预评函-3'!F5</f>
        <v>#REF!</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（1）根据估价对象《不动产权证书》原件、，截至价值时点，估价对象抵押权未见登记。</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欧红伟</v>
      </c>
    </row>
    <row r="71" spans="1:2">
      <c r="A71" s="1593" t="s">
        <v>1261</v>
      </c>
      <c r="B71" s="1594">
        <f ca="1">'预评函-4'!B4</f>
        <v>1120000080</v>
      </c>
    </row>
    <row r="72" spans="1:2">
      <c r="A72" s="1593" t="s">
        <v>1262</v>
      </c>
      <c r="B72" s="1602" t="str">
        <f>'预评函-4'!A5</f>
        <v>崔锴</v>
      </c>
    </row>
    <row r="73" spans="1:2" s="1589" customFormat="1" ht="15" thickBot="1">
      <c r="A73" s="1596" t="s">
        <v>1263</v>
      </c>
      <c r="B73" s="1597">
        <f ca="1">'预评函-4'!B5</f>
        <v>1120100036</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0" sqref="B30"/>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1690</v>
      </c>
      <c r="C1" s="2011" t="s">
        <v>759</v>
      </c>
      <c r="D1" s="2012" t="s">
        <v>1691</v>
      </c>
      <c r="E1" s="2012" t="s">
        <v>1692</v>
      </c>
      <c r="F1" s="2012" t="s">
        <v>1693</v>
      </c>
      <c r="G1" s="2012" t="s">
        <v>1694</v>
      </c>
      <c r="H1" s="2012" t="s">
        <v>1695</v>
      </c>
      <c r="I1" s="2012" t="s">
        <v>1696</v>
      </c>
      <c r="J1" s="2012" t="s">
        <v>1697</v>
      </c>
      <c r="K1" s="2012" t="s">
        <v>1698</v>
      </c>
      <c r="L1" s="2012" t="s">
        <v>1699</v>
      </c>
      <c r="M1" s="2012" t="s">
        <v>1700</v>
      </c>
      <c r="N1" s="2012" t="s">
        <v>1701</v>
      </c>
      <c r="O1" s="2012" t="s">
        <v>1702</v>
      </c>
      <c r="P1" s="2013" t="s">
        <v>753</v>
      </c>
      <c r="Q1" s="2013" t="s">
        <v>1144</v>
      </c>
      <c r="R1" s="2012" t="s">
        <v>1138</v>
      </c>
      <c r="S1" s="2012" t="s">
        <v>1703</v>
      </c>
      <c r="T1" s="2014" t="s">
        <v>1704</v>
      </c>
      <c r="U1" s="2012" t="s">
        <v>1705</v>
      </c>
      <c r="V1" s="2012" t="s">
        <v>1706</v>
      </c>
      <c r="W1" s="2012" t="s">
        <v>755</v>
      </c>
    </row>
    <row r="2" spans="1:23">
      <c r="A2" s="2016" t="s">
        <v>22</v>
      </c>
      <c r="B2" s="2016" t="s">
        <v>1707</v>
      </c>
      <c r="C2" s="2017" t="s">
        <v>760</v>
      </c>
      <c r="D2" s="2018" t="s">
        <v>1708</v>
      </c>
      <c r="E2" s="2018" t="s">
        <v>1709</v>
      </c>
      <c r="F2" s="2018" t="s">
        <v>1710</v>
      </c>
      <c r="G2" s="2018">
        <v>40</v>
      </c>
      <c r="H2" s="2018" t="s">
        <v>1710</v>
      </c>
      <c r="I2" s="2018" t="s">
        <v>1711</v>
      </c>
      <c r="J2" s="2018" t="s">
        <v>1712</v>
      </c>
      <c r="K2" s="2018" t="s">
        <v>1713</v>
      </c>
      <c r="L2" s="2018" t="s">
        <v>1713</v>
      </c>
      <c r="M2" s="2018" t="s">
        <v>1713</v>
      </c>
      <c r="N2" s="2018" t="s">
        <v>1713</v>
      </c>
      <c r="O2" s="2018" t="s">
        <v>1713</v>
      </c>
      <c r="P2" s="2018" t="s">
        <v>1713</v>
      </c>
      <c r="Q2" s="2018" t="s">
        <v>1713</v>
      </c>
      <c r="R2" s="2018" t="s">
        <v>1140</v>
      </c>
      <c r="S2" s="2018" t="s">
        <v>1713</v>
      </c>
      <c r="T2" s="2018" t="s">
        <v>1714</v>
      </c>
      <c r="U2" s="2018" t="s">
        <v>1713</v>
      </c>
      <c r="V2" s="2018" t="s">
        <v>1715</v>
      </c>
      <c r="W2" s="2018" t="s">
        <v>1713</v>
      </c>
    </row>
    <row r="3" spans="1:23">
      <c r="A3" s="2016" t="s">
        <v>1716</v>
      </c>
      <c r="B3" s="2019" t="s">
        <v>1145</v>
      </c>
      <c r="C3" s="2020" t="s">
        <v>761</v>
      </c>
      <c r="D3" s="2018" t="s">
        <v>1717</v>
      </c>
      <c r="E3" s="2018" t="s">
        <v>16</v>
      </c>
      <c r="F3" s="2018" t="s">
        <v>1718</v>
      </c>
      <c r="G3" s="2018">
        <v>50</v>
      </c>
      <c r="H3" s="2018" t="s">
        <v>1718</v>
      </c>
      <c r="I3" s="2018" t="s">
        <v>1719</v>
      </c>
      <c r="J3" s="2018" t="s">
        <v>1720</v>
      </c>
      <c r="K3" s="2018" t="s">
        <v>1721</v>
      </c>
      <c r="L3" s="2018" t="s">
        <v>1721</v>
      </c>
      <c r="M3" s="2018" t="s">
        <v>1721</v>
      </c>
      <c r="N3" s="2018" t="s">
        <v>1721</v>
      </c>
      <c r="O3" s="2018" t="s">
        <v>1721</v>
      </c>
      <c r="P3" s="2018" t="s">
        <v>1721</v>
      </c>
      <c r="Q3" s="2018" t="s">
        <v>1721</v>
      </c>
      <c r="R3" s="2018" t="s">
        <v>1139</v>
      </c>
      <c r="S3" s="2018" t="s">
        <v>1721</v>
      </c>
      <c r="T3" s="2018" t="s">
        <v>1722</v>
      </c>
      <c r="U3" s="2018" t="s">
        <v>1721</v>
      </c>
      <c r="V3" s="2018" t="s">
        <v>1723</v>
      </c>
      <c r="W3" s="2018" t="s">
        <v>1721</v>
      </c>
    </row>
    <row r="4" spans="1:23">
      <c r="A4" s="2016" t="s">
        <v>1724</v>
      </c>
      <c r="B4" s="2016" t="s">
        <v>1725</v>
      </c>
      <c r="C4" s="2017" t="s">
        <v>762</v>
      </c>
      <c r="D4" s="2018" t="s">
        <v>868</v>
      </c>
      <c r="E4" s="2018" t="s">
        <v>1726</v>
      </c>
      <c r="F4" s="2018" t="s">
        <v>1727</v>
      </c>
      <c r="G4" s="2018">
        <v>70</v>
      </c>
      <c r="H4" s="2018" t="s">
        <v>1727</v>
      </c>
      <c r="I4" s="2018" t="s">
        <v>1728</v>
      </c>
      <c r="K4" s="2018" t="s">
        <v>1729</v>
      </c>
      <c r="L4" s="2018" t="s">
        <v>1729</v>
      </c>
      <c r="M4" s="2018" t="s">
        <v>1729</v>
      </c>
      <c r="N4" s="2018" t="s">
        <v>1729</v>
      </c>
      <c r="O4" s="2018" t="s">
        <v>1729</v>
      </c>
      <c r="P4" s="2018" t="s">
        <v>1729</v>
      </c>
      <c r="Q4" s="2018" t="s">
        <v>1729</v>
      </c>
      <c r="R4" s="2018" t="s">
        <v>1141</v>
      </c>
      <c r="S4" s="2018" t="s">
        <v>1729</v>
      </c>
      <c r="T4" s="2018" t="s">
        <v>1730</v>
      </c>
      <c r="U4" s="2018" t="s">
        <v>1729</v>
      </c>
      <c r="W4" s="2018" t="s">
        <v>1729</v>
      </c>
    </row>
    <row r="5" spans="1:23">
      <c r="A5" s="2016" t="s">
        <v>1731</v>
      </c>
      <c r="B5" s="2016" t="s">
        <v>1732</v>
      </c>
      <c r="C5" s="2017" t="s">
        <v>763</v>
      </c>
      <c r="F5" s="2018" t="s">
        <v>1733</v>
      </c>
      <c r="H5" s="2018" t="s">
        <v>1734</v>
      </c>
      <c r="I5" s="2018" t="s">
        <v>1735</v>
      </c>
      <c r="K5" s="2018" t="s">
        <v>1736</v>
      </c>
      <c r="L5" s="2018" t="s">
        <v>1736</v>
      </c>
      <c r="M5" s="2018" t="s">
        <v>1736</v>
      </c>
      <c r="N5" s="2018" t="s">
        <v>1736</v>
      </c>
      <c r="O5" s="2018" t="s">
        <v>1736</v>
      </c>
      <c r="P5" s="2018" t="s">
        <v>1736</v>
      </c>
      <c r="Q5" s="2018" t="s">
        <v>1736</v>
      </c>
      <c r="R5" s="2018" t="s">
        <v>1142</v>
      </c>
      <c r="S5" s="2018" t="s">
        <v>1736</v>
      </c>
      <c r="T5" s="2018" t="s">
        <v>1737</v>
      </c>
      <c r="U5" s="2018" t="s">
        <v>1736</v>
      </c>
      <c r="W5" s="2018" t="s">
        <v>1736</v>
      </c>
    </row>
    <row r="6" spans="1:23">
      <c r="A6" s="2016" t="s">
        <v>1738</v>
      </c>
      <c r="B6" s="2019" t="s">
        <v>1146</v>
      </c>
      <c r="C6" s="2022" t="s">
        <v>30</v>
      </c>
      <c r="F6" s="2018" t="s">
        <v>1734</v>
      </c>
      <c r="H6" s="2018" t="s">
        <v>1739</v>
      </c>
      <c r="I6" s="2018" t="s">
        <v>1740</v>
      </c>
      <c r="K6" s="2018" t="s">
        <v>1741</v>
      </c>
      <c r="L6" s="2018" t="s">
        <v>1741</v>
      </c>
      <c r="M6" s="2018" t="s">
        <v>1741</v>
      </c>
      <c r="N6" s="2018" t="s">
        <v>1741</v>
      </c>
      <c r="O6" s="2018" t="s">
        <v>1741</v>
      </c>
      <c r="P6" s="2018" t="s">
        <v>1741</v>
      </c>
      <c r="Q6" s="2018" t="s">
        <v>1741</v>
      </c>
      <c r="R6" s="2018" t="s">
        <v>1143</v>
      </c>
      <c r="S6" s="2018" t="s">
        <v>1741</v>
      </c>
      <c r="T6" s="2018"/>
      <c r="U6" s="2018" t="s">
        <v>1741</v>
      </c>
      <c r="W6" s="2018" t="s">
        <v>1741</v>
      </c>
    </row>
    <row r="7" spans="1:23">
      <c r="A7" s="2016" t="s">
        <v>1742</v>
      </c>
      <c r="B7" s="2019" t="s">
        <v>1147</v>
      </c>
      <c r="C7" s="2017" t="s">
        <v>31</v>
      </c>
      <c r="F7" s="2018" t="s">
        <v>1743</v>
      </c>
      <c r="H7" s="2018" t="s">
        <v>1744</v>
      </c>
      <c r="I7" s="2018" t="s">
        <v>1745</v>
      </c>
    </row>
    <row r="8" spans="1:23">
      <c r="A8" s="2016" t="s">
        <v>1746</v>
      </c>
      <c r="B8" s="2016" t="s">
        <v>1747</v>
      </c>
      <c r="C8" s="2017" t="s">
        <v>764</v>
      </c>
      <c r="F8" s="2018" t="s">
        <v>1748</v>
      </c>
      <c r="H8" s="2018"/>
      <c r="I8" s="2018" t="s">
        <v>1749</v>
      </c>
    </row>
    <row r="9" spans="1:23">
      <c r="A9" s="2016" t="s">
        <v>1750</v>
      </c>
      <c r="B9" s="2016" t="s">
        <v>1751</v>
      </c>
      <c r="C9" s="2017" t="s">
        <v>765</v>
      </c>
      <c r="F9" s="2018" t="s">
        <v>1752</v>
      </c>
      <c r="H9" s="2018"/>
    </row>
    <row r="10" spans="1:23">
      <c r="A10" s="2016" t="s">
        <v>1753</v>
      </c>
      <c r="B10" s="2016" t="s">
        <v>1754</v>
      </c>
      <c r="C10" s="2017" t="s">
        <v>766</v>
      </c>
      <c r="F10" s="2018" t="s">
        <v>16</v>
      </c>
    </row>
    <row r="11" spans="1:23">
      <c r="A11" s="2016" t="s">
        <v>1755</v>
      </c>
      <c r="B11" s="2016" t="s">
        <v>1756</v>
      </c>
      <c r="C11" s="2017" t="s">
        <v>767</v>
      </c>
    </row>
    <row r="12" spans="1:23">
      <c r="A12" s="2016" t="s">
        <v>1757</v>
      </c>
      <c r="B12" s="2016" t="s">
        <v>1758</v>
      </c>
      <c r="C12" s="2017" t="s">
        <v>768</v>
      </c>
    </row>
    <row r="13" spans="1:23">
      <c r="A13" s="2016" t="s">
        <v>1759</v>
      </c>
      <c r="B13" s="2016" t="s">
        <v>1760</v>
      </c>
      <c r="C13" s="2017" t="s">
        <v>769</v>
      </c>
    </row>
    <row r="14" spans="1:23">
      <c r="A14" s="2016" t="s">
        <v>1761</v>
      </c>
      <c r="B14" s="2016" t="s">
        <v>1762</v>
      </c>
      <c r="C14" s="2018" t="s">
        <v>16</v>
      </c>
    </row>
    <row r="15" spans="1:23">
      <c r="A15" s="2016" t="s">
        <v>1763</v>
      </c>
      <c r="B15" s="2016" t="s">
        <v>1764</v>
      </c>
      <c r="C15" s="2017"/>
    </row>
    <row r="16" spans="1:23">
      <c r="A16" s="2016" t="s">
        <v>1765</v>
      </c>
      <c r="B16" s="2016" t="s">
        <v>756</v>
      </c>
      <c r="C16" s="2017"/>
    </row>
    <row r="17" spans="1:3">
      <c r="A17" s="2016" t="s">
        <v>1766</v>
      </c>
      <c r="B17" s="2016" t="s">
        <v>757</v>
      </c>
      <c r="C17" s="2017"/>
    </row>
    <row r="18" spans="1:3">
      <c r="A18" s="2016" t="s">
        <v>1767</v>
      </c>
      <c r="B18" s="2016" t="s">
        <v>757</v>
      </c>
      <c r="C18" s="2017"/>
    </row>
    <row r="19" spans="1:3">
      <c r="A19" s="2016" t="s">
        <v>1768</v>
      </c>
      <c r="B19" s="2016" t="s">
        <v>757</v>
      </c>
      <c r="C19" s="2017"/>
    </row>
    <row r="20" spans="1:3">
      <c r="A20" s="2016" t="s">
        <v>1769</v>
      </c>
      <c r="B20" s="2016" t="s">
        <v>757</v>
      </c>
      <c r="C20" s="2017"/>
    </row>
    <row r="21" spans="1:3">
      <c r="A21" s="2016" t="s">
        <v>1770</v>
      </c>
      <c r="B21" s="2016" t="s">
        <v>757</v>
      </c>
      <c r="C21" s="2017"/>
    </row>
    <row r="22" spans="1:3">
      <c r="A22" s="2016" t="s">
        <v>1771</v>
      </c>
      <c r="B22" s="2016" t="s">
        <v>757</v>
      </c>
      <c r="C22" s="2017"/>
    </row>
    <row r="23" spans="1:3">
      <c r="A23" s="2016" t="s">
        <v>1772</v>
      </c>
      <c r="B23" s="2016" t="s">
        <v>757</v>
      </c>
      <c r="C23" s="2017"/>
    </row>
    <row r="24" spans="1:3">
      <c r="A24" s="2016" t="s">
        <v>1773</v>
      </c>
      <c r="B24" s="2016" t="s">
        <v>757</v>
      </c>
      <c r="C24" s="2017"/>
    </row>
    <row r="25" spans="1:3">
      <c r="A25" s="2016" t="s">
        <v>1774</v>
      </c>
      <c r="B25" s="2016" t="s">
        <v>757</v>
      </c>
      <c r="C25" s="2017"/>
    </row>
    <row r="26" spans="1:3">
      <c r="A26" s="2016" t="s">
        <v>1775</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为估价委托人在向工商银行总行北京分行昌平支行办理贷款手续过程中，确定房地产抵押贷款额度提供参考依据而评估房地产抵押价值。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厦诚科技有限公司拟使用北京市昌平区超前路37号院20号楼1至4层101号房地产作为抵押担保物，向工商银行总行北京分行昌平支行办理贷款手续。工商银行总行北京分行昌平支行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04"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6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04"/>
      <c r="B54" s="2024" t="s">
        <v>864</v>
      </c>
      <c r="C54" s="2021" t="s">
        <v>1281</v>
      </c>
    </row>
    <row r="55" spans="1:4">
      <c r="A55" s="3004"/>
      <c r="B55" s="2024" t="s">
        <v>865</v>
      </c>
      <c r="C55" s="2021" t="s">
        <v>1282</v>
      </c>
    </row>
    <row r="56" spans="1:4">
      <c r="A56" s="3004"/>
      <c r="B56" s="2024" t="s">
        <v>866</v>
      </c>
      <c r="C56" s="2021" t="s">
        <v>1286</v>
      </c>
    </row>
    <row r="57" spans="1:4">
      <c r="A57" s="3004"/>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29" sqref="C29"/>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55" customWidth="1"/>
    <col min="10" max="10" width="10" style="2034" customWidth="1"/>
    <col min="11" max="11" width="10" style="2156" customWidth="1"/>
    <col min="12" max="13" width="10" style="2157" customWidth="1"/>
    <col min="14" max="14" width="10" style="2034" customWidth="1"/>
    <col min="15" max="15" width="10" style="2155" customWidth="1"/>
    <col min="16" max="17" width="10" style="2034"/>
    <col min="18" max="18" width="10" style="2034" customWidth="1"/>
    <col min="19" max="16384" width="10" style="2034"/>
  </cols>
  <sheetData>
    <row r="1" spans="1:19" ht="38.25" customHeight="1" thickBot="1">
      <c r="A1" s="2027" t="s">
        <v>1776</v>
      </c>
      <c r="B1" s="3005" t="str">
        <f>IF(B10="北京市","北京市",C10)&amp;F10&amp;IF(结果表!G1="在建","出让国有建设用地使用权及在建建筑物",IF(结果表!G1="土地","出让国有建设用地使用权",))&amp;B9&amp;"预评估"</f>
        <v>北京市昌平区超前路37号院20号楼1至4层101号房地产抵押价值预评估</v>
      </c>
      <c r="C1" s="3006"/>
      <c r="D1" s="3006"/>
      <c r="E1" s="3006"/>
      <c r="F1" s="3006"/>
      <c r="G1" s="3006"/>
      <c r="H1" s="3006"/>
      <c r="I1" s="3007"/>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北京市昌平区超前路37号院20号楼1至4层101号房地产抵押价值</v>
      </c>
    </row>
    <row r="2" spans="1:19" ht="18" customHeight="1">
      <c r="A2" s="2028" t="s">
        <v>1777</v>
      </c>
      <c r="B2" s="2941" t="s">
        <v>3080</v>
      </c>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北京市昌平区超前路37号院20号楼1至4层101号房地产</v>
      </c>
    </row>
    <row r="3" spans="1:19" ht="18" customHeight="1">
      <c r="A3" s="2037" t="s">
        <v>1778</v>
      </c>
      <c r="B3" s="2038">
        <v>43165</v>
      </c>
      <c r="C3" s="2039" t="s">
        <v>1779</v>
      </c>
      <c r="D3" s="2038">
        <f>B3</f>
        <v>43165</v>
      </c>
      <c r="E3" s="2028"/>
      <c r="F3" s="2028"/>
      <c r="G3" s="2028"/>
      <c r="H3" s="2028"/>
      <c r="I3" s="2028"/>
      <c r="J3" s="2028"/>
      <c r="K3" s="2029"/>
      <c r="L3" s="2030"/>
      <c r="M3" s="2030"/>
      <c r="N3" s="2031"/>
      <c r="O3" s="2032"/>
      <c r="P3" s="2031"/>
      <c r="Q3" s="2031"/>
      <c r="R3" s="2031"/>
      <c r="S3" s="2033"/>
    </row>
    <row r="4" spans="1:19" ht="18" customHeight="1" thickBot="1">
      <c r="A4" s="2040" t="s">
        <v>1780</v>
      </c>
      <c r="B4" s="2041" t="s">
        <v>3032</v>
      </c>
      <c r="C4" s="1040">
        <f ca="1">SUMIF(注册房地产估价师,B4,估价师及机构信息!B3:B24)</f>
        <v>1120000080</v>
      </c>
      <c r="D4" s="2041" t="s">
        <v>3033</v>
      </c>
      <c r="E4" s="1041">
        <f ca="1">SUMIF(注册房地产估价师,D4,估价师及机构信息!B3:B24)</f>
        <v>1120100036</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欧红伟（注册号：1120000080)、崔锴（注册号：1120100036)</v>
      </c>
      <c r="L4" s="2030"/>
      <c r="M4" s="2030"/>
      <c r="N4" s="2031"/>
      <c r="O4" s="2032"/>
      <c r="P4" s="2031"/>
      <c r="Q4" s="2031"/>
      <c r="R4" s="2031"/>
      <c r="S4" s="2033"/>
    </row>
    <row r="5" spans="1:19" ht="18" customHeight="1" thickTop="1">
      <c r="A5" s="2046" t="s">
        <v>1781</v>
      </c>
      <c r="B5" s="2942" t="s">
        <v>3034</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1782</v>
      </c>
      <c r="B6" s="3283" t="s">
        <v>3081</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c r="A7" s="2049" t="s">
        <v>1783</v>
      </c>
      <c r="B7" s="2053" t="str">
        <f>B5</f>
        <v>北京厦诚科技有限公司</v>
      </c>
      <c r="C7" s="2050"/>
      <c r="D7" s="2051"/>
      <c r="E7" s="2036"/>
      <c r="F7" s="2044"/>
      <c r="G7" s="2044"/>
      <c r="H7" s="2044"/>
      <c r="I7" s="2044"/>
      <c r="J7" s="2044"/>
      <c r="K7" s="2054"/>
      <c r="L7" s="2030"/>
      <c r="M7" s="2030"/>
      <c r="N7" s="2031"/>
      <c r="O7" s="2032"/>
      <c r="P7" s="2031"/>
      <c r="Q7" s="2031"/>
      <c r="R7" s="2031"/>
    </row>
    <row r="8" spans="1:19" ht="18" customHeight="1">
      <c r="A8" s="2049" t="s">
        <v>1784</v>
      </c>
      <c r="B8" s="2055" t="s">
        <v>3035</v>
      </c>
      <c r="C8" s="2056"/>
      <c r="D8" s="3008" t="s">
        <v>1785</v>
      </c>
      <c r="E8" s="2057" t="s">
        <v>3036</v>
      </c>
      <c r="F8" s="2058"/>
      <c r="G8" s="2028"/>
      <c r="H8" s="2028"/>
      <c r="I8" s="2028"/>
      <c r="J8" s="2044"/>
      <c r="K8" s="2045"/>
      <c r="L8" s="2030"/>
      <c r="M8" s="2030"/>
      <c r="N8" s="2031"/>
      <c r="O8" s="2032"/>
      <c r="P8" s="2031"/>
      <c r="Q8" s="2031"/>
      <c r="R8" s="2031"/>
    </row>
    <row r="9" spans="1:19" ht="18" customHeight="1" thickBot="1">
      <c r="A9" s="2042" t="s">
        <v>1786</v>
      </c>
      <c r="B9" s="2059" t="s">
        <v>3036</v>
      </c>
      <c r="C9" s="2060"/>
      <c r="D9" s="3009"/>
      <c r="E9" s="2059" t="s">
        <v>70</v>
      </c>
      <c r="F9" s="2061"/>
      <c r="G9" s="2062"/>
      <c r="H9" s="2062"/>
      <c r="I9" s="2062"/>
      <c r="J9" s="2044"/>
      <c r="K9" s="2054"/>
      <c r="L9" s="2030"/>
      <c r="M9" s="2030"/>
      <c r="N9" s="2031"/>
      <c r="O9" s="2032"/>
      <c r="P9" s="2031"/>
      <c r="Q9" s="2031"/>
      <c r="R9" s="2031"/>
    </row>
    <row r="10" spans="1:19" ht="18" customHeight="1" thickTop="1">
      <c r="A10" s="2063" t="s">
        <v>1787</v>
      </c>
      <c r="B10" s="2064" t="s">
        <v>3037</v>
      </c>
      <c r="C10" s="2065"/>
      <c r="D10" s="2048"/>
      <c r="E10" s="2066" t="s">
        <v>1788</v>
      </c>
      <c r="F10" s="2067" t="s">
        <v>3038</v>
      </c>
      <c r="G10" s="2068"/>
      <c r="H10" s="2069"/>
      <c r="I10" s="2048"/>
      <c r="J10" s="2044"/>
      <c r="K10" s="2054"/>
      <c r="L10" s="2030"/>
      <c r="M10" s="2030"/>
      <c r="N10" s="2031"/>
      <c r="O10" s="2032"/>
      <c r="P10" s="2031"/>
      <c r="Q10" s="2031"/>
      <c r="R10" s="2031"/>
    </row>
    <row r="11" spans="1:19" ht="18" customHeight="1">
      <c r="A11" s="2070" t="s">
        <v>1789</v>
      </c>
      <c r="B11" s="2071" t="s">
        <v>3039</v>
      </c>
      <c r="C11" s="2072" t="str">
        <f>B5</f>
        <v>北京厦诚科技有限公司</v>
      </c>
      <c r="D11" s="2073"/>
      <c r="E11" s="2044"/>
      <c r="F11" s="2044"/>
      <c r="G11" s="2044"/>
      <c r="H11" s="2044"/>
      <c r="I11" s="2044"/>
      <c r="J11" s="2044"/>
      <c r="K11" s="2054"/>
      <c r="L11" s="2030"/>
      <c r="M11" s="2030"/>
      <c r="N11" s="2031"/>
      <c r="O11" s="2032"/>
      <c r="P11" s="2031"/>
      <c r="Q11" s="2031"/>
      <c r="R11" s="2031"/>
    </row>
    <row r="12" spans="1:19" ht="18" customHeight="1">
      <c r="A12" s="2074" t="s">
        <v>1790</v>
      </c>
      <c r="B12" s="2071" t="s">
        <v>3040</v>
      </c>
      <c r="C12" s="2075" t="s">
        <v>1791</v>
      </c>
      <c r="D12" s="2076" t="s">
        <v>1792</v>
      </c>
      <c r="E12" s="2076" t="s">
        <v>1793</v>
      </c>
      <c r="F12" s="2076" t="s">
        <v>1794</v>
      </c>
      <c r="G12" s="2076" t="s">
        <v>1795</v>
      </c>
      <c r="H12" s="2076" t="s">
        <v>1796</v>
      </c>
      <c r="I12" s="2076" t="s">
        <v>1797</v>
      </c>
      <c r="J12" s="2044"/>
      <c r="K12" s="2054"/>
      <c r="L12" s="2030"/>
      <c r="M12" s="2030"/>
      <c r="N12" s="2031"/>
      <c r="O12" s="2032"/>
      <c r="P12" s="2031"/>
      <c r="Q12" s="2031"/>
      <c r="R12" s="2031"/>
    </row>
    <row r="13" spans="1:19" ht="18" customHeight="1">
      <c r="A13" s="2077"/>
      <c r="B13" s="2078"/>
      <c r="C13" s="2079" t="s">
        <v>1798</v>
      </c>
      <c r="D13" s="2080"/>
      <c r="E13" s="2080"/>
      <c r="F13" s="2080"/>
      <c r="G13" s="2080"/>
      <c r="H13" s="2080"/>
      <c r="I13" s="1049">
        <v>58872</v>
      </c>
      <c r="J13" s="2044"/>
      <c r="K13" s="2054"/>
      <c r="L13" s="2030"/>
      <c r="M13" s="2030"/>
      <c r="N13" s="2031"/>
      <c r="O13" s="2032"/>
      <c r="P13" s="2031"/>
      <c r="Q13" s="2031"/>
      <c r="R13" s="2031"/>
    </row>
    <row r="14" spans="1:19" ht="18" customHeight="1">
      <c r="A14" s="2077"/>
      <c r="B14" s="2078"/>
      <c r="C14" s="2079" t="s">
        <v>1799</v>
      </c>
      <c r="D14" s="1052"/>
      <c r="E14" s="1052"/>
      <c r="F14" s="1052"/>
      <c r="G14" s="1052"/>
      <c r="H14" s="1052"/>
      <c r="I14" s="1052">
        <v>50</v>
      </c>
      <c r="J14" s="2044"/>
      <c r="K14" s="2081"/>
      <c r="L14" s="2030"/>
      <c r="M14" s="2030"/>
      <c r="N14" s="2031"/>
      <c r="O14" s="2032"/>
      <c r="P14" s="2031"/>
      <c r="Q14" s="2031"/>
      <c r="R14" s="2031"/>
    </row>
    <row r="15" spans="1:19" ht="18" customHeight="1">
      <c r="A15" s="2063"/>
      <c r="B15" s="2082"/>
      <c r="C15" s="2079" t="s">
        <v>1800</v>
      </c>
      <c r="D15" s="1051" t="str">
        <f>IF(B12="出让",IF(D13="","",ROUNDDOWN(MIN((D13-$D$3)/365,D14),2)),D14)</f>
        <v/>
      </c>
      <c r="E15" s="1051" t="str">
        <f>IF(B12="出让",IF(E13="","",ROUNDDOWN(MIN((E13-$D$3)/365,E14),2)),E14)</f>
        <v/>
      </c>
      <c r="F15" s="1051" t="str">
        <f>IF(B12="出让",IF(F13="","",ROUNDDOWN(MIN((F13-$D$3)/365,F14),2)),F14)</f>
        <v/>
      </c>
      <c r="G15" s="1051" t="str">
        <f>IF(B12="出让",IF(G13="","",ROUNDDOWN(MIN((G13-$D$3)/365,G14),2)),G14)</f>
        <v/>
      </c>
      <c r="H15" s="1051" t="str">
        <f>IF(B12="出让",IF(H13="","",ROUNDDOWN(MIN((H13-$D$3)/365,H14),2)),H14)</f>
        <v/>
      </c>
      <c r="I15" s="1051">
        <f>IF(B12="出让",IF(I13="","",ROUNDDOWN(MIN((I13-$D$3)/365,I14),2)),I14)</f>
        <v>43.03</v>
      </c>
      <c r="J15" s="2044"/>
      <c r="K15" s="2083"/>
      <c r="L15" s="2084"/>
      <c r="M15" s="2084"/>
      <c r="N15" s="2085"/>
      <c r="O15" s="2084"/>
      <c r="P15" s="2085"/>
      <c r="Q15" s="2031"/>
      <c r="R15" s="2031"/>
    </row>
    <row r="16" spans="1:19" ht="30.75" customHeight="1">
      <c r="A16" s="2066" t="s">
        <v>1801</v>
      </c>
      <c r="B16" s="3015" t="s">
        <v>3041</v>
      </c>
      <c r="C16" s="3016"/>
      <c r="D16" s="3017"/>
      <c r="E16" s="2086" t="s">
        <v>1802</v>
      </c>
      <c r="F16" s="3018" t="s">
        <v>3042</v>
      </c>
      <c r="G16" s="3019"/>
      <c r="H16" s="3019"/>
      <c r="I16" s="3020"/>
      <c r="J16" s="2031"/>
      <c r="K16" s="2083"/>
      <c r="L16" s="2084"/>
      <c r="M16" s="2084"/>
      <c r="N16" s="2085"/>
      <c r="O16" s="2084"/>
      <c r="P16" s="2085"/>
      <c r="Q16" s="2031"/>
      <c r="R16" s="2031"/>
    </row>
    <row r="17" spans="1:22" ht="18" customHeight="1">
      <c r="A17" s="2087" t="s">
        <v>1803</v>
      </c>
      <c r="B17" s="2037" t="s">
        <v>1804</v>
      </c>
      <c r="C17" s="1056">
        <f>'数据-汇总表'!E3</f>
        <v>1246.4000000000001</v>
      </c>
      <c r="D17" s="2088" t="s">
        <v>1805</v>
      </c>
      <c r="E17" s="3021" t="s">
        <v>3044</v>
      </c>
      <c r="F17" s="3022"/>
      <c r="G17" s="3022"/>
      <c r="H17" s="3022"/>
      <c r="I17" s="3023"/>
      <c r="J17" s="2031"/>
      <c r="K17" s="2089"/>
      <c r="L17" s="2084"/>
      <c r="M17" s="2084"/>
      <c r="N17" s="2085"/>
      <c r="O17" s="2084"/>
      <c r="P17" s="2085"/>
      <c r="Q17" s="2031"/>
      <c r="R17" s="2031"/>
      <c r="S17" s="2031"/>
      <c r="T17" s="2031"/>
      <c r="U17" s="2031"/>
      <c r="V17" s="2031"/>
    </row>
    <row r="18" spans="1:22" ht="36" customHeight="1" thickBot="1">
      <c r="A18" s="2090" t="s">
        <v>1806</v>
      </c>
      <c r="B18" s="2040" t="s">
        <v>1807</v>
      </c>
      <c r="C18" s="1446">
        <f>'数据-汇总表'!D3</f>
        <v>0</v>
      </c>
      <c r="D18" s="2091" t="s">
        <v>1805</v>
      </c>
      <c r="E18" s="3021" t="s">
        <v>3044</v>
      </c>
      <c r="F18" s="3022"/>
      <c r="G18" s="3022"/>
      <c r="H18" s="3022"/>
      <c r="I18" s="3023"/>
      <c r="J18" s="2031"/>
      <c r="K18" s="2089"/>
      <c r="L18" s="2084"/>
      <c r="M18" s="2084"/>
      <c r="N18" s="2085"/>
      <c r="O18" s="2084"/>
      <c r="P18" s="2085"/>
      <c r="Q18" s="2031"/>
      <c r="R18" s="2031"/>
      <c r="S18" s="2031"/>
      <c r="T18" s="2031"/>
      <c r="U18" s="2031"/>
      <c r="V18" s="2031"/>
    </row>
    <row r="19" spans="1:22" ht="37.5" customHeight="1" thickTop="1" thickBot="1">
      <c r="A19" s="373" t="s">
        <v>1808</v>
      </c>
      <c r="B19" s="352" t="s">
        <v>1809</v>
      </c>
      <c r="C19" s="2943" t="s">
        <v>3048</v>
      </c>
      <c r="D19" s="2092" t="s">
        <v>1810</v>
      </c>
      <c r="E19" s="2944" t="s">
        <v>3048</v>
      </c>
      <c r="F19" s="2093" t="str">
        <f>IF(AND(C19="是",E19="否"),"是否提供他项权证或相关说明","")</f>
        <v/>
      </c>
      <c r="G19" s="2094"/>
      <c r="H19" s="2044"/>
      <c r="I19" s="2044"/>
      <c r="J19" s="2044"/>
      <c r="K19" s="2054"/>
      <c r="L19" s="2030"/>
      <c r="M19" s="2030"/>
      <c r="N19" s="2085"/>
      <c r="O19" s="2084"/>
      <c r="P19" s="2085"/>
      <c r="Q19" s="2031"/>
      <c r="R19" s="2031"/>
      <c r="S19" s="2031"/>
      <c r="T19" s="2031"/>
      <c r="U19" s="2031"/>
      <c r="V19" s="2031"/>
    </row>
    <row r="20" spans="1:22" ht="18" customHeight="1">
      <c r="A20" s="2095" t="s">
        <v>1811</v>
      </c>
      <c r="B20" s="3011" t="s">
        <v>1812</v>
      </c>
      <c r="C20" s="3012"/>
      <c r="D20" s="3013" t="s">
        <v>1813</v>
      </c>
      <c r="E20" s="3014"/>
      <c r="F20" s="2096" t="s">
        <v>1814</v>
      </c>
      <c r="G20" s="2044"/>
      <c r="H20" s="2044"/>
      <c r="I20" s="2044"/>
      <c r="J20" s="2044"/>
      <c r="K20" s="3010" t="s">
        <v>1815</v>
      </c>
      <c r="L20" s="74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30"/>
      <c r="N20" s="2085"/>
      <c r="O20" s="2084"/>
      <c r="P20" s="2085"/>
      <c r="Q20" s="2031"/>
      <c r="R20" s="2031"/>
      <c r="S20" s="2031"/>
      <c r="T20" s="2031"/>
      <c r="U20" s="2031"/>
      <c r="V20" s="2031"/>
    </row>
    <row r="21" spans="1:22" ht="24.75" customHeight="1">
      <c r="A21" s="2095"/>
      <c r="B21" s="2097" t="s">
        <v>3043</v>
      </c>
      <c r="C21" s="2945" t="s">
        <v>1816</v>
      </c>
      <c r="D21" s="2099"/>
      <c r="E21" s="2100"/>
      <c r="F21" s="2101"/>
      <c r="G21" s="2044"/>
      <c r="H21" s="2044"/>
      <c r="I21" s="2044"/>
      <c r="J21" s="2044"/>
      <c r="K21" s="301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5"/>
      <c r="O21" s="2084"/>
      <c r="P21" s="2085"/>
      <c r="Q21" s="2031"/>
      <c r="R21" s="2031"/>
      <c r="S21" s="2031"/>
      <c r="T21" s="2031"/>
      <c r="U21" s="2031"/>
      <c r="V21" s="2031"/>
    </row>
    <row r="22" spans="1:22" ht="24.75" customHeight="1" thickBot="1">
      <c r="A22" s="2095"/>
      <c r="B22" s="2102"/>
      <c r="C22" s="2098"/>
      <c r="D22" s="2028"/>
      <c r="E22" s="2028"/>
      <c r="F22" s="2103"/>
      <c r="G22" s="2044"/>
      <c r="H22" s="2044"/>
      <c r="I22" s="2044"/>
      <c r="J22" s="2044"/>
      <c r="K22" s="301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5"/>
      <c r="O22" s="2084"/>
      <c r="P22" s="2085"/>
      <c r="Q22" s="2031"/>
      <c r="R22" s="2031"/>
      <c r="S22" s="2031"/>
      <c r="T22" s="2031"/>
      <c r="U22" s="2031"/>
      <c r="V22" s="2031"/>
    </row>
    <row r="23" spans="1:22" ht="18" customHeight="1">
      <c r="A23" s="2104" t="s">
        <v>1817</v>
      </c>
      <c r="B23" s="183" t="s">
        <v>1818</v>
      </c>
      <c r="C23" s="2946"/>
      <c r="D23" s="2105" t="s">
        <v>1818</v>
      </c>
      <c r="E23" s="2106"/>
      <c r="F23" s="2103"/>
      <c r="G23" s="2044"/>
      <c r="H23" s="2044"/>
      <c r="I23" s="2044"/>
      <c r="J23" s="2044"/>
      <c r="K23" s="2107"/>
      <c r="L23" s="748"/>
      <c r="M23" s="2030"/>
      <c r="N23" s="2085"/>
      <c r="O23" s="2084"/>
      <c r="P23" s="2085"/>
      <c r="Q23" s="2031"/>
      <c r="R23" s="2031"/>
      <c r="S23" s="2031"/>
      <c r="T23" s="2031"/>
      <c r="U23" s="2031"/>
      <c r="V23" s="2031"/>
    </row>
    <row r="24" spans="1:22" ht="18" customHeight="1">
      <c r="A24" s="2108"/>
      <c r="B24" s="183" t="s">
        <v>1819</v>
      </c>
      <c r="C24" s="2947"/>
      <c r="D24" s="2104" t="s">
        <v>1819</v>
      </c>
      <c r="E24" s="2109"/>
      <c r="F24" s="2103"/>
      <c r="G24" s="2044"/>
      <c r="H24" s="2044"/>
      <c r="I24" s="2044"/>
      <c r="J24" s="2044"/>
      <c r="K24" s="2107"/>
      <c r="L24" s="748"/>
      <c r="M24" s="2030"/>
      <c r="N24" s="2085"/>
      <c r="O24" s="2084"/>
      <c r="P24" s="2085"/>
      <c r="Q24" s="2031"/>
      <c r="R24" s="2031"/>
      <c r="S24" s="2031"/>
      <c r="T24" s="2031"/>
      <c r="U24" s="2031"/>
      <c r="V24" s="2031"/>
    </row>
    <row r="25" spans="1:22" ht="18" customHeight="1">
      <c r="A25" s="2108"/>
      <c r="B25" s="183" t="s">
        <v>1820</v>
      </c>
      <c r="C25" s="2947"/>
      <c r="D25" s="2104" t="s">
        <v>1820</v>
      </c>
      <c r="E25" s="2109"/>
      <c r="F25" s="2103"/>
      <c r="G25" s="2044"/>
      <c r="H25" s="2044"/>
      <c r="I25" s="2044"/>
      <c r="J25" s="2044"/>
      <c r="K25" s="2054"/>
      <c r="L25" s="2030"/>
      <c r="M25" s="2030"/>
      <c r="N25" s="2085"/>
      <c r="O25" s="2084"/>
      <c r="P25" s="2085"/>
      <c r="Q25" s="2031"/>
      <c r="R25" s="2031"/>
      <c r="S25" s="2031"/>
      <c r="T25" s="2031"/>
      <c r="U25" s="2031"/>
      <c r="V25" s="2031"/>
    </row>
    <row r="26" spans="1:22" ht="18" customHeight="1" thickBot="1">
      <c r="A26" s="2110"/>
      <c r="B26" s="2111" t="s">
        <v>1821</v>
      </c>
      <c r="C26" s="2948"/>
      <c r="D26" s="2112" t="s">
        <v>1822</v>
      </c>
      <c r="E26" s="2113"/>
      <c r="F26" s="2114"/>
      <c r="G26" s="2062"/>
      <c r="H26" s="2062"/>
      <c r="I26" s="2062"/>
      <c r="J26" s="2044"/>
      <c r="K26" s="2054"/>
      <c r="L26" s="2030"/>
      <c r="M26" s="2030"/>
      <c r="N26" s="2085"/>
      <c r="O26" s="2084"/>
      <c r="P26" s="2085"/>
      <c r="Q26" s="2031"/>
      <c r="R26" s="2031"/>
      <c r="S26" s="2031"/>
      <c r="T26" s="2031"/>
      <c r="U26" s="2031"/>
      <c r="V26" s="2031"/>
    </row>
    <row r="27" spans="1:22" ht="18" customHeight="1" thickTop="1">
      <c r="A27" s="3025" t="s">
        <v>1823</v>
      </c>
      <c r="B27" s="2063" t="s">
        <v>1824</v>
      </c>
      <c r="C27" s="2115" t="s">
        <v>3046</v>
      </c>
      <c r="D27" s="2116"/>
      <c r="E27" s="2044"/>
      <c r="F27" s="2044"/>
      <c r="G27" s="2044"/>
      <c r="H27" s="2044"/>
      <c r="I27" s="2044"/>
      <c r="J27" s="2031"/>
      <c r="K27" s="2083"/>
      <c r="L27" s="2084"/>
      <c r="M27" s="2084"/>
      <c r="N27" s="2085"/>
      <c r="O27" s="2084"/>
      <c r="P27" s="2085"/>
      <c r="Q27" s="2031"/>
      <c r="R27" s="2031"/>
      <c r="S27" s="2031"/>
      <c r="T27" s="2031"/>
      <c r="U27" s="2031"/>
      <c r="V27" s="2031"/>
    </row>
    <row r="28" spans="1:22" ht="18" customHeight="1">
      <c r="A28" s="3025"/>
      <c r="B28" s="2037" t="s">
        <v>1825</v>
      </c>
      <c r="C28" s="2117" t="s">
        <v>3047</v>
      </c>
      <c r="D28" s="2118"/>
      <c r="E28" s="2044"/>
      <c r="F28" s="2044"/>
      <c r="G28" s="2044"/>
      <c r="H28" s="2044"/>
      <c r="I28" s="2044"/>
      <c r="J28" s="2031"/>
      <c r="K28" s="2119"/>
      <c r="L28" s="2030"/>
      <c r="M28" s="2030"/>
      <c r="N28" s="2031"/>
      <c r="O28" s="2032"/>
      <c r="P28" s="2031"/>
      <c r="Q28" s="2031"/>
      <c r="R28" s="2031"/>
      <c r="S28" s="2031"/>
      <c r="T28" s="2031"/>
      <c r="U28" s="2031"/>
      <c r="V28" s="2031"/>
    </row>
    <row r="29" spans="1:22" ht="18" customHeight="1">
      <c r="A29" s="3025"/>
      <c r="B29" s="2037" t="s">
        <v>1826</v>
      </c>
      <c r="C29" s="2120" t="s">
        <v>3048</v>
      </c>
      <c r="D29" s="2121"/>
      <c r="E29" s="2044"/>
      <c r="F29" s="2044"/>
      <c r="G29" s="2044"/>
      <c r="H29" s="2044"/>
      <c r="I29" s="2044"/>
      <c r="J29" s="2031"/>
      <c r="K29" s="2119"/>
      <c r="L29" s="2030"/>
      <c r="M29" s="2030"/>
      <c r="N29" s="2031"/>
      <c r="O29" s="2032"/>
      <c r="P29" s="2031"/>
      <c r="Q29" s="2031"/>
      <c r="R29" s="2031"/>
      <c r="S29" s="2031"/>
      <c r="T29" s="2031"/>
      <c r="U29" s="2031"/>
      <c r="V29" s="2031"/>
    </row>
    <row r="30" spans="1:22" ht="18" customHeight="1">
      <c r="A30" s="3026"/>
      <c r="B30" s="2037" t="s">
        <v>1827</v>
      </c>
      <c r="C30" s="3027"/>
      <c r="D30" s="3028"/>
      <c r="E30" s="2044"/>
      <c r="F30" s="2044"/>
      <c r="G30" s="2044"/>
      <c r="H30" s="2044"/>
      <c r="I30" s="2044"/>
      <c r="J30" s="2031"/>
      <c r="K30" s="2119"/>
      <c r="L30" s="2030"/>
      <c r="M30" s="2030"/>
      <c r="N30" s="2031"/>
      <c r="O30" s="2032"/>
      <c r="P30" s="2031"/>
      <c r="Q30" s="2031"/>
      <c r="R30" s="2031"/>
      <c r="S30" s="2031"/>
      <c r="T30" s="2031"/>
      <c r="U30" s="2031"/>
      <c r="V30" s="2031"/>
    </row>
    <row r="31" spans="1:22" ht="18" customHeight="1">
      <c r="A31" s="3029" t="s">
        <v>1828</v>
      </c>
      <c r="B31" s="2122" t="s">
        <v>3049</v>
      </c>
      <c r="C31" s="2123" t="str">
        <f>IF(B31="现房","成新及维护状况正常否",IF(B31="在建","工程状态是否正常",IF(B31="土地","是否闲置","-")))</f>
        <v>成新及维护状况正常否</v>
      </c>
      <c r="D31" s="2124"/>
      <c r="E31" s="2125"/>
      <c r="F31" s="2044"/>
      <c r="G31" s="2044"/>
      <c r="H31" s="2044"/>
      <c r="I31" s="2044"/>
      <c r="J31" s="2044"/>
      <c r="K31" s="2052"/>
      <c r="L31" s="2030"/>
      <c r="M31" s="2030"/>
      <c r="N31" s="2031"/>
      <c r="O31" s="2032"/>
      <c r="P31" s="2031"/>
      <c r="Q31" s="2031"/>
      <c r="R31" s="2031"/>
      <c r="S31" s="2031"/>
      <c r="T31" s="2031"/>
      <c r="U31" s="2031"/>
      <c r="V31" s="2031"/>
    </row>
    <row r="32" spans="1:22" ht="18" customHeight="1">
      <c r="A32" s="3030"/>
      <c r="B32" s="2122"/>
      <c r="C32" s="2123" t="str">
        <f>IF(B32="现房","成新及维护状况是否正常",IF(B32="在建","工程状态是否正常",IF(B32="土地","是否闲置","-")))</f>
        <v>-</v>
      </c>
      <c r="D32" s="2124"/>
      <c r="E32" s="2125"/>
      <c r="F32" s="2044"/>
      <c r="G32" s="2044"/>
      <c r="H32" s="2044"/>
      <c r="I32" s="2044"/>
      <c r="J32" s="2044"/>
      <c r="K32" s="2054"/>
      <c r="L32" s="2030"/>
      <c r="M32" s="2030"/>
      <c r="N32" s="2031"/>
      <c r="O32" s="2032"/>
      <c r="P32" s="2031"/>
      <c r="Q32" s="2031"/>
      <c r="R32" s="2031"/>
      <c r="S32" s="2031"/>
      <c r="T32" s="2031"/>
      <c r="U32" s="2031"/>
      <c r="V32" s="2031"/>
    </row>
    <row r="33" spans="1:22" ht="18" customHeight="1">
      <c r="A33" s="3030"/>
      <c r="B33" s="2126"/>
      <c r="C33" s="2070" t="str">
        <f>IF(B33="现房","成新及维护状况是否正常",IF(B33="在建","工程状态是否正常",IF(B33="土地","是否闲置","-")))</f>
        <v>-</v>
      </c>
      <c r="D33" s="2127"/>
      <c r="E33" s="2128"/>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1829</v>
      </c>
      <c r="B34" s="2129" t="s">
        <v>3050</v>
      </c>
      <c r="C34" s="2129" t="s">
        <v>3051</v>
      </c>
      <c r="D34" s="2129" t="s">
        <v>3052</v>
      </c>
      <c r="E34" s="2129" t="s">
        <v>3053</v>
      </c>
      <c r="F34" s="2129" t="s">
        <v>3054</v>
      </c>
      <c r="G34" s="2129"/>
      <c r="H34" s="2129"/>
      <c r="I34" s="2044"/>
      <c r="J34" s="2044"/>
      <c r="K34" s="1797">
        <f>COUNTIF(B34:H34,"——")</f>
        <v>0</v>
      </c>
      <c r="L34" s="2075" t="s">
        <v>1830</v>
      </c>
      <c r="M34" s="2075" t="s">
        <v>1831</v>
      </c>
      <c r="N34" s="2075" t="s">
        <v>1832</v>
      </c>
      <c r="O34" s="2075" t="s">
        <v>1833</v>
      </c>
      <c r="P34" s="2075" t="s">
        <v>1834</v>
      </c>
      <c r="Q34" s="2075" t="s">
        <v>1835</v>
      </c>
      <c r="R34" s="2075" t="s">
        <v>1836</v>
      </c>
      <c r="S34" s="3024" t="s">
        <v>1837</v>
      </c>
      <c r="T34" s="2130" t="str">
        <f>NUMBERSTRING(7-K34,1)&amp;"通"</f>
        <v>七通</v>
      </c>
      <c r="U34" s="2031"/>
      <c r="V34" s="2031"/>
    </row>
    <row r="35" spans="1:22" ht="18" customHeight="1">
      <c r="A35" s="2131"/>
      <c r="B35" s="3031" t="s">
        <v>1838</v>
      </c>
      <c r="C35" s="3031"/>
      <c r="D35" s="3031"/>
      <c r="E35" s="3031"/>
      <c r="F35" s="2132">
        <f>C10</f>
        <v>0</v>
      </c>
      <c r="G35" s="2044"/>
      <c r="H35" s="2044"/>
      <c r="I35" s="2044"/>
      <c r="J35" s="2044"/>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24"/>
      <c r="T35" s="48" t="str">
        <f>IF(T34="一通",L35,IF(T34="二通",M35,IF(T34="三通",N35,IF(T34="四通",O35,IF(T34="五通",P35,IF(T34="六通",Q35,R35))))))</f>
        <v>通路、通电、通讯、通上水、通下水、、</v>
      </c>
      <c r="U35" s="2031"/>
      <c r="V35" s="2031"/>
    </row>
    <row r="36" spans="1:22" ht="18" customHeight="1">
      <c r="A36" s="2133"/>
      <c r="B36" s="2132" t="s">
        <v>1839</v>
      </c>
      <c r="C36" s="2132" t="s">
        <v>1840</v>
      </c>
      <c r="D36" s="2132" t="s">
        <v>1841</v>
      </c>
      <c r="E36" s="2132" t="s">
        <v>1842</v>
      </c>
      <c r="F36" s="2134"/>
      <c r="G36" s="2044"/>
      <c r="H36" s="2044"/>
      <c r="I36" s="2044"/>
      <c r="J36" s="2044"/>
      <c r="K36" s="2054"/>
      <c r="L36" s="2030"/>
      <c r="M36" s="2030"/>
      <c r="N36" s="2031"/>
      <c r="O36" s="2032"/>
      <c r="P36" s="2031"/>
      <c r="Q36" s="2031"/>
      <c r="R36" s="2031"/>
      <c r="S36" s="2031"/>
      <c r="T36" s="2031"/>
      <c r="U36" s="2031"/>
      <c r="V36" s="2031"/>
    </row>
    <row r="37" spans="1:22" ht="18" customHeight="1">
      <c r="A37" s="2135" t="s">
        <v>1843</v>
      </c>
      <c r="B37" s="2136"/>
      <c r="C37" s="2136"/>
      <c r="D37" s="2136"/>
      <c r="E37" s="2136" t="s">
        <v>526</v>
      </c>
      <c r="F37" s="2134"/>
      <c r="G37" s="2044"/>
      <c r="H37" s="2044"/>
      <c r="I37" s="2044"/>
      <c r="J37" s="2044"/>
      <c r="K37" s="2054"/>
      <c r="L37" s="2030"/>
      <c r="M37" s="2030"/>
      <c r="N37" s="2031"/>
      <c r="O37" s="2032"/>
      <c r="P37" s="2031"/>
      <c r="Q37" s="2031"/>
      <c r="R37" s="2031"/>
      <c r="S37" s="2031"/>
      <c r="T37" s="2031"/>
      <c r="U37" s="2031"/>
      <c r="V37" s="2031"/>
    </row>
    <row r="38" spans="1:22" ht="18" customHeight="1" thickBot="1">
      <c r="A38" s="2137" t="s">
        <v>1844</v>
      </c>
      <c r="B38" s="2138"/>
      <c r="C38" s="2138"/>
      <c r="D38" s="2138"/>
      <c r="E38" s="2949" t="s">
        <v>3055</v>
      </c>
      <c r="F38" s="2139"/>
      <c r="G38" s="2062"/>
      <c r="H38" s="2062"/>
      <c r="I38" s="2062"/>
      <c r="J38" s="2044"/>
      <c r="K38" s="2054"/>
      <c r="L38" s="2030"/>
      <c r="M38" s="2030"/>
      <c r="N38" s="2031"/>
      <c r="O38" s="2032"/>
      <c r="P38" s="2031"/>
      <c r="Q38" s="2031"/>
      <c r="R38" s="2031"/>
      <c r="S38" s="2031"/>
      <c r="T38" s="2031"/>
      <c r="U38" s="2031"/>
      <c r="V38" s="2031"/>
    </row>
    <row r="39" spans="1:22" s="2144" customFormat="1" ht="18" customHeight="1" thickTop="1" thickBot="1">
      <c r="A39" s="2140" t="s">
        <v>1845</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31"/>
      <c r="B40" s="2031"/>
      <c r="C40" s="2031"/>
      <c r="D40" s="2031"/>
      <c r="E40" s="2031"/>
      <c r="F40" s="2031"/>
      <c r="G40" s="2031"/>
      <c r="H40" s="2031"/>
      <c r="I40" s="2145"/>
      <c r="J40" s="2085"/>
      <c r="K40" s="666"/>
      <c r="L40" s="2084"/>
      <c r="M40" s="2084"/>
      <c r="N40" s="2085"/>
      <c r="O40" s="2084"/>
      <c r="P40" s="2031"/>
      <c r="Q40" s="2031"/>
      <c r="R40" s="2031"/>
      <c r="S40" s="2031"/>
      <c r="T40" s="2031"/>
      <c r="U40" s="2031"/>
      <c r="V40" s="2031"/>
    </row>
    <row r="41" spans="1:22" ht="18" customHeight="1">
      <c r="A41" s="8" t="s">
        <v>1846</v>
      </c>
      <c r="B41" s="2146"/>
      <c r="C41" s="2147"/>
      <c r="D41" s="2031"/>
      <c r="E41" s="2031"/>
      <c r="F41" s="2031"/>
      <c r="G41" s="2031"/>
      <c r="H41" s="2031"/>
      <c r="I41" s="2032"/>
      <c r="J41" s="2031"/>
      <c r="K41" s="2119"/>
      <c r="L41" s="2030"/>
      <c r="M41" s="2030"/>
      <c r="N41" s="2031"/>
      <c r="O41" s="2032"/>
      <c r="P41" s="2031"/>
      <c r="Q41" s="2031"/>
      <c r="R41" s="2031"/>
      <c r="S41" s="2031"/>
      <c r="T41" s="2031"/>
      <c r="U41" s="2031"/>
      <c r="V41" s="2031"/>
    </row>
    <row r="42" spans="1:22" ht="18" customHeight="1">
      <c r="A42" s="2075" t="s">
        <v>1847</v>
      </c>
      <c r="B42" s="1797" t="s">
        <v>1848</v>
      </c>
      <c r="C42" s="1797" t="s">
        <v>1849</v>
      </c>
      <c r="D42" s="1797" t="s">
        <v>1850</v>
      </c>
      <c r="E42" s="1797" t="s">
        <v>1851</v>
      </c>
      <c r="F42" s="1797" t="s">
        <v>1852</v>
      </c>
      <c r="G42" s="1797" t="s">
        <v>1853</v>
      </c>
      <c r="H42" s="1797" t="s">
        <v>1854</v>
      </c>
      <c r="I42" s="1797" t="s">
        <v>1855</v>
      </c>
      <c r="J42" s="2148" t="s">
        <v>1856</v>
      </c>
      <c r="K42" s="2076" t="s">
        <v>1857</v>
      </c>
      <c r="L42" s="2076" t="s">
        <v>1858</v>
      </c>
      <c r="M42" s="2076" t="s">
        <v>1859</v>
      </c>
      <c r="N42" s="1797" t="s">
        <v>1860</v>
      </c>
      <c r="O42" s="1797" t="s">
        <v>1861</v>
      </c>
      <c r="P42" s="1797" t="s">
        <v>1862</v>
      </c>
      <c r="Q42" s="2075" t="s">
        <v>1863</v>
      </c>
      <c r="R42" s="2075" t="s">
        <v>1864</v>
      </c>
      <c r="S42" s="2031"/>
      <c r="T42" s="2031"/>
      <c r="U42" s="2031"/>
      <c r="V42" s="2031"/>
    </row>
    <row r="43" spans="1:22" s="2153" customFormat="1" ht="18" customHeight="1">
      <c r="A43" s="2149"/>
      <c r="B43" s="1274"/>
      <c r="C43" s="1274"/>
      <c r="D43" s="1274"/>
      <c r="E43" s="1274"/>
      <c r="F43" s="1274"/>
      <c r="G43" s="1274"/>
      <c r="H43" s="9"/>
      <c r="I43" s="9"/>
      <c r="J43" s="2150"/>
      <c r="K43" s="2151"/>
      <c r="L43" s="2151"/>
      <c r="M43" s="9"/>
      <c r="N43" s="1274"/>
      <c r="O43" s="9"/>
      <c r="P43" s="1274"/>
      <c r="Q43" s="1274"/>
      <c r="R43" s="1274"/>
      <c r="S43" s="2152"/>
      <c r="T43" s="2152"/>
      <c r="U43" s="2152"/>
      <c r="V43" s="2152"/>
    </row>
    <row r="44" spans="1:22" s="2153" customFormat="1" ht="18" customHeight="1">
      <c r="A44" s="2149"/>
      <c r="B44" s="2149"/>
      <c r="C44" s="1274"/>
      <c r="D44" s="1274"/>
      <c r="E44" s="1274"/>
      <c r="F44" s="1274"/>
      <c r="G44" s="1274"/>
      <c r="H44" s="9"/>
      <c r="I44" s="9"/>
      <c r="J44" s="2150"/>
      <c r="K44" s="2151"/>
      <c r="L44" s="2151"/>
      <c r="M44" s="9"/>
      <c r="N44" s="1274"/>
      <c r="O44" s="9"/>
      <c r="P44" s="1274"/>
      <c r="Q44" s="1274"/>
      <c r="R44" s="1274"/>
      <c r="S44" s="2152"/>
      <c r="T44" s="2152"/>
      <c r="U44" s="2152"/>
      <c r="V44" s="2152"/>
    </row>
    <row r="45" spans="1:22" s="2153" customFormat="1" ht="18" customHeight="1">
      <c r="A45" s="2149"/>
      <c r="B45" s="2149"/>
      <c r="C45" s="1274"/>
      <c r="D45" s="1274"/>
      <c r="E45" s="1274"/>
      <c r="F45" s="1274"/>
      <c r="G45" s="1274"/>
      <c r="H45" s="9"/>
      <c r="I45" s="9"/>
      <c r="J45" s="2150"/>
      <c r="K45" s="2151"/>
      <c r="L45" s="2151"/>
      <c r="M45" s="9"/>
      <c r="N45" s="1274"/>
      <c r="O45" s="9"/>
      <c r="P45" s="1274"/>
      <c r="Q45" s="1274"/>
      <c r="R45" s="1274"/>
      <c r="S45" s="2152"/>
      <c r="T45" s="2152"/>
      <c r="U45" s="2152"/>
      <c r="V45" s="2152"/>
    </row>
    <row r="46" spans="1:22" s="2153" customFormat="1" ht="18" customHeight="1">
      <c r="A46" s="2149"/>
      <c r="B46" s="2149"/>
      <c r="C46" s="1274"/>
      <c r="D46" s="1274"/>
      <c r="E46" s="1274"/>
      <c r="F46" s="1274"/>
      <c r="G46" s="1274"/>
      <c r="H46" s="9"/>
      <c r="I46" s="9"/>
      <c r="J46" s="2150"/>
      <c r="K46" s="2151"/>
      <c r="L46" s="2151"/>
      <c r="M46" s="9"/>
      <c r="N46" s="1274"/>
      <c r="O46" s="9"/>
      <c r="P46" s="1274"/>
      <c r="Q46" s="1274"/>
      <c r="R46" s="1274"/>
      <c r="S46" s="2152"/>
      <c r="T46" s="2152"/>
      <c r="U46" s="2152"/>
      <c r="V46" s="2152"/>
    </row>
    <row r="47" spans="1:22" s="2153" customFormat="1" ht="18" customHeight="1">
      <c r="A47" s="2149"/>
      <c r="B47" s="2149"/>
      <c r="C47" s="1274"/>
      <c r="D47" s="1274"/>
      <c r="E47" s="1274"/>
      <c r="F47" s="1274"/>
      <c r="G47" s="1274"/>
      <c r="H47" s="9"/>
      <c r="I47" s="9"/>
      <c r="J47" s="2150"/>
      <c r="K47" s="2151"/>
      <c r="L47" s="2151"/>
      <c r="M47" s="9"/>
      <c r="N47" s="1274"/>
      <c r="O47" s="9"/>
      <c r="P47" s="1274"/>
      <c r="Q47" s="1274"/>
      <c r="R47" s="1274"/>
      <c r="S47" s="2152"/>
      <c r="T47" s="2152"/>
      <c r="U47" s="2152"/>
      <c r="V47" s="2152"/>
    </row>
    <row r="48" spans="1:22" s="2153" customFormat="1" ht="18" customHeight="1">
      <c r="A48" s="2149"/>
      <c r="B48" s="2149"/>
      <c r="C48" s="1274"/>
      <c r="D48" s="1274"/>
      <c r="E48" s="1274"/>
      <c r="F48" s="1274"/>
      <c r="G48" s="1274"/>
      <c r="H48" s="9"/>
      <c r="I48" s="9"/>
      <c r="J48" s="2150"/>
      <c r="K48" s="2151"/>
      <c r="L48" s="2151"/>
      <c r="M48" s="9"/>
      <c r="N48" s="1274"/>
      <c r="O48" s="9"/>
      <c r="P48" s="1274"/>
      <c r="Q48" s="1274"/>
      <c r="R48" s="1274"/>
      <c r="S48" s="2152"/>
      <c r="T48" s="2152"/>
      <c r="U48" s="2152"/>
      <c r="V48" s="2152"/>
    </row>
    <row r="49" spans="1:22" s="2153" customFormat="1" ht="18" customHeight="1">
      <c r="A49" s="2149"/>
      <c r="B49" s="2149"/>
      <c r="C49" s="1274"/>
      <c r="D49" s="1274"/>
      <c r="E49" s="1274"/>
      <c r="F49" s="1274"/>
      <c r="G49" s="1274"/>
      <c r="H49" s="9"/>
      <c r="I49" s="9"/>
      <c r="J49" s="2150"/>
      <c r="K49" s="2151"/>
      <c r="L49" s="2151"/>
      <c r="M49" s="9"/>
      <c r="N49" s="1274"/>
      <c r="O49" s="9"/>
      <c r="P49" s="1274"/>
      <c r="Q49" s="1274"/>
      <c r="R49" s="1274"/>
      <c r="S49" s="2152"/>
      <c r="T49" s="2152"/>
      <c r="U49" s="2152"/>
      <c r="V49" s="2152"/>
    </row>
    <row r="50" spans="1:22" s="2153" customFormat="1" ht="18" customHeight="1">
      <c r="A50" s="2149"/>
      <c r="B50" s="2149"/>
      <c r="C50" s="1274"/>
      <c r="D50" s="1274"/>
      <c r="E50" s="1274"/>
      <c r="F50" s="1274"/>
      <c r="G50" s="1274"/>
      <c r="H50" s="9"/>
      <c r="I50" s="9"/>
      <c r="J50" s="2150"/>
      <c r="K50" s="2151"/>
      <c r="L50" s="2151"/>
      <c r="M50" s="9"/>
      <c r="N50" s="1274"/>
      <c r="O50" s="9"/>
      <c r="P50" s="1274"/>
      <c r="Q50" s="1274"/>
      <c r="R50" s="1274"/>
      <c r="S50" s="2152"/>
      <c r="T50" s="2152"/>
      <c r="U50" s="2152"/>
      <c r="V50" s="2152"/>
    </row>
    <row r="51" spans="1:22" s="2153" customFormat="1" ht="18" customHeight="1">
      <c r="A51" s="2149"/>
      <c r="B51" s="2149"/>
      <c r="C51" s="1274"/>
      <c r="D51" s="1274"/>
      <c r="E51" s="1274"/>
      <c r="F51" s="1274"/>
      <c r="G51" s="1274"/>
      <c r="H51" s="9"/>
      <c r="I51" s="9"/>
      <c r="J51" s="2150"/>
      <c r="K51" s="2151"/>
      <c r="L51" s="2151"/>
      <c r="M51" s="9"/>
      <c r="N51" s="1274"/>
      <c r="O51" s="9"/>
      <c r="P51" s="1274"/>
      <c r="Q51" s="1274"/>
      <c r="R51" s="1274"/>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1865</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59" t="s">
        <v>1866</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3" customFormat="1" ht="24">
      <c r="A2" s="11" t="s">
        <v>1867</v>
      </c>
      <c r="B2" s="11" t="s">
        <v>1868</v>
      </c>
      <c r="C2" s="11" t="s">
        <v>1869</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71" t="s">
        <v>1870</v>
      </c>
      <c r="AZ2" s="1272" t="s">
        <v>1871</v>
      </c>
      <c r="BA2" s="11" t="s">
        <v>1872</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c r="B3" s="14">
        <f>IF(C3="否",G5-AT5,G5)</f>
        <v>1246.4000000000001</v>
      </c>
      <c r="C3" s="2164" t="s">
        <v>1873</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3"/>
      <c r="AZ3" s="1274"/>
      <c r="BA3" s="1275"/>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1874</v>
      </c>
      <c r="B5" s="1805"/>
      <c r="C5" s="1805"/>
      <c r="D5" s="1808"/>
      <c r="E5" s="16" t="s">
        <v>1</v>
      </c>
      <c r="F5" s="16">
        <f>SUM(F13:F587)</f>
        <v>0</v>
      </c>
      <c r="G5" s="16">
        <f>SUM(G13:G587)</f>
        <v>1246.4000000000001</v>
      </c>
      <c r="H5" s="16">
        <f t="shared" ref="H5:AT5" si="0">SUM(H13:H656)</f>
        <v>1246.4000000000001</v>
      </c>
      <c r="I5" s="16">
        <f t="shared" si="0"/>
        <v>1246.4000000000001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1874</v>
      </c>
      <c r="AW5" s="1805"/>
      <c r="AX5" s="1805"/>
      <c r="AY5" s="17" t="s">
        <v>3</v>
      </c>
      <c r="AZ5" s="18">
        <f t="shared" ref="AZ5:BT5" si="1">SUM(AZ13:AZ656)</f>
        <v>1246.4000000000001</v>
      </c>
      <c r="BA5" s="18">
        <f t="shared" si="1"/>
        <v>1246.4000000000001</v>
      </c>
      <c r="BB5" s="18">
        <f t="shared" si="1"/>
        <v>1246.4000000000001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1875</v>
      </c>
      <c r="B6" s="2170"/>
      <c r="C6" s="2170"/>
      <c r="D6" s="2171"/>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1875</v>
      </c>
      <c r="AW6" s="2170"/>
      <c r="AX6" s="2170"/>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7" t="s">
        <v>1876</v>
      </c>
      <c r="B7" s="2107" t="s">
        <v>1877</v>
      </c>
      <c r="C7" s="2107" t="s">
        <v>1878</v>
      </c>
      <c r="D7" s="2107" t="s">
        <v>1879</v>
      </c>
      <c r="E7" s="2107" t="s">
        <v>1880</v>
      </c>
      <c r="F7" s="2107" t="s">
        <v>1881</v>
      </c>
      <c r="G7" s="2174" t="s">
        <v>1882</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8"/>
      <c r="AU7" s="2175" t="s">
        <v>1883</v>
      </c>
      <c r="AV7" s="23" t="s">
        <v>1884</v>
      </c>
      <c r="AW7" s="2162" t="s">
        <v>1885</v>
      </c>
      <c r="AX7" s="23" t="s">
        <v>1878</v>
      </c>
      <c r="AY7" s="1805" t="s">
        <v>1886</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1887</v>
      </c>
      <c r="H8" s="2180" t="s">
        <v>1888</v>
      </c>
      <c r="I8" s="2181"/>
      <c r="J8" s="1820"/>
      <c r="K8" s="1820"/>
      <c r="L8" s="1820"/>
      <c r="M8" s="1820"/>
      <c r="N8" s="1820"/>
      <c r="O8" s="1820"/>
      <c r="P8" s="1820"/>
      <c r="Q8" s="1820"/>
      <c r="R8" s="1820"/>
      <c r="S8" s="1820"/>
      <c r="T8" s="1820"/>
      <c r="U8" s="1820"/>
      <c r="V8" s="2182"/>
      <c r="W8" s="1820"/>
      <c r="X8" s="1820"/>
      <c r="Y8" s="1820"/>
      <c r="Z8" s="1820"/>
      <c r="AA8" s="2182"/>
      <c r="AB8" s="2183"/>
      <c r="AC8" s="984" t="s">
        <v>1889</v>
      </c>
      <c r="AD8" s="2184"/>
      <c r="AE8" s="2176"/>
      <c r="AF8" s="1820"/>
      <c r="AG8" s="1820"/>
      <c r="AH8" s="1820"/>
      <c r="AI8" s="1820"/>
      <c r="AJ8" s="1820"/>
      <c r="AK8" s="1820"/>
      <c r="AL8" s="1820"/>
      <c r="AM8" s="1820"/>
      <c r="AN8" s="1820"/>
      <c r="AO8" s="1820"/>
      <c r="AP8" s="1820"/>
      <c r="AQ8" s="1820"/>
      <c r="AR8" s="1820"/>
      <c r="AS8" s="1820"/>
      <c r="AT8" s="1294" t="s">
        <v>1890</v>
      </c>
      <c r="AU8" s="2178" t="s">
        <v>1891</v>
      </c>
      <c r="AV8" s="1294"/>
      <c r="AW8" s="2161"/>
      <c r="AX8" s="1294"/>
      <c r="AY8" s="2162" t="s">
        <v>1892</v>
      </c>
      <c r="AZ8" s="1819" t="s">
        <v>1893</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5" customFormat="1" ht="12.75">
      <c r="A9" s="2178"/>
      <c r="B9" s="2178"/>
      <c r="C9" s="2178"/>
      <c r="D9" s="2178"/>
      <c r="E9" s="2178"/>
      <c r="F9" s="2178"/>
      <c r="G9" s="1294"/>
      <c r="H9" s="2186" t="s">
        <v>1894</v>
      </c>
      <c r="I9" s="2187" t="s">
        <v>3057</v>
      </c>
      <c r="J9" s="984"/>
      <c r="K9" s="2187"/>
      <c r="L9" s="984"/>
      <c r="M9" s="2187"/>
      <c r="N9" s="984"/>
      <c r="O9" s="2187"/>
      <c r="P9" s="984"/>
      <c r="Q9" s="2187"/>
      <c r="R9" s="984"/>
      <c r="S9" s="2187"/>
      <c r="T9" s="984"/>
      <c r="U9" s="2187"/>
      <c r="V9" s="984"/>
      <c r="W9" s="2187"/>
      <c r="X9" s="2188"/>
      <c r="Y9" s="2187"/>
      <c r="Z9" s="984"/>
      <c r="AA9" s="2187"/>
      <c r="AB9" s="984"/>
      <c r="AC9" s="2179" t="s">
        <v>1894</v>
      </c>
      <c r="AD9" s="15" t="s">
        <v>1895</v>
      </c>
      <c r="AE9" s="1300"/>
      <c r="AF9" s="15" t="s">
        <v>1896</v>
      </c>
      <c r="AG9" s="1300"/>
      <c r="AH9" s="15" t="s">
        <v>1895</v>
      </c>
      <c r="AI9" s="1300"/>
      <c r="AJ9" s="15" t="s">
        <v>1896</v>
      </c>
      <c r="AK9" s="1300"/>
      <c r="AL9" s="15" t="s">
        <v>1895</v>
      </c>
      <c r="AM9" s="1300"/>
      <c r="AN9" s="15" t="s">
        <v>1896</v>
      </c>
      <c r="AO9" s="1300"/>
      <c r="AP9" s="15" t="s">
        <v>1895</v>
      </c>
      <c r="AQ9" s="1300"/>
      <c r="AR9" s="15" t="s">
        <v>1896</v>
      </c>
      <c r="AS9" s="2189"/>
      <c r="AT9" s="2178"/>
      <c r="AU9" s="2178" t="s">
        <v>1897</v>
      </c>
      <c r="AV9" s="1294"/>
      <c r="AW9" s="2161"/>
      <c r="AX9" s="1294"/>
      <c r="AY9" s="28"/>
      <c r="AZ9" s="28" t="s">
        <v>1887</v>
      </c>
      <c r="BA9" s="2190" t="s">
        <v>1898</v>
      </c>
      <c r="BB9" s="2191"/>
      <c r="BC9" s="1340"/>
      <c r="BD9" s="1340"/>
      <c r="BE9" s="1340"/>
      <c r="BF9" s="1340"/>
      <c r="BG9" s="1340"/>
      <c r="BH9" s="1340"/>
      <c r="BI9" s="1340"/>
      <c r="BJ9" s="1340"/>
      <c r="BK9" s="2192"/>
      <c r="BL9" s="15" t="s">
        <v>1899</v>
      </c>
      <c r="BM9" s="1820"/>
      <c r="BN9" s="2181"/>
      <c r="BO9" s="1820"/>
      <c r="BP9" s="1820"/>
      <c r="BQ9" s="1820"/>
      <c r="BR9" s="1820"/>
      <c r="BS9" s="1820"/>
      <c r="BT9" s="26"/>
    </row>
    <row r="10" spans="1:72" s="2185" customFormat="1" ht="12.75">
      <c r="A10" s="2178"/>
      <c r="B10" s="2178"/>
      <c r="C10" s="2178"/>
      <c r="D10" s="2178"/>
      <c r="E10" s="2178"/>
      <c r="F10" s="2178"/>
      <c r="G10" s="1294"/>
      <c r="H10" s="28"/>
      <c r="I10" s="2187" t="s">
        <v>6</v>
      </c>
      <c r="J10" s="984"/>
      <c r="K10" s="2193"/>
      <c r="L10" s="984"/>
      <c r="M10" s="2193"/>
      <c r="N10" s="984"/>
      <c r="O10" s="2193"/>
      <c r="P10" s="984"/>
      <c r="Q10" s="2193"/>
      <c r="R10" s="984"/>
      <c r="S10" s="2193"/>
      <c r="T10" s="984"/>
      <c r="U10" s="2193"/>
      <c r="V10" s="984"/>
      <c r="W10" s="2193"/>
      <c r="X10" s="984"/>
      <c r="Y10" s="2193"/>
      <c r="Z10" s="984"/>
      <c r="AA10" s="2193"/>
      <c r="AB10" s="984"/>
      <c r="AC10" s="1294"/>
      <c r="AD10" s="15" t="s">
        <v>1900</v>
      </c>
      <c r="AE10" s="2194"/>
      <c r="AF10" s="15" t="s">
        <v>1900</v>
      </c>
      <c r="AG10" s="2194"/>
      <c r="AH10" s="15" t="s">
        <v>1901</v>
      </c>
      <c r="AI10" s="2194"/>
      <c r="AJ10" s="15" t="s">
        <v>1901</v>
      </c>
      <c r="AK10" s="2194"/>
      <c r="AL10" s="15" t="s">
        <v>1902</v>
      </c>
      <c r="AM10" s="1300"/>
      <c r="AN10" s="15" t="s">
        <v>1902</v>
      </c>
      <c r="AO10" s="1300"/>
      <c r="AP10" s="15" t="s">
        <v>1903</v>
      </c>
      <c r="AQ10" s="1300"/>
      <c r="AR10" s="15" t="s">
        <v>1903</v>
      </c>
      <c r="AS10" s="1300"/>
      <c r="AT10" s="2178"/>
      <c r="AU10" s="2178"/>
      <c r="AV10" s="1294"/>
      <c r="AW10" s="2161"/>
      <c r="AX10" s="1294"/>
      <c r="AY10" s="28"/>
      <c r="AZ10" s="28"/>
      <c r="BA10" s="2195" t="s">
        <v>1894</v>
      </c>
      <c r="BB10" s="2196" t="str">
        <f>I9</f>
        <v>地上</v>
      </c>
      <c r="BC10" s="29">
        <f>K9</f>
        <v>0</v>
      </c>
      <c r="BD10" s="29">
        <f>M9</f>
        <v>0</v>
      </c>
      <c r="BE10" s="29">
        <f>O9</f>
        <v>0</v>
      </c>
      <c r="BF10" s="29">
        <f>Q9</f>
        <v>0</v>
      </c>
      <c r="BG10" s="29">
        <f>S9</f>
        <v>0</v>
      </c>
      <c r="BH10" s="29">
        <f>U9</f>
        <v>0</v>
      </c>
      <c r="BI10" s="29">
        <f>W9</f>
        <v>0</v>
      </c>
      <c r="BJ10" s="29">
        <f>Y9</f>
        <v>0</v>
      </c>
      <c r="BK10" s="29">
        <f>AA9</f>
        <v>0</v>
      </c>
      <c r="BL10" s="25" t="s">
        <v>1894</v>
      </c>
      <c r="BM10" s="1819" t="str">
        <f>AD9</f>
        <v>地上</v>
      </c>
      <c r="BN10" s="29" t="str">
        <f>AF9</f>
        <v>地下</v>
      </c>
      <c r="BO10" s="1819" t="str">
        <f>AH9</f>
        <v>地上</v>
      </c>
      <c r="BP10" s="29" t="str">
        <f>AJ9</f>
        <v>地下</v>
      </c>
      <c r="BQ10" s="1819" t="str">
        <f>AL9</f>
        <v>地上</v>
      </c>
      <c r="BR10" s="29" t="str">
        <f>AN9</f>
        <v>地下</v>
      </c>
      <c r="BS10" s="1819" t="str">
        <f>AP9</f>
        <v>地上</v>
      </c>
      <c r="BT10" s="2197" t="str">
        <f>AR9</f>
        <v>地下</v>
      </c>
    </row>
    <row r="11" spans="1:72" s="2185" customFormat="1" ht="12.75">
      <c r="A11" s="2178"/>
      <c r="B11" s="2178"/>
      <c r="C11" s="2178"/>
      <c r="D11" s="2178"/>
      <c r="E11" s="2178"/>
      <c r="F11" s="2178"/>
      <c r="G11" s="1294"/>
      <c r="H11" s="2195"/>
      <c r="I11" s="2198" t="s">
        <v>3056</v>
      </c>
      <c r="J11" s="2199"/>
      <c r="K11" s="2198"/>
      <c r="L11" s="2199"/>
      <c r="M11" s="2198"/>
      <c r="N11" s="2199"/>
      <c r="O11" s="2198"/>
      <c r="P11" s="2199"/>
      <c r="Q11" s="2198"/>
      <c r="R11" s="2199"/>
      <c r="S11" s="2198"/>
      <c r="T11" s="2199"/>
      <c r="U11" s="2198"/>
      <c r="V11" s="2199"/>
      <c r="W11" s="2198"/>
      <c r="X11" s="2199"/>
      <c r="Y11" s="2198"/>
      <c r="Z11" s="2199"/>
      <c r="AA11" s="2198"/>
      <c r="AB11" s="2199"/>
      <c r="AC11" s="1294"/>
      <c r="AD11" s="2200" t="s">
        <v>1904</v>
      </c>
      <c r="AE11" s="1821"/>
      <c r="AF11" s="2200" t="s">
        <v>1904</v>
      </c>
      <c r="AG11" s="1821"/>
      <c r="AH11" s="2200" t="s">
        <v>1905</v>
      </c>
      <c r="AI11" s="2201"/>
      <c r="AJ11" s="2200" t="s">
        <v>1905</v>
      </c>
      <c r="AK11" s="1821"/>
      <c r="AL11" s="1819"/>
      <c r="AM11" s="1821"/>
      <c r="AN11" s="1819"/>
      <c r="AO11" s="1821"/>
      <c r="AP11" s="1819"/>
      <c r="AQ11" s="1821"/>
      <c r="AR11" s="1819"/>
      <c r="AS11" s="1821"/>
      <c r="AT11" s="2161"/>
      <c r="AU11" s="2178"/>
      <c r="AV11" s="1294"/>
      <c r="AW11" s="2161"/>
      <c r="AX11" s="1294"/>
      <c r="AY11" s="28"/>
      <c r="AZ11" s="28"/>
      <c r="BA11" s="28"/>
      <c r="BB11" s="2183" t="str">
        <f>I10</f>
        <v>工业</v>
      </c>
      <c r="BC11" s="2183">
        <f>K10</f>
        <v>0</v>
      </c>
      <c r="BD11" s="2183">
        <f>M10</f>
        <v>0</v>
      </c>
      <c r="BE11" s="2183">
        <f>O10</f>
        <v>0</v>
      </c>
      <c r="BF11" s="2183">
        <f>Q10</f>
        <v>0</v>
      </c>
      <c r="BG11" s="2183">
        <f>S10</f>
        <v>0</v>
      </c>
      <c r="BH11" s="2183">
        <f>U10</f>
        <v>0</v>
      </c>
      <c r="BI11" s="2183">
        <f>W10</f>
        <v>0</v>
      </c>
      <c r="BJ11" s="2183">
        <f>Y10</f>
        <v>0</v>
      </c>
      <c r="BK11" s="2183">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4" t="s">
        <v>1907</v>
      </c>
      <c r="W12" s="11" t="s">
        <v>1906</v>
      </c>
      <c r="X12" s="11" t="s">
        <v>1907</v>
      </c>
      <c r="Y12" s="11" t="s">
        <v>1906</v>
      </c>
      <c r="Z12" s="11" t="s">
        <v>1907</v>
      </c>
      <c r="AA12" s="11" t="s">
        <v>1906</v>
      </c>
      <c r="AB12" s="11" t="s">
        <v>1907</v>
      </c>
      <c r="AC12" s="2205"/>
      <c r="AD12" s="180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3" t="s">
        <v>1907</v>
      </c>
      <c r="AT12" s="2206"/>
      <c r="AU12" s="2203"/>
      <c r="AV12" s="31"/>
      <c r="AW12" s="2162"/>
      <c r="AX12" s="31"/>
      <c r="AY12" s="2207"/>
      <c r="AZ12" s="28"/>
      <c r="BA12" s="2195"/>
      <c r="BB12" s="24" t="str">
        <f>I11</f>
        <v>办公楼</v>
      </c>
      <c r="BC12" s="2208">
        <f>K11</f>
        <v>0</v>
      </c>
      <c r="BD12" s="2208">
        <f>M11</f>
        <v>0</v>
      </c>
      <c r="BE12" s="2183">
        <f>O11</f>
        <v>0</v>
      </c>
      <c r="BF12" s="2183">
        <f>Q11</f>
        <v>0</v>
      </c>
      <c r="BG12" s="2183">
        <f>S11</f>
        <v>0</v>
      </c>
      <c r="BH12" s="2183">
        <f>U11</f>
        <v>0</v>
      </c>
      <c r="BI12" s="2183">
        <f>W11</f>
        <v>0</v>
      </c>
      <c r="BJ12" s="2183">
        <f>Y11</f>
        <v>0</v>
      </c>
      <c r="BK12" s="2183">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202">
        <f>AR11</f>
        <v>0</v>
      </c>
    </row>
    <row r="13" spans="1:72" s="2163" customFormat="1" ht="24">
      <c r="A13" s="1274"/>
      <c r="B13" s="1274"/>
      <c r="C13" s="2950" t="s">
        <v>3082</v>
      </c>
      <c r="D13" s="2209" t="s">
        <v>3045</v>
      </c>
      <c r="E13" s="16">
        <f>IF($C$3="是",ROUND($A$3*G13/$B$3,2),ROUND($A$3*(G13-AT13)/$B$3,2))</f>
        <v>0</v>
      </c>
      <c r="F13" s="32"/>
      <c r="G13" s="33">
        <f>H13+AC13+AT13</f>
        <v>1246.4000000000001</v>
      </c>
      <c r="H13" s="20">
        <f>SUMIF(I$12:AB$12,"总值",I13:AB13)</f>
        <v>1246.4000000000001</v>
      </c>
      <c r="I13" s="2210">
        <v>1246.4000000000001</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工业立项办公楼</v>
      </c>
      <c r="AY13" s="1808">
        <f>ROUND($AY$6*AZ13/$AZ$5,2)</f>
        <v>0</v>
      </c>
      <c r="AZ13" s="16">
        <f>BA13+BL13</f>
        <v>1246.4000000000001</v>
      </c>
      <c r="BA13" s="16">
        <f>SUM(BB13:BK13)</f>
        <v>1246.4000000000001</v>
      </c>
      <c r="BB13" s="16">
        <f>IF($D13="是",I13-J13,0)</f>
        <v>1246.4000000000001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4"/>
      <c r="B14" s="1274"/>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4"/>
      <c r="B15" s="1274"/>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4"/>
      <c r="B16" s="1274"/>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4"/>
      <c r="B17" s="1274"/>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2" t="s">
        <v>0</v>
      </c>
      <c r="B1" s="3032" t="s">
        <v>4</v>
      </c>
      <c r="C1" s="3032" t="s">
        <v>5</v>
      </c>
      <c r="D1" s="3033" t="s">
        <v>53</v>
      </c>
      <c r="E1" s="3033" t="s">
        <v>54</v>
      </c>
      <c r="F1" s="3033"/>
      <c r="G1" s="3033"/>
      <c r="H1" s="3033"/>
      <c r="I1" s="3033"/>
      <c r="J1" s="3033"/>
      <c r="K1" s="3033"/>
      <c r="L1" s="3033"/>
      <c r="M1" s="3033"/>
    </row>
    <row r="2" spans="1:13" ht="27" customHeight="1">
      <c r="A2" s="3032"/>
      <c r="B2" s="3032"/>
      <c r="C2" s="3032"/>
      <c r="D2" s="3033"/>
      <c r="E2" s="3033" t="s">
        <v>37</v>
      </c>
      <c r="F2" s="3033" t="s">
        <v>38</v>
      </c>
      <c r="G2" s="3033"/>
      <c r="H2" s="3033"/>
      <c r="I2" s="3033"/>
      <c r="J2" s="3033" t="s">
        <v>39</v>
      </c>
      <c r="K2" s="3033"/>
      <c r="L2" s="3033"/>
      <c r="M2" s="3033"/>
    </row>
    <row r="3" spans="1:13" ht="28.5">
      <c r="A3" s="3032"/>
      <c r="B3" s="3032"/>
      <c r="C3" s="3032"/>
      <c r="D3" s="3033"/>
      <c r="E3" s="303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3" t="s">
        <v>55</v>
      </c>
      <c r="B9" s="3033"/>
      <c r="C9" s="303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1933</v>
      </c>
      <c r="B1" s="1394"/>
      <c r="C1" s="1394"/>
      <c r="D1" s="1394"/>
      <c r="E1" s="1394"/>
      <c r="F1" s="1394"/>
      <c r="G1" s="1394"/>
      <c r="H1" s="1394"/>
      <c r="I1" s="1394"/>
      <c r="J1" s="1394"/>
      <c r="K1" s="1394"/>
      <c r="L1" s="1394"/>
      <c r="M1" s="1394"/>
      <c r="N1" s="1394"/>
      <c r="O1" s="1394"/>
      <c r="P1" s="1394"/>
    </row>
    <row r="2" spans="1:16" ht="15">
      <c r="A2" s="3043" t="s">
        <v>1934</v>
      </c>
      <c r="B2" s="3043"/>
      <c r="C2" s="3043"/>
      <c r="D2" s="970" t="s">
        <v>1910</v>
      </c>
      <c r="E2" s="2223" t="s">
        <v>1911</v>
      </c>
      <c r="F2" s="1394"/>
      <c r="G2" s="2224"/>
      <c r="H2" s="2225"/>
      <c r="I2" s="2226" t="s">
        <v>1935</v>
      </c>
      <c r="J2" s="1394"/>
      <c r="K2" s="1394"/>
      <c r="L2" s="1394"/>
      <c r="M2" s="1394"/>
      <c r="N2" s="1429"/>
      <c r="O2" s="1394"/>
      <c r="P2" s="1394"/>
    </row>
    <row r="3" spans="1:16" ht="15.75" thickBot="1">
      <c r="A3" s="3044" t="s">
        <v>1908</v>
      </c>
      <c r="B3" s="3044"/>
      <c r="C3" s="3044"/>
      <c r="D3" s="46">
        <f>'数据-基础表'!AY6</f>
        <v>0</v>
      </c>
      <c r="E3" s="46">
        <f>'数据-基础表'!AZ5</f>
        <v>1246.4000000000001</v>
      </c>
      <c r="F3" s="1394"/>
      <c r="G3" s="1401"/>
      <c r="H3" s="1249" t="s">
        <v>1909</v>
      </c>
      <c r="I3" s="55" t="e">
        <f>ROUND('数据-基础表'!B3/'数据-基础表'!A3,2)</f>
        <v>#DIV/0!</v>
      </c>
      <c r="J3" s="1394"/>
      <c r="K3" s="1394"/>
      <c r="L3" s="1394"/>
      <c r="M3" s="1394"/>
      <c r="N3" s="1429"/>
      <c r="O3" s="1394"/>
      <c r="P3" s="1394"/>
    </row>
    <row r="4" spans="1:16" ht="15">
      <c r="A4" s="3045"/>
      <c r="B4" s="3046"/>
      <c r="C4" s="3047"/>
      <c r="D4" s="2227" t="s">
        <v>1910</v>
      </c>
      <c r="E4" s="2228" t="s">
        <v>1911</v>
      </c>
      <c r="F4" s="1394"/>
      <c r="G4" s="2229" t="s">
        <v>1936</v>
      </c>
      <c r="H4" s="1249" t="s">
        <v>1916</v>
      </c>
      <c r="I4" s="55" t="e">
        <f>ROUND(SUMIF('数据-基础表'!I9:AS9,"地上",'数据-基础表'!I5:AS5)/'数据-基础表'!A3,2)</f>
        <v>#DIV/0!</v>
      </c>
      <c r="J4" s="1394"/>
      <c r="K4" s="1394"/>
      <c r="L4" s="1394"/>
      <c r="M4" s="1394"/>
      <c r="N4" s="1429"/>
      <c r="O4" s="1394"/>
      <c r="P4" s="1394"/>
    </row>
    <row r="5" spans="1:16">
      <c r="A5" s="47" t="s">
        <v>1912</v>
      </c>
      <c r="B5" s="3048" t="s">
        <v>1913</v>
      </c>
      <c r="C5" s="3048"/>
      <c r="D5" s="48">
        <f>ROUND($D$3*E5/$E$3,2)</f>
        <v>0</v>
      </c>
      <c r="E5" s="49">
        <f>SUMIF('数据-基础表'!$11:$11,"住宅",'数据-基础表'!$5:$5)</f>
        <v>0</v>
      </c>
      <c r="F5" s="1394"/>
      <c r="G5" s="1401"/>
      <c r="H5" s="1249" t="s">
        <v>1909</v>
      </c>
      <c r="I5" s="55" t="e">
        <f>ROUND(E31/D31,2)</f>
        <v>#DIV/0!</v>
      </c>
      <c r="J5" s="1394"/>
      <c r="K5" s="1394"/>
      <c r="L5" s="1394"/>
      <c r="M5" s="1394"/>
      <c r="N5" s="1394"/>
      <c r="O5" s="1394"/>
      <c r="P5" s="1394"/>
    </row>
    <row r="6" spans="1:16" ht="15" thickBot="1">
      <c r="A6" s="2230"/>
      <c r="B6" s="3048" t="s">
        <v>1914</v>
      </c>
      <c r="C6" s="3048"/>
      <c r="D6" s="48">
        <f>ROUND($D$3*E6/$E$3,2)</f>
        <v>0</v>
      </c>
      <c r="E6" s="49">
        <f>E3-E5</f>
        <v>1246.4000000000001</v>
      </c>
      <c r="F6" s="1394"/>
      <c r="G6" s="2231" t="s">
        <v>1915</v>
      </c>
      <c r="H6" s="1401" t="s">
        <v>1916</v>
      </c>
      <c r="I6" s="942" t="e">
        <f>ROUND(F31/D31,2)</f>
        <v>#DIV/0!</v>
      </c>
      <c r="J6" s="1394"/>
      <c r="K6" s="1394"/>
      <c r="L6" s="1394"/>
      <c r="M6" s="1394"/>
      <c r="N6" s="1394"/>
      <c r="O6" s="1394"/>
      <c r="P6" s="1394"/>
    </row>
    <row r="7" spans="1:16" ht="15">
      <c r="A7" s="3040"/>
      <c r="B7" s="3041"/>
      <c r="C7" s="3042"/>
      <c r="D7" s="2227" t="s">
        <v>1910</v>
      </c>
      <c r="E7" s="2232" t="s">
        <v>1917</v>
      </c>
      <c r="F7" s="1394"/>
      <c r="G7" s="2224" t="s">
        <v>1918</v>
      </c>
      <c r="H7" s="64"/>
      <c r="I7" s="420"/>
      <c r="J7" s="1394"/>
      <c r="K7" s="1394"/>
      <c r="L7" s="1394"/>
      <c r="M7" s="1394"/>
      <c r="N7" s="1394"/>
      <c r="O7" s="1394"/>
      <c r="P7" s="1394"/>
    </row>
    <row r="8" spans="1:16">
      <c r="A8" s="47" t="s">
        <v>1919</v>
      </c>
      <c r="B8" s="50" t="s">
        <v>1920</v>
      </c>
      <c r="C8" s="48" t="s">
        <v>1921</v>
      </c>
      <c r="D8" s="48">
        <f t="shared" ref="D8:D15" si="0">ROUND($D$3*E8/$E$3,2)</f>
        <v>0</v>
      </c>
      <c r="E8" s="51">
        <f>SUMIF('数据-基础表'!BB10:BK10,"地上",'数据-基础表'!BB5:BK5)</f>
        <v>1246.4000000000001</v>
      </c>
      <c r="F8" s="1394"/>
      <c r="G8" s="2233"/>
      <c r="H8" s="2233"/>
      <c r="I8" s="1394"/>
      <c r="J8" s="1394"/>
      <c r="K8" s="1394"/>
      <c r="L8" s="1394"/>
      <c r="M8" s="1394"/>
      <c r="N8" s="1394"/>
      <c r="O8" s="1394"/>
      <c r="P8" s="1394"/>
    </row>
    <row r="9" spans="1:16">
      <c r="A9" s="2234"/>
      <c r="B9" s="2235"/>
      <c r="C9" s="48" t="s">
        <v>1922</v>
      </c>
      <c r="D9" s="48">
        <f t="shared" si="0"/>
        <v>0</v>
      </c>
      <c r="E9" s="52">
        <v>0</v>
      </c>
      <c r="F9" s="1394"/>
      <c r="G9" s="2233"/>
      <c r="H9" s="2233"/>
      <c r="I9" s="1394"/>
      <c r="J9" s="1394"/>
      <c r="K9" s="1394"/>
      <c r="L9" s="1394"/>
      <c r="M9" s="1394"/>
      <c r="N9" s="1394"/>
      <c r="O9" s="1394"/>
      <c r="P9" s="1394"/>
    </row>
    <row r="10" spans="1:16">
      <c r="A10" s="2234"/>
      <c r="B10" s="2235"/>
      <c r="C10" s="48" t="s">
        <v>1931</v>
      </c>
      <c r="D10" s="48">
        <f t="shared" si="0"/>
        <v>0</v>
      </c>
      <c r="E10" s="51">
        <f>SUMPRODUCT(('数据-基础表'!BB10:BK10="地下")*('数据-基础表'!BB11:BK11="商业")*('数据-基础表'!BB5:BK5))</f>
        <v>0</v>
      </c>
      <c r="F10" s="1394"/>
      <c r="G10" s="2233"/>
      <c r="H10" s="2233"/>
      <c r="I10" s="1394"/>
      <c r="J10" s="1394"/>
      <c r="K10" s="1394"/>
      <c r="L10" s="1394"/>
      <c r="M10" s="1394"/>
      <c r="N10" s="1394"/>
      <c r="O10" s="1394"/>
      <c r="P10" s="1394"/>
    </row>
    <row r="11" spans="1:16">
      <c r="A11" s="2234"/>
      <c r="B11" s="2235"/>
      <c r="C11" s="48" t="s">
        <v>1923</v>
      </c>
      <c r="D11" s="48">
        <f t="shared" si="0"/>
        <v>0</v>
      </c>
      <c r="E11" s="51">
        <f>SUMPRODUCT(('数据-基础表'!BB10:BK10="地下")*('数据-基础表'!BB11:BK11="办公")*('数据-基础表'!BB5:BK5))+'数据-基础表'!BP5</f>
        <v>0</v>
      </c>
      <c r="F11" s="1394"/>
      <c r="G11" s="2233"/>
      <c r="H11" s="2233"/>
      <c r="I11" s="1394"/>
      <c r="J11" s="1394"/>
      <c r="K11" s="1394"/>
      <c r="L11" s="1394"/>
      <c r="M11" s="1394"/>
      <c r="N11" s="1394"/>
      <c r="O11" s="1394"/>
      <c r="P11" s="1394"/>
    </row>
    <row r="12" spans="1:16">
      <c r="A12" s="2234"/>
      <c r="B12" s="2235"/>
      <c r="C12" s="48" t="s">
        <v>1924</v>
      </c>
      <c r="D12" s="48">
        <f t="shared" si="0"/>
        <v>0</v>
      </c>
      <c r="E12" s="51">
        <f>SUMPRODUCT(('数据-基础表'!BB10:BK10="地下")*('数据-基础表'!BB11:BK11="仓储")*('数据-基础表'!BB5:BK5))</f>
        <v>0</v>
      </c>
      <c r="F12" s="1394"/>
      <c r="G12" s="2233"/>
      <c r="H12" s="2233"/>
      <c r="I12" s="1394"/>
      <c r="J12" s="1394"/>
      <c r="K12" s="1394"/>
      <c r="L12" s="1394"/>
      <c r="M12" s="1394"/>
      <c r="N12" s="1394"/>
      <c r="O12" s="1394"/>
      <c r="P12" s="1394"/>
    </row>
    <row r="13" spans="1:16">
      <c r="A13" s="2234"/>
      <c r="B13" s="2235"/>
      <c r="C13" s="48" t="s">
        <v>1925</v>
      </c>
      <c r="D13" s="48">
        <f t="shared" si="0"/>
        <v>0</v>
      </c>
      <c r="E13" s="51">
        <f>SUMPRODUCT(('数据-基础表'!BB10:BK10="地下")*('数据-基础表'!BB11:BK11="车库")*('数据-基础表'!BB5:BK5))</f>
        <v>0</v>
      </c>
      <c r="F13" s="1394"/>
      <c r="G13" s="2233"/>
      <c r="H13" s="2233"/>
      <c r="I13" s="1394"/>
      <c r="J13" s="1394"/>
      <c r="K13" s="1394"/>
      <c r="L13" s="1394"/>
      <c r="M13" s="1394"/>
      <c r="N13" s="1394"/>
      <c r="O13" s="1394"/>
      <c r="P13" s="1394"/>
    </row>
    <row r="14" spans="1:16">
      <c r="A14" s="2234"/>
      <c r="B14" s="2235"/>
      <c r="C14" s="48" t="s">
        <v>1937</v>
      </c>
      <c r="D14" s="48">
        <f t="shared" si="0"/>
        <v>0</v>
      </c>
      <c r="E14" s="51">
        <f>SUMPRODUCT(('数据-基础表'!BB10:BK10="地下")*('数据-基础表'!BB11:BK11="车库—商业")*('数据-基础表'!BB5:BK5))</f>
        <v>0</v>
      </c>
      <c r="F14" s="1394"/>
      <c r="G14" s="2233"/>
      <c r="H14" s="2233"/>
      <c r="I14" s="1394"/>
      <c r="J14" s="1394"/>
      <c r="K14" s="1394"/>
      <c r="L14" s="1394"/>
      <c r="M14" s="1394"/>
      <c r="N14" s="1394"/>
      <c r="O14" s="1394"/>
      <c r="P14" s="1394"/>
    </row>
    <row r="15" spans="1:16" ht="15" thickBot="1">
      <c r="A15" s="2234"/>
      <c r="B15" s="2235"/>
      <c r="C15" s="48" t="s">
        <v>1932</v>
      </c>
      <c r="D15" s="48">
        <f t="shared" si="0"/>
        <v>0</v>
      </c>
      <c r="E15" s="51">
        <f>SUMPRODUCT(('数据-基础表'!BB10:BK10="地下")*('数据-基础表'!BB11:BK11="车库—办公")*('数据-基础表'!BB5:BK5))</f>
        <v>0</v>
      </c>
      <c r="F15" s="1394"/>
      <c r="G15" s="2233"/>
      <c r="H15" s="2233"/>
      <c r="I15" s="1394"/>
      <c r="J15" s="1394"/>
      <c r="K15" s="1394"/>
      <c r="L15" s="1394"/>
      <c r="M15" s="1394"/>
      <c r="N15" s="1394"/>
      <c r="O15" s="1394"/>
      <c r="P15" s="1394"/>
    </row>
    <row r="16" spans="1:16" ht="15.75" thickBot="1">
      <c r="A16" s="2230"/>
      <c r="B16" s="2235"/>
      <c r="C16" s="50" t="s">
        <v>1926</v>
      </c>
      <c r="D16" s="50">
        <f>SUM(D8:D15)</f>
        <v>0</v>
      </c>
      <c r="E16" s="53">
        <f>SUM(E8:E15)</f>
        <v>1246.4000000000001</v>
      </c>
      <c r="F16" s="1394"/>
      <c r="G16" s="2233"/>
      <c r="H16" s="2236" t="s">
        <v>1938</v>
      </c>
      <c r="I16" s="2237"/>
      <c r="J16" s="1394"/>
      <c r="K16" s="3037" t="s">
        <v>1938</v>
      </c>
      <c r="L16" s="3038"/>
      <c r="M16" s="3038"/>
      <c r="N16" s="3038"/>
      <c r="O16" s="3038"/>
      <c r="P16" s="3039"/>
    </row>
    <row r="17" spans="1:19" ht="15">
      <c r="A17" s="2238" t="s">
        <v>1939</v>
      </c>
      <c r="B17" s="2239" t="s">
        <v>1940</v>
      </c>
      <c r="C17" s="2240" t="s">
        <v>1941</v>
      </c>
      <c r="D17" s="2241" t="s">
        <v>1929</v>
      </c>
      <c r="E17" s="2242" t="s">
        <v>1930</v>
      </c>
      <c r="F17" s="2243"/>
      <c r="G17" s="2244"/>
      <c r="H17" s="2245" t="s">
        <v>1942</v>
      </c>
      <c r="I17" s="2246" t="s">
        <v>1927</v>
      </c>
      <c r="J17" s="1394"/>
      <c r="K17" s="3034" t="s">
        <v>1943</v>
      </c>
      <c r="L17" s="3035"/>
      <c r="M17" s="3036"/>
      <c r="N17" s="3034" t="s">
        <v>1944</v>
      </c>
      <c r="O17" s="3035"/>
      <c r="P17" s="3036"/>
      <c r="R17" s="2224" t="s">
        <v>1945</v>
      </c>
      <c r="S17" s="64"/>
    </row>
    <row r="18" spans="1:19" ht="15">
      <c r="A18" s="2234"/>
      <c r="B18" s="2247"/>
      <c r="C18" s="2248"/>
      <c r="D18" s="2249"/>
      <c r="E18" s="2250" t="s">
        <v>1946</v>
      </c>
      <c r="F18" s="2251" t="s">
        <v>1947</v>
      </c>
      <c r="G18" s="2252" t="s">
        <v>1948</v>
      </c>
      <c r="H18" s="1264" t="s">
        <v>1949</v>
      </c>
      <c r="I18" s="2253" t="s">
        <v>1950</v>
      </c>
      <c r="J18" s="1394"/>
      <c r="K18" s="1264" t="s">
        <v>1951</v>
      </c>
      <c r="L18" s="2254" t="s">
        <v>1952</v>
      </c>
      <c r="M18" s="1048" t="s">
        <v>1953</v>
      </c>
      <c r="N18" s="1264" t="s">
        <v>1951</v>
      </c>
      <c r="O18" s="2254" t="s">
        <v>1952</v>
      </c>
      <c r="P18" s="1048" t="s">
        <v>1953</v>
      </c>
      <c r="R18" s="1249" t="s">
        <v>1954</v>
      </c>
      <c r="S18" s="1249" t="s">
        <v>1955</v>
      </c>
    </row>
    <row r="19" spans="1:19">
      <c r="A19" s="2255"/>
      <c r="B19" s="50" t="s">
        <v>1928</v>
      </c>
      <c r="C19" s="2951" t="s">
        <v>3059</v>
      </c>
      <c r="D19" s="48">
        <f>ROUND($D$3*E19/$E$3,2)</f>
        <v>0</v>
      </c>
      <c r="E19" s="56">
        <f t="shared" ref="E19:E26" si="1">SUM(F19:G19)</f>
        <v>1246.4000000000001</v>
      </c>
      <c r="F19" s="57">
        <f>'数据-基础表'!I5</f>
        <v>1246.4000000000001</v>
      </c>
      <c r="G19" s="58"/>
      <c r="H19" s="723">
        <f>ROUND($D$3*I19/$E$3,2)</f>
        <v>0</v>
      </c>
      <c r="I19" s="51">
        <f t="shared" ref="I19:I26" si="2">IF($I$17="自定义",P19,M19)</f>
        <v>0</v>
      </c>
      <c r="J19" s="1394"/>
      <c r="K19" s="1393">
        <f t="shared" ref="K19:K26" si="3">ROUND(E$28*E19/E$27,2)</f>
        <v>0</v>
      </c>
      <c r="L19" s="1249">
        <f t="shared" ref="L19:L26" si="4">ROUND(IF(COUNTIF(C19,"*住宅*")&gt;0,E$29*E19/E$32,0),2)</f>
        <v>0</v>
      </c>
      <c r="M19" s="1405">
        <f>K19+L19</f>
        <v>0</v>
      </c>
      <c r="N19" s="2257"/>
      <c r="O19" s="2258"/>
      <c r="P19" s="1405">
        <f>N19+O19</f>
        <v>0</v>
      </c>
      <c r="R19" s="1249">
        <f t="shared" ref="R19:S26" si="5">D19+H19</f>
        <v>0</v>
      </c>
      <c r="S19" s="1250">
        <f t="shared" si="5"/>
        <v>1246.4000000000001</v>
      </c>
    </row>
    <row r="20" spans="1:19">
      <c r="A20" s="2259"/>
      <c r="B20" s="50" t="s">
        <v>1956</v>
      </c>
      <c r="C20" s="2256"/>
      <c r="D20" s="48">
        <f t="shared" ref="D20:D26" si="6">ROUND($D$3*E20/$E$3,2)</f>
        <v>0</v>
      </c>
      <c r="E20" s="56">
        <f t="shared" si="1"/>
        <v>0</v>
      </c>
      <c r="F20" s="57"/>
      <c r="G20" s="58"/>
      <c r="H20" s="723">
        <f t="shared" ref="H20:H26" si="7">ROUND($D$3*I20/$E$3,2)</f>
        <v>0</v>
      </c>
      <c r="I20" s="51">
        <f t="shared" si="2"/>
        <v>0</v>
      </c>
      <c r="J20" s="1394"/>
      <c r="K20" s="1393">
        <f t="shared" si="3"/>
        <v>0</v>
      </c>
      <c r="L20" s="1249">
        <f t="shared" si="4"/>
        <v>0</v>
      </c>
      <c r="M20" s="1405">
        <f t="shared" ref="M20:M26" si="8">K20+L20</f>
        <v>0</v>
      </c>
      <c r="N20" s="2257"/>
      <c r="O20" s="2258"/>
      <c r="P20" s="1405">
        <f t="shared" ref="P20:P26" si="9">N20+O20</f>
        <v>0</v>
      </c>
      <c r="R20" s="1249">
        <f t="shared" si="5"/>
        <v>0</v>
      </c>
      <c r="S20" s="1250">
        <f t="shared" si="5"/>
        <v>0</v>
      </c>
    </row>
    <row r="21" spans="1:19">
      <c r="A21" s="2259"/>
      <c r="B21" s="50" t="s">
        <v>1956</v>
      </c>
      <c r="C21" s="2256"/>
      <c r="D21" s="48">
        <f t="shared" si="6"/>
        <v>0</v>
      </c>
      <c r="E21" s="56">
        <f t="shared" si="1"/>
        <v>0</v>
      </c>
      <c r="F21" s="57"/>
      <c r="G21" s="58"/>
      <c r="H21" s="723">
        <f t="shared" si="7"/>
        <v>0</v>
      </c>
      <c r="I21" s="51">
        <f t="shared" si="2"/>
        <v>0</v>
      </c>
      <c r="J21" s="1394"/>
      <c r="K21" s="1393">
        <f t="shared" si="3"/>
        <v>0</v>
      </c>
      <c r="L21" s="1249">
        <f t="shared" si="4"/>
        <v>0</v>
      </c>
      <c r="M21" s="1405">
        <f t="shared" si="8"/>
        <v>0</v>
      </c>
      <c r="N21" s="2257"/>
      <c r="O21" s="2258"/>
      <c r="P21" s="1405">
        <f t="shared" si="9"/>
        <v>0</v>
      </c>
      <c r="R21" s="1249">
        <f t="shared" si="5"/>
        <v>0</v>
      </c>
      <c r="S21" s="1250">
        <f t="shared" si="5"/>
        <v>0</v>
      </c>
    </row>
    <row r="22" spans="1:19">
      <c r="A22" s="2259"/>
      <c r="B22" s="50" t="s">
        <v>1956</v>
      </c>
      <c r="C22" s="60"/>
      <c r="D22" s="48">
        <f t="shared" si="6"/>
        <v>0</v>
      </c>
      <c r="E22" s="56">
        <f t="shared" si="1"/>
        <v>0</v>
      </c>
      <c r="F22" s="61"/>
      <c r="G22" s="62"/>
      <c r="H22" s="723">
        <f t="shared" si="7"/>
        <v>0</v>
      </c>
      <c r="I22" s="51">
        <f t="shared" si="2"/>
        <v>0</v>
      </c>
      <c r="J22" s="1394"/>
      <c r="K22" s="1393">
        <f t="shared" si="3"/>
        <v>0</v>
      </c>
      <c r="L22" s="1249">
        <f t="shared" si="4"/>
        <v>0</v>
      </c>
      <c r="M22" s="1405">
        <f t="shared" si="8"/>
        <v>0</v>
      </c>
      <c r="N22" s="2257"/>
      <c r="O22" s="2258"/>
      <c r="P22" s="1405">
        <f t="shared" si="9"/>
        <v>0</v>
      </c>
      <c r="R22" s="1249">
        <f t="shared" si="5"/>
        <v>0</v>
      </c>
      <c r="S22" s="1250">
        <f t="shared" si="5"/>
        <v>0</v>
      </c>
    </row>
    <row r="23" spans="1:19">
      <c r="A23" s="2259"/>
      <c r="B23" s="50" t="s">
        <v>1956</v>
      </c>
      <c r="C23" s="60"/>
      <c r="D23" s="48">
        <f>ROUND($D$3*E23/$E$3,2)</f>
        <v>0</v>
      </c>
      <c r="E23" s="56">
        <f>SUM(F23:G23)</f>
        <v>0</v>
      </c>
      <c r="F23" s="61"/>
      <c r="G23" s="62"/>
      <c r="H23" s="723">
        <f>ROUND($D$3*I23/$E$3,2)</f>
        <v>0</v>
      </c>
      <c r="I23" s="51">
        <f t="shared" si="2"/>
        <v>0</v>
      </c>
      <c r="J23" s="1394"/>
      <c r="K23" s="1393">
        <f t="shared" si="3"/>
        <v>0</v>
      </c>
      <c r="L23" s="1249">
        <f t="shared" si="4"/>
        <v>0</v>
      </c>
      <c r="M23" s="1405">
        <f t="shared" si="8"/>
        <v>0</v>
      </c>
      <c r="N23" s="2257"/>
      <c r="O23" s="2258"/>
      <c r="P23" s="1405">
        <f t="shared" si="9"/>
        <v>0</v>
      </c>
      <c r="R23" s="1249">
        <f t="shared" si="5"/>
        <v>0</v>
      </c>
      <c r="S23" s="1250">
        <f t="shared" si="5"/>
        <v>0</v>
      </c>
    </row>
    <row r="24" spans="1:19">
      <c r="A24" s="2259"/>
      <c r="B24" s="50" t="s">
        <v>1956</v>
      </c>
      <c r="C24" s="60"/>
      <c r="D24" s="48">
        <f>ROUND($D$3*E24/$E$3,2)</f>
        <v>0</v>
      </c>
      <c r="E24" s="56">
        <f>SUM(F24:G24)</f>
        <v>0</v>
      </c>
      <c r="F24" s="61"/>
      <c r="G24" s="62"/>
      <c r="H24" s="723">
        <f>ROUND($D$3*I24/$E$3,2)</f>
        <v>0</v>
      </c>
      <c r="I24" s="51">
        <f t="shared" si="2"/>
        <v>0</v>
      </c>
      <c r="J24" s="1394"/>
      <c r="K24" s="1393">
        <f t="shared" si="3"/>
        <v>0</v>
      </c>
      <c r="L24" s="1249">
        <f t="shared" si="4"/>
        <v>0</v>
      </c>
      <c r="M24" s="1405">
        <f t="shared" si="8"/>
        <v>0</v>
      </c>
      <c r="N24" s="2257"/>
      <c r="O24" s="2258"/>
      <c r="P24" s="1405">
        <f t="shared" si="9"/>
        <v>0</v>
      </c>
      <c r="R24" s="1249">
        <f t="shared" si="5"/>
        <v>0</v>
      </c>
      <c r="S24" s="1250">
        <f t="shared" si="5"/>
        <v>0</v>
      </c>
    </row>
    <row r="25" spans="1:19">
      <c r="A25" s="2259"/>
      <c r="B25" s="50" t="s">
        <v>1956</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57"/>
      <c r="O25" s="2258"/>
      <c r="P25" s="1405">
        <f t="shared" si="9"/>
        <v>0</v>
      </c>
      <c r="R25" s="1249">
        <f t="shared" si="5"/>
        <v>0</v>
      </c>
      <c r="S25" s="1250">
        <f t="shared" si="5"/>
        <v>0</v>
      </c>
    </row>
    <row r="26" spans="1:19">
      <c r="A26" s="2259"/>
      <c r="B26" s="50" t="s">
        <v>1956</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0"/>
      <c r="O26" s="2261"/>
      <c r="P26" s="67">
        <f t="shared" si="9"/>
        <v>0</v>
      </c>
      <c r="R26" s="1249">
        <f t="shared" si="5"/>
        <v>0</v>
      </c>
      <c r="S26" s="1250">
        <f t="shared" si="5"/>
        <v>0</v>
      </c>
    </row>
    <row r="27" spans="1:19" ht="15.75" thickBot="1">
      <c r="A27" s="2259"/>
      <c r="B27" s="48"/>
      <c r="C27" s="2262" t="s">
        <v>1957</v>
      </c>
      <c r="D27" s="1395">
        <f>SUM(D19:D26)</f>
        <v>0</v>
      </c>
      <c r="E27" s="1396">
        <f>IF(SUM(E19:E26)='数据-基础表'!BA5,SUM(E19:E26),IF(F27="地上面积有误","面积有误","地下面积有误"))</f>
        <v>1246.4000000000001</v>
      </c>
      <c r="F27" s="1395">
        <f>IF(SUM(F19:F26)=E8,SUM(F19:F26),"地上面积有误")</f>
        <v>1246.4000000000001</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0</v>
      </c>
      <c r="S27" s="1249">
        <f>IF(SUM(S19:S26)=$E$3,SUM(S19:S26),SUM(S19:S26)&amp;"误差"&amp;ROUND(SUM(S19:S26)-E3,2))</f>
        <v>1246.4000000000001</v>
      </c>
    </row>
    <row r="28" spans="1:19">
      <c r="A28" s="2259"/>
      <c r="B28" s="50" t="s">
        <v>1958</v>
      </c>
      <c r="C28" s="1261" t="s">
        <v>1959</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59"/>
      <c r="B29" s="50" t="s">
        <v>1958</v>
      </c>
      <c r="C29" s="2263" t="s">
        <v>1960</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59"/>
      <c r="B30" s="50"/>
      <c r="C30" s="2264" t="s">
        <v>1957</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65"/>
      <c r="B31" s="2266"/>
      <c r="C31" s="1010" t="s">
        <v>1961</v>
      </c>
      <c r="D31" s="729">
        <f>D27+D30</f>
        <v>0</v>
      </c>
      <c r="E31" s="729">
        <f>E27+E30</f>
        <v>1246.4000000000001</v>
      </c>
      <c r="F31" s="730">
        <f>F27+F30</f>
        <v>1246.4000000000001</v>
      </c>
      <c r="G31" s="731">
        <f>G27+G30</f>
        <v>0</v>
      </c>
      <c r="H31" s="1394"/>
      <c r="I31" s="1394"/>
      <c r="J31" s="1394"/>
      <c r="K31" s="1394"/>
      <c r="L31" s="1394"/>
      <c r="M31" s="1394"/>
      <c r="N31" s="1394"/>
      <c r="O31" s="1394"/>
      <c r="P31" s="1394"/>
    </row>
    <row r="32" spans="1:19">
      <c r="A32" s="2229"/>
      <c r="B32" s="2229" t="s">
        <v>1962</v>
      </c>
      <c r="C32" s="2229"/>
      <c r="D32" s="2229"/>
      <c r="E32" s="1276">
        <f>SUMIF(C19:C26,"*住宅*",E19:E26)</f>
        <v>0</v>
      </c>
      <c r="F32" s="2229"/>
      <c r="G32" s="2229"/>
      <c r="H32" s="1394"/>
      <c r="I32" s="1394"/>
      <c r="J32" s="1394"/>
      <c r="K32" s="1394"/>
      <c r="L32" s="1394"/>
      <c r="M32" s="1394"/>
      <c r="N32" s="1394"/>
      <c r="O32" s="1394"/>
      <c r="P32" s="1394"/>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W32" sqref="W32"/>
    </sheetView>
  </sheetViews>
  <sheetFormatPr defaultColWidth="13.75" defaultRowHeight="12.75"/>
  <cols>
    <col min="1" max="1" width="20.875" style="2340" customWidth="1"/>
    <col min="2" max="2" width="12" style="2271" customWidth="1"/>
    <col min="3" max="3" width="10.75" style="2271" customWidth="1"/>
    <col min="4" max="4" width="9.125" style="2341"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1963</v>
      </c>
      <c r="B1" s="732"/>
      <c r="C1" s="1583"/>
      <c r="D1" s="2269"/>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2" t="s">
        <v>1964</v>
      </c>
      <c r="B2" s="1268">
        <f>项目基本情况!D3</f>
        <v>43165</v>
      </c>
      <c r="C2" s="2273"/>
      <c r="D2" s="2274"/>
      <c r="E2" s="2273"/>
      <c r="F2" s="2273"/>
      <c r="G2" s="2273"/>
      <c r="H2" s="2273"/>
      <c r="I2" s="2273"/>
      <c r="J2" s="2273"/>
      <c r="K2" s="1429"/>
      <c r="L2" s="1429"/>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3" customFormat="1" ht="15" thickBot="1">
      <c r="A3" s="2031"/>
      <c r="B3" s="2276"/>
      <c r="C3" s="2273"/>
      <c r="D3" s="2274"/>
      <c r="E3" s="2273"/>
      <c r="F3" s="2273"/>
      <c r="G3" s="2273"/>
      <c r="H3" s="2273"/>
      <c r="I3" s="2273"/>
      <c r="J3" s="2273"/>
      <c r="K3" s="1429"/>
      <c r="L3" s="1429"/>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3" customFormat="1" ht="15" thickBot="1">
      <c r="A4" s="68" t="s">
        <v>1965</v>
      </c>
      <c r="B4" s="2277"/>
      <c r="C4" s="2278"/>
      <c r="D4" s="2279"/>
      <c r="E4" s="2278" t="s">
        <v>1966</v>
      </c>
      <c r="F4" s="2278"/>
      <c r="G4" s="2278"/>
      <c r="H4" s="2278"/>
      <c r="I4" s="2278"/>
      <c r="J4" s="2280"/>
      <c r="K4" s="2281"/>
      <c r="L4" s="2282"/>
      <c r="M4" s="2278"/>
      <c r="N4" s="2278" t="s">
        <v>1967</v>
      </c>
      <c r="O4" s="2278"/>
      <c r="P4" s="2278"/>
      <c r="Q4" s="2278"/>
      <c r="R4" s="2278"/>
      <c r="S4" s="2280"/>
      <c r="T4" s="2283" t="str">
        <f>'数据-汇总表'!I17</f>
        <v>按面积比例</v>
      </c>
      <c r="U4" s="2277" t="s">
        <v>1968</v>
      </c>
      <c r="V4" s="2278"/>
      <c r="W4" s="2278"/>
      <c r="X4" s="2278"/>
      <c r="Y4" s="2280"/>
      <c r="Z4" s="2240" t="s">
        <v>1969</v>
      </c>
      <c r="AA4" s="2240"/>
      <c r="AB4" s="2240"/>
      <c r="AC4" s="2240"/>
      <c r="AD4" s="2240"/>
      <c r="AE4" s="2238" t="s">
        <v>1970</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4" customFormat="1" ht="42">
      <c r="A5" s="2285" t="s">
        <v>1971</v>
      </c>
      <c r="B5" s="2286" t="s">
        <v>1972</v>
      </c>
      <c r="C5" s="2287" t="s">
        <v>1973</v>
      </c>
      <c r="D5" s="2288" t="s">
        <v>1974</v>
      </c>
      <c r="E5" s="1270" t="s">
        <v>1975</v>
      </c>
      <c r="F5" s="2289" t="s">
        <v>1976</v>
      </c>
      <c r="G5" s="1270" t="s">
        <v>1977</v>
      </c>
      <c r="H5" s="1270" t="s">
        <v>1978</v>
      </c>
      <c r="I5" s="1270" t="s">
        <v>1979</v>
      </c>
      <c r="J5" s="2290" t="s">
        <v>1980</v>
      </c>
      <c r="K5" s="2291" t="s">
        <v>1981</v>
      </c>
      <c r="L5" s="2292" t="s">
        <v>1982</v>
      </c>
      <c r="M5" s="2293" t="s">
        <v>1983</v>
      </c>
      <c r="N5" s="2294" t="s">
        <v>3060</v>
      </c>
      <c r="O5" s="2292" t="s">
        <v>1984</v>
      </c>
      <c r="P5" s="2295" t="s">
        <v>1985</v>
      </c>
      <c r="Q5" s="69" t="s">
        <v>1986</v>
      </c>
      <c r="R5" s="2296" t="s">
        <v>1987</v>
      </c>
      <c r="S5" s="2297" t="s">
        <v>1988</v>
      </c>
      <c r="T5" s="2298" t="s">
        <v>1989</v>
      </c>
      <c r="U5" s="1269" t="s">
        <v>1990</v>
      </c>
      <c r="V5" s="1270" t="s">
        <v>1991</v>
      </c>
      <c r="W5" s="1270" t="s">
        <v>1992</v>
      </c>
      <c r="X5" s="71"/>
      <c r="Y5" s="70" t="s">
        <v>1993</v>
      </c>
      <c r="Z5" s="2299" t="s">
        <v>1990</v>
      </c>
      <c r="AA5" s="1270" t="s">
        <v>1991</v>
      </c>
      <c r="AB5" s="1270" t="s">
        <v>1992</v>
      </c>
      <c r="AC5" s="71"/>
      <c r="AD5" s="71" t="s">
        <v>1993</v>
      </c>
      <c r="AE5" s="1269" t="s">
        <v>1994</v>
      </c>
      <c r="AF5" s="1270" t="s">
        <v>1995</v>
      </c>
      <c r="AG5" s="70" t="s">
        <v>1996</v>
      </c>
      <c r="AH5" s="1269" t="s">
        <v>1997</v>
      </c>
      <c r="AI5" s="2299" t="s">
        <v>1998</v>
      </c>
      <c r="AJ5" s="2299" t="s">
        <v>1999</v>
      </c>
      <c r="AK5" s="1270" t="s">
        <v>2000</v>
      </c>
      <c r="AL5" s="1270" t="s">
        <v>2001</v>
      </c>
      <c r="AM5" s="70" t="s">
        <v>2002</v>
      </c>
      <c r="AN5" s="2300" t="s">
        <v>2003</v>
      </c>
      <c r="AO5" s="2075" t="s">
        <v>2004</v>
      </c>
      <c r="AP5" s="1251" t="s">
        <v>2005</v>
      </c>
      <c r="AQ5" s="2301" t="s">
        <v>2006</v>
      </c>
      <c r="AR5" s="2301" t="s">
        <v>2007</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3" customFormat="1" ht="14.25">
      <c r="A6" s="2302" t="str">
        <f>'数据-汇总表'!C19</f>
        <v>工业立项办公</v>
      </c>
      <c r="B6" s="2303" t="str">
        <f>IF(A6=0,"","经营性")</f>
        <v>经营性</v>
      </c>
      <c r="C6" s="2304" t="s">
        <v>6</v>
      </c>
      <c r="D6" s="1053">
        <f>SUMIF(项目基本情况!D$12:I$12,C6,项目基本情况!D$14:I$14)</f>
        <v>50</v>
      </c>
      <c r="E6" s="1050">
        <f>IF(B6="","",SUMIF(项目基本情况!D$12:I$12,C6,项目基本情况!D$13:I$13))</f>
        <v>58872</v>
      </c>
      <c r="F6" s="72">
        <f>SUMIF(项目基本情况!D$12:I$12,C6,项目基本情况!D$15:I$15)</f>
        <v>43.03</v>
      </c>
      <c r="G6" s="73">
        <f>IF(ISERROR(ROUND(POWER(1+H6,D6-F6)*(POWER(1+H6,F6)-1)/(POWER(1+H6,D6)-1),3)),0,ROUND(POWER(1+H6,D6-F6)*(POWER(1+H6,F6)-1)/(POWER(1+H6,D6)-1),3))</f>
        <v>0.96099999999999997</v>
      </c>
      <c r="H6" s="802">
        <v>0.05</v>
      </c>
      <c r="I6" s="802">
        <v>0.06</v>
      </c>
      <c r="J6" s="74">
        <v>8.5000000000000006E-2</v>
      </c>
      <c r="K6" s="1253">
        <f>SUMIF('数据-汇总表'!C$19:C$33,A6,'数据-汇总表'!E$19:E$33)</f>
        <v>1246.4000000000001</v>
      </c>
      <c r="L6" s="803">
        <v>3000</v>
      </c>
      <c r="M6" s="75">
        <f t="shared" ref="M6:M14" si="0">ROUND(K6*L6/10000,0)</f>
        <v>374</v>
      </c>
      <c r="N6" s="2952">
        <f>ROUND(1-(1-0%)*(2018-2015)/60,2)</f>
        <v>0.95</v>
      </c>
      <c r="O6" s="75" t="str">
        <f>IF($N$5="成新度","——",ROUND(M6*N6,0))</f>
        <v>——</v>
      </c>
      <c r="P6" s="76" t="str">
        <f>IF($N$5="成新度","——",M6-O6)</f>
        <v>——</v>
      </c>
      <c r="Q6" s="804">
        <v>0.1</v>
      </c>
      <c r="R6" s="77">
        <f ca="1">SUMIF('数据-汇总表'!C$19:C$33,A6,'数据-汇总表'!R$19:R$27)</f>
        <v>0</v>
      </c>
      <c r="S6" s="54">
        <f>IF('数据-汇总表'!$I$17="按面积比例",SUMIF('数据-汇总表'!C$19:C$33,A6,'数据-汇总表'!K$19:K$33),SUMIF('数据-汇总表'!C$19:C$33,A6,'数据-汇总表'!N$19:N$33))</f>
        <v>0</v>
      </c>
      <c r="T6" s="1445">
        <f>ROUND($L$14*S6/10000,0)</f>
        <v>0</v>
      </c>
      <c r="U6" s="78">
        <f>'比较法-租金'!C43</f>
        <v>2.7</v>
      </c>
      <c r="V6" s="79">
        <v>0.02</v>
      </c>
      <c r="W6" s="79">
        <v>0.15</v>
      </c>
      <c r="X6" s="1263"/>
      <c r="Y6" s="80">
        <f>N6</f>
        <v>0.95</v>
      </c>
      <c r="Z6" s="81"/>
      <c r="AA6" s="74"/>
      <c r="AB6" s="74"/>
      <c r="AC6" s="1263"/>
      <c r="AD6" s="82"/>
      <c r="AE6" s="1264">
        <f ca="1">IF(AN6="",0,SUMIF(INDIRECT("'"&amp;AN6&amp;"'"&amp;"!E:E"),$AE$5,INDIRECT("'"&amp;AN6&amp;"'"&amp;"!F:F")))</f>
        <v>43.03</v>
      </c>
      <c r="AF6" s="1806"/>
      <c r="AG6" s="147">
        <f>IF(AF6="",0,AE6-AF6)</f>
        <v>0</v>
      </c>
      <c r="AH6" s="83"/>
      <c r="AI6" s="85">
        <v>365</v>
      </c>
      <c r="AJ6" s="86"/>
      <c r="AK6" s="87">
        <v>1.4999999999999999E-2</v>
      </c>
      <c r="AL6" s="88">
        <v>1.5E-3</v>
      </c>
      <c r="AM6" s="89">
        <v>0.01</v>
      </c>
      <c r="AN6" s="2305" t="s">
        <v>3061</v>
      </c>
      <c r="AO6" s="55">
        <f ca="1">SUMIF(INDIRECT("'"&amp;AN6&amp;"'"&amp;"!A:A"),"总价",INDIRECT("'"&amp;AN6&amp;"'"&amp;"!B:B"))</f>
        <v>1699</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3" customFormat="1" ht="14.25">
      <c r="A7" s="2302">
        <f>'数据-汇总表'!C20</f>
        <v>0</v>
      </c>
      <c r="B7" s="2303" t="str">
        <f t="shared" ref="B7:B13" si="1">IF(A7=0,"","经营性")</f>
        <v/>
      </c>
      <c r="C7" s="2304"/>
      <c r="D7" s="1053">
        <f>SUMIF(项目基本情况!D$12:I$12,C7,项目基本情况!D$14:I$14)</f>
        <v>0</v>
      </c>
      <c r="E7" s="1050"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3">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5">
        <f t="shared" ref="T7:T13" si="5">ROUND($L$14*S7/10000,0)</f>
        <v>0</v>
      </c>
      <c r="U7" s="78"/>
      <c r="V7" s="79"/>
      <c r="W7" s="79"/>
      <c r="X7" s="1263"/>
      <c r="Y7" s="80"/>
      <c r="Z7" s="81"/>
      <c r="AA7" s="74"/>
      <c r="AB7" s="74"/>
      <c r="AC7" s="1263"/>
      <c r="AD7" s="82"/>
      <c r="AE7" s="1264">
        <f t="shared" ref="AE7:AE13" ca="1" si="6">IF(AN7="",0,SUMIF(INDIRECT("'"&amp;AN7&amp;"'"&amp;"!E:E"),$AE$5,INDIRECT("'"&amp;AN7&amp;"'"&amp;"!F:F")))</f>
        <v>0</v>
      </c>
      <c r="AF7" s="1806"/>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3" customFormat="1" ht="14.25">
      <c r="A8" s="2302">
        <f>'数据-汇总表'!C21</f>
        <v>0</v>
      </c>
      <c r="B8" s="2303" t="str">
        <f t="shared" si="1"/>
        <v/>
      </c>
      <c r="C8" s="2304"/>
      <c r="D8" s="1053">
        <f>SUMIF(项目基本情况!D$12:I$12,C8,项目基本情况!D$14:I$14)</f>
        <v>0</v>
      </c>
      <c r="E8" s="1050" t="str">
        <f>IF(B8="","",SUMIF(项目基本情况!D$12:I$12,C8,项目基本情况!D$13:I$13))</f>
        <v/>
      </c>
      <c r="F8" s="72">
        <f>SUMIF(项目基本情况!D$12:I$12,C8,项目基本情况!D$15:I$15)</f>
        <v>0</v>
      </c>
      <c r="G8" s="73">
        <f t="shared" si="2"/>
        <v>0</v>
      </c>
      <c r="H8" s="802"/>
      <c r="I8" s="802"/>
      <c r="J8" s="74"/>
      <c r="K8" s="1253">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5">
        <f t="shared" si="5"/>
        <v>0</v>
      </c>
      <c r="U8" s="805"/>
      <c r="V8" s="806"/>
      <c r="W8" s="806"/>
      <c r="X8" s="1263"/>
      <c r="Y8" s="807"/>
      <c r="Z8" s="81"/>
      <c r="AA8" s="74"/>
      <c r="AB8" s="74"/>
      <c r="AC8" s="1263"/>
      <c r="AD8" s="82"/>
      <c r="AE8" s="1264">
        <f t="shared" ca="1" si="6"/>
        <v>0</v>
      </c>
      <c r="AF8" s="1806"/>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3" customFormat="1" ht="14.25">
      <c r="A9" s="2302">
        <f>'数据-汇总表'!C22</f>
        <v>0</v>
      </c>
      <c r="B9" s="2303" t="str">
        <f t="shared" si="1"/>
        <v/>
      </c>
      <c r="C9" s="2304"/>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3" customFormat="1" ht="14.25">
      <c r="A10" s="2302">
        <f>'数据-汇总表'!C23</f>
        <v>0</v>
      </c>
      <c r="B10" s="2303" t="str">
        <f t="shared" si="1"/>
        <v/>
      </c>
      <c r="C10" s="2304"/>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3" customFormat="1" ht="14.25">
      <c r="A11" s="2302">
        <f>'数据-汇总表'!C24</f>
        <v>0</v>
      </c>
      <c r="B11" s="2303" t="str">
        <f t="shared" si="1"/>
        <v/>
      </c>
      <c r="C11" s="2304"/>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3" customFormat="1" ht="14.25">
      <c r="A12" s="2302">
        <f>'数据-汇总表'!C25</f>
        <v>0</v>
      </c>
      <c r="B12" s="2303" t="str">
        <f t="shared" si="1"/>
        <v/>
      </c>
      <c r="C12" s="2304"/>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3" customFormat="1" ht="14.25">
      <c r="A13" s="2302">
        <f>'数据-汇总表'!C26</f>
        <v>0</v>
      </c>
      <c r="B13" s="2303" t="str">
        <f t="shared" si="1"/>
        <v/>
      </c>
      <c r="C13" s="2304"/>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3" customFormat="1" ht="14.25">
      <c r="A14" s="2307" t="s">
        <v>2008</v>
      </c>
      <c r="B14" s="2303" t="s">
        <v>2009</v>
      </c>
      <c r="C14" s="2308" t="s">
        <v>2008</v>
      </c>
      <c r="D14" s="1053"/>
      <c r="E14" s="1050"/>
      <c r="F14" s="72"/>
      <c r="G14" s="73"/>
      <c r="H14" s="1252"/>
      <c r="I14" s="1252"/>
      <c r="J14" s="1252"/>
      <c r="K14" s="1253">
        <f>SUMIF('数据-汇总表'!C$19:C$33,A14,'数据-汇总表'!E$19:E$33)</f>
        <v>0</v>
      </c>
      <c r="L14" s="91"/>
      <c r="M14" s="75">
        <f t="shared" si="0"/>
        <v>0</v>
      </c>
      <c r="N14" s="92"/>
      <c r="O14" s="75" t="str">
        <f t="shared" si="3"/>
        <v>——</v>
      </c>
      <c r="P14" s="76" t="str">
        <f t="shared" si="4"/>
        <v>——</v>
      </c>
      <c r="Q14" s="1256"/>
      <c r="R14" s="77"/>
      <c r="S14" s="54"/>
      <c r="T14" s="1445"/>
      <c r="U14" s="723"/>
      <c r="V14" s="1258"/>
      <c r="W14" s="1258"/>
      <c r="X14" s="1259"/>
      <c r="Y14" s="1260"/>
      <c r="Z14" s="1261"/>
      <c r="AA14" s="1262"/>
      <c r="AB14" s="1262"/>
      <c r="AC14" s="1263"/>
      <c r="AD14" s="1259"/>
      <c r="AE14" s="1264"/>
      <c r="AF14" s="55"/>
      <c r="AG14" s="147"/>
      <c r="AH14" s="1264"/>
      <c r="AI14" s="1817"/>
      <c r="AJ14" s="773"/>
      <c r="AK14" s="1265"/>
      <c r="AL14" s="1266"/>
      <c r="AM14" s="1267"/>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3" customFormat="1" ht="27">
      <c r="A15" s="2307" t="s">
        <v>2010</v>
      </c>
      <c r="B15" s="2303" t="s">
        <v>2009</v>
      </c>
      <c r="C15" s="2308" t="s">
        <v>2011</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3"/>
      <c r="V15" s="1258"/>
      <c r="W15" s="1258"/>
      <c r="X15" s="1259"/>
      <c r="Y15" s="1260"/>
      <c r="Z15" s="1261"/>
      <c r="AA15" s="1262"/>
      <c r="AB15" s="1262"/>
      <c r="AC15" s="1263"/>
      <c r="AD15" s="1259"/>
      <c r="AE15" s="1264"/>
      <c r="AF15" s="55"/>
      <c r="AG15" s="147"/>
      <c r="AH15" s="1264"/>
      <c r="AI15" s="1817"/>
      <c r="AJ15" s="773"/>
      <c r="AK15" s="1265"/>
      <c r="AL15" s="1266"/>
      <c r="AM15" s="1267"/>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3" customFormat="1" ht="15.75" thickBot="1">
      <c r="A16" s="2309" t="s">
        <v>2012</v>
      </c>
      <c r="B16" s="97"/>
      <c r="C16" s="1008"/>
      <c r="D16" s="2310"/>
      <c r="E16" s="97"/>
      <c r="F16" s="97"/>
      <c r="G16" s="98">
        <f>ROUND(SUMPRODUCT(G6:G13,K6:K13)/SUMPRODUCT((G6:G13&gt;0)*(K6:K13)),3)</f>
        <v>0.96099999999999997</v>
      </c>
      <c r="H16" s="99">
        <f>ROUND(SUMPRODUCT(H6:H13,K6:K13)/SUMPRODUCT((H6:H13&gt;0)*(K6:K13)),3)</f>
        <v>0.05</v>
      </c>
      <c r="I16" s="100"/>
      <c r="J16" s="100"/>
      <c r="K16" s="101">
        <f>SUM(K6:K15)</f>
        <v>1246.4000000000001</v>
      </c>
      <c r="L16" s="102">
        <f>ROUND(M16*10000/SUM(K6:K14),0)</f>
        <v>3001</v>
      </c>
      <c r="M16" s="102">
        <f>SUM(M6:M14)</f>
        <v>374</v>
      </c>
      <c r="N16" s="103">
        <f>ROUND(SUMPRODUCT(M6:M14,N6:N14)/M16,3)</f>
        <v>0.95</v>
      </c>
      <c r="O16" s="102">
        <f>SUM(O6:O14)</f>
        <v>0</v>
      </c>
      <c r="P16" s="102">
        <f>SUM(P6:P14)</f>
        <v>0</v>
      </c>
      <c r="Q16" s="104">
        <f>ROUND(SUMPRODUCT(Q6:Q13,K6:K13)/SUMPRODUCT((Q6:Q13&gt;0)*(K6:K13)),2)</f>
        <v>0.1</v>
      </c>
      <c r="R16" s="1257">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3"/>
      <c r="D17" s="2269"/>
      <c r="E17" s="2269"/>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2013</v>
      </c>
      <c r="B18" s="2276"/>
      <c r="C18" s="2273"/>
      <c r="D18" s="2274"/>
      <c r="E18" s="2273"/>
      <c r="F18" s="2273"/>
      <c r="G18" s="2273"/>
      <c r="H18" s="2273"/>
      <c r="I18" s="2273"/>
      <c r="J18" s="2273"/>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2" t="s">
        <v>2014</v>
      </c>
      <c r="B19" s="112">
        <v>0</v>
      </c>
      <c r="C19" s="2273" t="s">
        <v>2015</v>
      </c>
      <c r="D19" s="2274"/>
      <c r="E19" s="2273"/>
      <c r="F19" s="2273"/>
      <c r="G19" s="2273"/>
      <c r="H19" s="2273"/>
      <c r="I19" s="2273"/>
      <c r="J19" s="2273"/>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3" t="s">
        <v>2016</v>
      </c>
      <c r="B20" s="113">
        <v>1</v>
      </c>
      <c r="C20" s="2273" t="s">
        <v>2017</v>
      </c>
      <c r="D20" s="2274"/>
      <c r="E20" s="2273"/>
      <c r="F20" s="2273"/>
      <c r="G20" s="2273"/>
      <c r="H20" s="2273"/>
      <c r="I20" s="2273"/>
      <c r="J20" s="2273"/>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4" t="s">
        <v>2018</v>
      </c>
      <c r="B21" s="113">
        <v>1</v>
      </c>
      <c r="C21" s="2273"/>
      <c r="D21" s="2274"/>
      <c r="E21" s="2273"/>
      <c r="F21" s="2273"/>
      <c r="G21" s="2273"/>
      <c r="H21" s="2273"/>
      <c r="I21" s="2273"/>
      <c r="J21" s="2273"/>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3" t="s">
        <v>2019</v>
      </c>
      <c r="B22" s="114">
        <f>B19+B20</f>
        <v>1</v>
      </c>
      <c r="C22" s="2273"/>
      <c r="D22" s="2274"/>
      <c r="E22" s="2273"/>
      <c r="F22" s="2273"/>
      <c r="G22" s="2273"/>
      <c r="H22" s="2273"/>
      <c r="I22" s="2273"/>
      <c r="J22" s="2273"/>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4" t="s">
        <v>2020</v>
      </c>
      <c r="B23" s="114">
        <f>B19+B21</f>
        <v>1</v>
      </c>
      <c r="C23" s="2273"/>
      <c r="D23" s="2274"/>
      <c r="E23" s="2273"/>
      <c r="F23" s="2273"/>
      <c r="G23" s="2273"/>
      <c r="H23" s="2273"/>
      <c r="I23" s="2273"/>
      <c r="J23" s="2273"/>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5" t="s">
        <v>2021</v>
      </c>
      <c r="B24" s="115">
        <f>B20-B21</f>
        <v>0</v>
      </c>
      <c r="C24" s="2273"/>
      <c r="D24" s="2274"/>
      <c r="E24" s="2273"/>
      <c r="F24" s="2273"/>
      <c r="G24" s="2273"/>
      <c r="H24" s="2273"/>
      <c r="I24" s="2273"/>
      <c r="J24" s="2273"/>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6"/>
      <c r="C25" s="2273"/>
      <c r="D25" s="2274"/>
      <c r="E25" s="2273"/>
      <c r="F25" s="2273"/>
      <c r="G25" s="2273"/>
      <c r="H25" s="2273"/>
      <c r="I25" s="2273"/>
      <c r="J25" s="2273"/>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2" t="s">
        <v>2022</v>
      </c>
      <c r="B26" s="2316" t="s">
        <v>2023</v>
      </c>
      <c r="C26" s="2317" t="s">
        <v>2024</v>
      </c>
      <c r="D26" s="2274"/>
      <c r="E26" s="2273"/>
      <c r="F26" s="2273"/>
      <c r="G26" s="2273"/>
      <c r="H26" s="2273"/>
      <c r="I26" s="2273"/>
      <c r="J26" s="2273"/>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0" customFormat="1" ht="27.75">
      <c r="A27" s="2318" t="s">
        <v>2025</v>
      </c>
      <c r="B27" s="116">
        <v>160</v>
      </c>
      <c r="C27" s="1766" t="s">
        <v>2026</v>
      </c>
      <c r="D27" s="2319"/>
      <c r="E27" s="1429"/>
      <c r="F27" s="1429"/>
      <c r="G27" s="2273"/>
      <c r="H27" s="2273"/>
      <c r="I27" s="2273"/>
      <c r="J27" s="2273"/>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0" customFormat="1" ht="27.75">
      <c r="A28" s="2321" t="s">
        <v>2027</v>
      </c>
      <c r="B28" s="119">
        <v>200</v>
      </c>
      <c r="C28" s="2322"/>
      <c r="D28" s="2319"/>
      <c r="E28" s="1429"/>
      <c r="F28" s="1429"/>
      <c r="G28" s="2273"/>
      <c r="H28" s="2273"/>
      <c r="I28" s="2273"/>
      <c r="J28" s="2273"/>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0" customFormat="1" ht="28.5" thickBot="1">
      <c r="A29" s="2323" t="s">
        <v>2028</v>
      </c>
      <c r="B29" s="121">
        <f>ROUND(K16*B28/10000,0)</f>
        <v>25</v>
      </c>
      <c r="C29" s="1766" t="s">
        <v>2029</v>
      </c>
      <c r="D29" s="2319"/>
      <c r="E29" s="1429"/>
      <c r="F29" s="1429"/>
      <c r="G29" s="2273"/>
      <c r="H29" s="2273"/>
      <c r="I29" s="2273"/>
      <c r="J29" s="2273"/>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0" customFormat="1" ht="27">
      <c r="A30" s="2324" t="s">
        <v>2030</v>
      </c>
      <c r="B30" s="724">
        <v>200</v>
      </c>
      <c r="C30" s="2322"/>
      <c r="D30" s="2319"/>
      <c r="E30" s="1429"/>
      <c r="F30" s="1429"/>
      <c r="G30" s="2273"/>
      <c r="H30" s="2273"/>
      <c r="I30" s="2273"/>
      <c r="J30" s="2273"/>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0" customFormat="1" ht="27">
      <c r="A31" s="2321" t="s">
        <v>2031</v>
      </c>
      <c r="B31" s="120">
        <f>B30-B32</f>
        <v>200</v>
      </c>
      <c r="C31" s="1766"/>
      <c r="D31" s="2319"/>
      <c r="E31" s="1429"/>
      <c r="F31" s="1429"/>
      <c r="G31" s="2273"/>
      <c r="H31" s="2273"/>
      <c r="I31" s="2273"/>
      <c r="J31" s="2273"/>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0" customFormat="1" ht="27.75" thickBot="1">
      <c r="A32" s="2325" t="s">
        <v>2032</v>
      </c>
      <c r="B32" s="725">
        <v>0</v>
      </c>
      <c r="C32" s="2322"/>
      <c r="D32" s="2274"/>
      <c r="E32" s="2273"/>
      <c r="F32" s="2273"/>
      <c r="G32" s="2273"/>
      <c r="H32" s="2273"/>
      <c r="I32" s="2273"/>
      <c r="J32" s="2273"/>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0" customFormat="1" ht="14.25">
      <c r="A33" s="2318" t="s">
        <v>2033</v>
      </c>
      <c r="B33" s="726">
        <v>0.05</v>
      </c>
      <c r="C33" s="1765" t="s">
        <v>2034</v>
      </c>
      <c r="D33" s="2274"/>
      <c r="E33" s="2273"/>
      <c r="F33" s="2273"/>
      <c r="G33" s="2273"/>
      <c r="H33" s="2273"/>
      <c r="I33" s="2273"/>
      <c r="J33" s="2273"/>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0" customFormat="1" ht="14.25">
      <c r="A34" s="2321" t="s">
        <v>2035</v>
      </c>
      <c r="B34" s="122">
        <v>0</v>
      </c>
      <c r="C34" s="1765" t="s">
        <v>2036</v>
      </c>
      <c r="D34" s="2274" t="s">
        <v>2037</v>
      </c>
      <c r="E34" s="732"/>
      <c r="F34" s="2273"/>
      <c r="G34" s="2273"/>
      <c r="H34" s="2273"/>
      <c r="I34" s="2273"/>
      <c r="J34" s="2273"/>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0" customFormat="1" ht="14.25">
      <c r="A35" s="2321" t="s">
        <v>2038</v>
      </c>
      <c r="B35" s="119">
        <v>200</v>
      </c>
      <c r="C35" s="1765" t="s">
        <v>2039</v>
      </c>
      <c r="D35" s="2319"/>
      <c r="E35" s="1429"/>
      <c r="F35" s="1429"/>
      <c r="G35" s="2273"/>
      <c r="H35" s="2273"/>
      <c r="I35" s="2273"/>
      <c r="J35" s="2273"/>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3" t="s">
        <v>2040</v>
      </c>
      <c r="B36" s="123">
        <v>1.4999999999999999E-2</v>
      </c>
      <c r="C36" s="1765" t="s">
        <v>2041</v>
      </c>
      <c r="D36" s="2274"/>
      <c r="E36" s="2273"/>
      <c r="F36" s="2273"/>
      <c r="G36" s="2273"/>
      <c r="H36" s="2273"/>
      <c r="I36" s="2273"/>
      <c r="J36" s="2273"/>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4" t="s">
        <v>2042</v>
      </c>
      <c r="B37" s="124">
        <v>0.03</v>
      </c>
      <c r="C37" s="1765" t="s">
        <v>2043</v>
      </c>
      <c r="D37" s="2274"/>
      <c r="E37" s="2273"/>
      <c r="F37" s="2273"/>
      <c r="G37" s="2273"/>
      <c r="H37" s="2273"/>
      <c r="I37" s="2273"/>
      <c r="J37" s="2273"/>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1" t="s">
        <v>2044</v>
      </c>
      <c r="B38" s="122">
        <v>0.03</v>
      </c>
      <c r="C38" s="1765" t="s">
        <v>2043</v>
      </c>
      <c r="D38" s="2274"/>
      <c r="E38" s="2273"/>
      <c r="F38" s="2273"/>
      <c r="G38" s="2273"/>
      <c r="H38" s="2273"/>
      <c r="I38" s="2273"/>
      <c r="J38" s="2273"/>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5" t="s">
        <v>2045</v>
      </c>
      <c r="B39" s="362">
        <f ca="1">存贷款利率!I1</f>
        <v>1.4999999999999999E-2</v>
      </c>
      <c r="C39" s="1765"/>
      <c r="D39" s="2274"/>
      <c r="E39" s="2273"/>
      <c r="F39" s="2273"/>
      <c r="G39" s="2273"/>
      <c r="H39" s="2273"/>
      <c r="I39" s="2273"/>
      <c r="J39" s="2273"/>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5" t="s">
        <v>2046</v>
      </c>
      <c r="B40" s="1302">
        <f ca="1">存贷款利率!G1</f>
        <v>4.3499999999999997E-2</v>
      </c>
      <c r="C40" s="1765" t="s">
        <v>2047</v>
      </c>
      <c r="D40" s="1583"/>
      <c r="E40" s="2274"/>
      <c r="F40" s="2273"/>
      <c r="G40" s="2273"/>
      <c r="H40" s="2273"/>
      <c r="I40" s="2273"/>
      <c r="J40" s="2273"/>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18" t="s">
        <v>2048</v>
      </c>
      <c r="B41" s="125">
        <f>B42+B43</f>
        <v>5.5000000000000007E-2</v>
      </c>
      <c r="C41" s="1766"/>
      <c r="D41" s="1583"/>
      <c r="E41" s="2274"/>
      <c r="F41" s="2273"/>
      <c r="G41" s="2273"/>
      <c r="H41" s="2273"/>
      <c r="I41" s="2273"/>
      <c r="J41" s="2273"/>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6" t="s">
        <v>2049</v>
      </c>
      <c r="B42" s="126">
        <v>0.05</v>
      </c>
      <c r="C42" s="2327">
        <f>IF(B2&lt;DATE(2016,5,1),0,B42)</f>
        <v>0.05</v>
      </c>
      <c r="D42" s="2274"/>
      <c r="E42" s="2273"/>
      <c r="F42" s="2273"/>
      <c r="G42" s="2273"/>
      <c r="H42" s="2273"/>
      <c r="I42" s="2273"/>
      <c r="J42" s="2273"/>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6" t="s">
        <v>2050</v>
      </c>
      <c r="B43" s="127">
        <f>B42*(B44+B45+B46)+B47</f>
        <v>5.000000000000001E-3</v>
      </c>
      <c r="C43" s="1766"/>
      <c r="D43" s="2274"/>
      <c r="E43" s="2273"/>
      <c r="F43" s="2273"/>
      <c r="G43" s="2273"/>
      <c r="H43" s="2273"/>
      <c r="I43" s="2273"/>
      <c r="J43" s="2273"/>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28" t="s">
        <v>2051</v>
      </c>
      <c r="B44" s="128">
        <v>0.05</v>
      </c>
      <c r="C44" s="1765" t="s">
        <v>2052</v>
      </c>
      <c r="D44" s="2274"/>
      <c r="E44" s="2273"/>
      <c r="F44" s="2273"/>
      <c r="G44" s="2273"/>
      <c r="H44" s="2273"/>
      <c r="I44" s="2273"/>
      <c r="J44" s="2273"/>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28" t="s">
        <v>2053</v>
      </c>
      <c r="B45" s="126">
        <v>0.03</v>
      </c>
      <c r="C45" s="1766" t="s">
        <v>2054</v>
      </c>
      <c r="D45" s="2274"/>
      <c r="E45" s="2273"/>
      <c r="F45" s="2273"/>
      <c r="G45" s="2273"/>
      <c r="H45" s="2273"/>
      <c r="I45" s="2273"/>
      <c r="J45" s="2273"/>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28" t="s">
        <v>2055</v>
      </c>
      <c r="B46" s="126">
        <v>0.02</v>
      </c>
      <c r="C46" s="1766" t="s">
        <v>2056</v>
      </c>
      <c r="D46" s="2274"/>
      <c r="E46" s="2273"/>
      <c r="F46" s="2273"/>
      <c r="G46" s="2273"/>
      <c r="H46" s="2273"/>
      <c r="I46" s="2273"/>
      <c r="J46" s="2273"/>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29" t="s">
        <v>2057</v>
      </c>
      <c r="B47" s="129">
        <v>0</v>
      </c>
      <c r="C47" s="1766" t="s">
        <v>2058</v>
      </c>
      <c r="D47" s="2274"/>
      <c r="E47" s="2273"/>
      <c r="F47" s="2273"/>
      <c r="G47" s="2273"/>
      <c r="H47" s="2273"/>
      <c r="I47" s="2273"/>
      <c r="J47" s="2273"/>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0" t="s">
        <v>2059</v>
      </c>
      <c r="B48" s="130">
        <v>0.03</v>
      </c>
      <c r="C48" s="1773" t="s">
        <v>2060</v>
      </c>
      <c r="D48" s="2274"/>
      <c r="E48" s="2273"/>
      <c r="F48" s="2273"/>
      <c r="G48" s="2273"/>
      <c r="H48" s="2273"/>
      <c r="I48" s="2273"/>
      <c r="J48" s="2273"/>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5" t="s">
        <v>2061</v>
      </c>
      <c r="B49" s="126">
        <v>5.0000000000000001E-4</v>
      </c>
      <c r="C49" s="1773" t="s">
        <v>2062</v>
      </c>
      <c r="D49" s="2274"/>
      <c r="E49" s="2273"/>
      <c r="F49" s="2273"/>
      <c r="G49" s="2273"/>
      <c r="H49" s="2273"/>
      <c r="I49" s="2273"/>
      <c r="J49" s="2273"/>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1" t="s">
        <v>2063</v>
      </c>
      <c r="B50" s="131">
        <v>1.2E-2</v>
      </c>
      <c r="C50" s="1429"/>
      <c r="D50" s="2274"/>
      <c r="E50" s="2273"/>
      <c r="F50" s="2273"/>
      <c r="G50" s="2273"/>
      <c r="H50" s="2273"/>
      <c r="I50" s="2273"/>
      <c r="J50" s="2273"/>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3" t="s">
        <v>2064</v>
      </c>
      <c r="B51" s="132">
        <v>0.12</v>
      </c>
      <c r="C51" s="1429"/>
      <c r="D51" s="2274"/>
      <c r="E51" s="2273"/>
      <c r="F51" s="2273"/>
      <c r="G51" s="2273"/>
      <c r="H51" s="2273"/>
      <c r="I51" s="2273"/>
      <c r="J51" s="2273"/>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1" t="s">
        <v>2065</v>
      </c>
      <c r="B52" s="133">
        <f>SUMIF(A54:A63,B53,B54:B63)</f>
        <v>1.5</v>
      </c>
      <c r="C52" s="1429"/>
      <c r="D52" s="2274"/>
      <c r="E52" s="2273"/>
      <c r="F52" s="2273"/>
      <c r="G52" s="2273"/>
      <c r="H52" s="2273"/>
      <c r="I52" s="2273"/>
      <c r="J52" s="2273"/>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1" t="s">
        <v>2066</v>
      </c>
      <c r="B53" s="2953" t="s">
        <v>56</v>
      </c>
      <c r="C53" s="1429" t="s">
        <v>2067</v>
      </c>
      <c r="D53" s="2332" t="s">
        <v>2068</v>
      </c>
      <c r="E53" s="2273"/>
      <c r="F53" s="2273"/>
      <c r="G53" s="2273"/>
      <c r="H53" s="2273"/>
      <c r="I53" s="2273"/>
      <c r="J53" s="2273"/>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3" t="s">
        <v>2069</v>
      </c>
      <c r="B54" s="84"/>
      <c r="C54" s="1429">
        <v>30</v>
      </c>
      <c r="D54" s="2274"/>
      <c r="E54" s="2273"/>
      <c r="F54" s="2273"/>
      <c r="G54" s="2273"/>
      <c r="H54" s="2273"/>
      <c r="I54" s="2273"/>
      <c r="J54" s="2273"/>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3" t="s">
        <v>2070</v>
      </c>
      <c r="B55" s="84"/>
      <c r="C55" s="1429">
        <v>24</v>
      </c>
      <c r="D55" s="2274"/>
      <c r="E55" s="2273"/>
      <c r="F55" s="2273"/>
      <c r="G55" s="2273"/>
      <c r="H55" s="2273"/>
      <c r="I55" s="2334"/>
      <c r="J55" s="2273"/>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3" t="s">
        <v>2071</v>
      </c>
      <c r="B56" s="84"/>
      <c r="C56" s="1429">
        <v>18</v>
      </c>
      <c r="D56" s="2274"/>
      <c r="E56" s="2273"/>
      <c r="F56" s="2273"/>
      <c r="G56" s="2273"/>
      <c r="H56" s="2273"/>
      <c r="I56" s="2273"/>
      <c r="J56" s="2273"/>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3" t="s">
        <v>2072</v>
      </c>
      <c r="B57" s="84"/>
      <c r="C57" s="1429">
        <v>12</v>
      </c>
      <c r="D57" s="2274"/>
      <c r="E57" s="2273"/>
      <c r="F57" s="2273"/>
      <c r="G57" s="2273"/>
      <c r="H57" s="2273"/>
      <c r="I57" s="2273"/>
      <c r="J57" s="2273"/>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3" t="s">
        <v>2073</v>
      </c>
      <c r="B58" s="84"/>
      <c r="C58" s="1429">
        <v>3</v>
      </c>
      <c r="D58" s="2274"/>
      <c r="E58" s="2273"/>
      <c r="F58" s="2273"/>
      <c r="G58" s="2273"/>
      <c r="H58" s="2273"/>
      <c r="I58" s="2273"/>
      <c r="J58" s="2273"/>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3" t="s">
        <v>2074</v>
      </c>
      <c r="B59" s="84">
        <v>1.5</v>
      </c>
      <c r="C59" s="1429">
        <v>1.5</v>
      </c>
      <c r="D59" s="2274"/>
      <c r="E59" s="2273"/>
      <c r="F59" s="2273"/>
      <c r="G59" s="2273"/>
      <c r="H59" s="2273"/>
      <c r="I59" s="2273"/>
      <c r="J59" s="2273"/>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3" t="s">
        <v>2075</v>
      </c>
      <c r="B60" s="84"/>
      <c r="C60" s="2273"/>
      <c r="D60" s="2274"/>
      <c r="E60" s="2273"/>
      <c r="F60" s="2273"/>
      <c r="G60" s="2273"/>
      <c r="H60" s="2273"/>
      <c r="I60" s="2273"/>
      <c r="J60" s="2273"/>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3" t="s">
        <v>2076</v>
      </c>
      <c r="B61" s="84"/>
      <c r="C61" s="2273"/>
      <c r="D61" s="2274"/>
      <c r="E61" s="2273"/>
      <c r="F61" s="2273"/>
      <c r="G61" s="2273"/>
      <c r="H61" s="2273"/>
      <c r="I61" s="2273"/>
      <c r="J61" s="2273"/>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3" t="s">
        <v>2077</v>
      </c>
      <c r="B62" s="84"/>
      <c r="C62" s="2273"/>
      <c r="D62" s="2274"/>
      <c r="E62" s="2273"/>
      <c r="F62" s="2273"/>
      <c r="G62" s="2273"/>
      <c r="H62" s="2273"/>
      <c r="I62" s="2273"/>
      <c r="J62" s="2273"/>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5" t="s">
        <v>2078</v>
      </c>
      <c r="B63" s="134"/>
      <c r="C63" s="2273"/>
      <c r="D63" s="2274"/>
      <c r="E63" s="2273"/>
      <c r="F63" s="2273"/>
      <c r="G63" s="2273"/>
      <c r="H63" s="2273"/>
      <c r="I63" s="2273"/>
      <c r="J63" s="2273"/>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36"/>
      <c r="D64" s="2337"/>
      <c r="K64" s="798"/>
      <c r="L64" s="798"/>
    </row>
    <row r="65" spans="1:12" s="967" customFormat="1">
      <c r="A65" s="2336"/>
      <c r="D65" s="2337"/>
      <c r="K65" s="798"/>
      <c r="L65" s="798"/>
    </row>
    <row r="66" spans="1:12" s="967" customFormat="1">
      <c r="A66" s="2336"/>
      <c r="D66" s="2337"/>
      <c r="K66" s="798"/>
      <c r="L66" s="798"/>
    </row>
    <row r="67" spans="1:12" s="967" customFormat="1">
      <c r="A67" s="2336"/>
      <c r="D67" s="2337"/>
      <c r="K67" s="798"/>
      <c r="L67" s="798"/>
    </row>
    <row r="68" spans="1:12" s="967" customFormat="1">
      <c r="A68" s="2336"/>
      <c r="D68" s="2337"/>
      <c r="K68" s="798"/>
      <c r="L68" s="798"/>
    </row>
    <row r="69" spans="1:12" s="967" customFormat="1">
      <c r="A69" s="2336"/>
      <c r="D69" s="2337"/>
      <c r="K69" s="798"/>
      <c r="L69" s="798"/>
    </row>
    <row r="70" spans="1:12" s="967" customFormat="1">
      <c r="A70" s="2336"/>
      <c r="D70" s="2337"/>
      <c r="K70" s="798"/>
      <c r="L70" s="798"/>
    </row>
    <row r="71" spans="1:12" s="967" customFormat="1">
      <c r="A71" s="2336"/>
      <c r="D71" s="2337"/>
      <c r="K71" s="798"/>
      <c r="L71" s="798"/>
    </row>
    <row r="72" spans="1:12" s="967" customFormat="1">
      <c r="A72" s="2336"/>
      <c r="D72" s="2337"/>
      <c r="K72" s="798"/>
      <c r="L72" s="798"/>
    </row>
    <row r="73" spans="1:12" s="967" customFormat="1">
      <c r="A73" s="2336"/>
      <c r="D73" s="2337"/>
      <c r="K73" s="798"/>
      <c r="L73" s="798"/>
    </row>
    <row r="74" spans="1:12" s="967" customFormat="1">
      <c r="A74" s="2336"/>
      <c r="D74" s="2337"/>
      <c r="K74" s="798"/>
      <c r="L74" s="798"/>
    </row>
    <row r="75" spans="1:12" s="967" customFormat="1">
      <c r="A75" s="2336"/>
      <c r="D75" s="2337"/>
      <c r="K75" s="798"/>
      <c r="L75" s="798"/>
    </row>
    <row r="76" spans="1:12" s="967" customFormat="1">
      <c r="A76" s="2336"/>
      <c r="D76" s="2337"/>
      <c r="K76" s="798"/>
      <c r="L76" s="798"/>
    </row>
    <row r="77" spans="1:12" s="967" customFormat="1">
      <c r="A77" s="2336"/>
      <c r="D77" s="2337"/>
      <c r="K77" s="798"/>
      <c r="L77" s="798"/>
    </row>
    <row r="78" spans="1:12" s="967" customFormat="1">
      <c r="A78" s="2336"/>
      <c r="D78" s="2337"/>
      <c r="K78" s="798"/>
      <c r="L78" s="798"/>
    </row>
    <row r="79" spans="1:12" s="967" customFormat="1">
      <c r="A79" s="2336"/>
      <c r="D79" s="2337"/>
      <c r="K79" s="798"/>
      <c r="L79" s="798"/>
    </row>
    <row r="80" spans="1:12" s="967" customFormat="1">
      <c r="A80" s="2336"/>
      <c r="D80" s="2337"/>
      <c r="K80" s="798"/>
      <c r="L80" s="798"/>
    </row>
    <row r="81" spans="1:12" s="967" customFormat="1">
      <c r="A81" s="2336"/>
      <c r="D81" s="2337"/>
      <c r="K81" s="798"/>
      <c r="L81" s="798"/>
    </row>
    <row r="82" spans="1:12" s="967" customFormat="1">
      <c r="A82" s="2336"/>
      <c r="D82" s="2337"/>
      <c r="K82" s="798"/>
      <c r="L82" s="798"/>
    </row>
    <row r="83" spans="1:12" s="967" customFormat="1">
      <c r="A83" s="2336"/>
      <c r="D83" s="2337"/>
      <c r="K83" s="798"/>
      <c r="L83" s="798"/>
    </row>
    <row r="84" spans="1:12" s="967" customFormat="1">
      <c r="A84" s="2336"/>
      <c r="D84" s="2337"/>
      <c r="K84" s="798"/>
      <c r="L84" s="798"/>
    </row>
    <row r="85" spans="1:12" s="967" customFormat="1">
      <c r="A85" s="2336"/>
      <c r="D85" s="2337"/>
      <c r="K85" s="798"/>
      <c r="L85" s="798"/>
    </row>
    <row r="86" spans="1:12" s="967" customFormat="1">
      <c r="A86" s="2336"/>
      <c r="D86" s="2337"/>
      <c r="K86" s="798"/>
      <c r="L86" s="798"/>
    </row>
    <row r="87" spans="1:12" s="967" customFormat="1">
      <c r="A87" s="2336"/>
      <c r="D87" s="2337"/>
      <c r="K87" s="798"/>
      <c r="L87" s="798"/>
    </row>
    <row r="88" spans="1:12" s="967" customFormat="1">
      <c r="A88" s="2336"/>
      <c r="D88" s="2337"/>
      <c r="K88" s="798"/>
      <c r="L88" s="798"/>
    </row>
    <row r="89" spans="1:12" s="967" customFormat="1">
      <c r="A89" s="2336"/>
      <c r="D89" s="2337"/>
      <c r="K89" s="798"/>
      <c r="L89" s="798"/>
    </row>
    <row r="90" spans="1:12" s="967" customFormat="1">
      <c r="A90" s="2336"/>
      <c r="D90" s="2337"/>
      <c r="K90" s="798"/>
      <c r="L90" s="798"/>
    </row>
    <row r="91" spans="1:12" s="967" customFormat="1">
      <c r="A91" s="2336"/>
      <c r="D91" s="2337"/>
      <c r="K91" s="798"/>
      <c r="L91" s="798"/>
    </row>
    <row r="92" spans="1:12" s="967" customFormat="1">
      <c r="A92" s="2336"/>
      <c r="D92" s="2337"/>
      <c r="K92" s="798"/>
      <c r="L92" s="798"/>
    </row>
    <row r="93" spans="1:12" s="967" customFormat="1">
      <c r="A93" s="2336"/>
      <c r="D93" s="2337"/>
      <c r="K93" s="798"/>
      <c r="L93" s="798"/>
    </row>
    <row r="94" spans="1:12" s="967" customFormat="1">
      <c r="A94" s="2336"/>
      <c r="D94" s="2337"/>
      <c r="K94" s="798"/>
      <c r="L94" s="798"/>
    </row>
    <row r="95" spans="1:12" s="967" customFormat="1">
      <c r="A95" s="2336"/>
      <c r="D95" s="2337"/>
      <c r="K95" s="798"/>
      <c r="L95" s="798"/>
    </row>
    <row r="96" spans="1:12" s="967" customFormat="1">
      <c r="A96" s="2336"/>
      <c r="D96" s="2337"/>
      <c r="K96" s="798"/>
      <c r="L96" s="798"/>
    </row>
    <row r="97" spans="1:12" s="967" customFormat="1">
      <c r="A97" s="2336"/>
      <c r="D97" s="2337"/>
      <c r="K97" s="798"/>
      <c r="L97" s="798"/>
    </row>
    <row r="98" spans="1:12" s="967" customFormat="1">
      <c r="A98" s="2336"/>
      <c r="D98" s="2337"/>
      <c r="K98" s="798"/>
      <c r="L98" s="798"/>
    </row>
    <row r="99" spans="1:12" s="967" customFormat="1">
      <c r="A99" s="2336"/>
      <c r="D99" s="2337"/>
      <c r="K99" s="798"/>
      <c r="L99" s="798"/>
    </row>
    <row r="100" spans="1:12" s="967" customFormat="1">
      <c r="A100" s="2336"/>
      <c r="D100" s="2337"/>
      <c r="K100" s="798"/>
      <c r="L100" s="798"/>
    </row>
    <row r="101" spans="1:12" s="967" customFormat="1">
      <c r="A101" s="2336"/>
      <c r="D101" s="2337"/>
      <c r="K101" s="798"/>
      <c r="L101" s="798"/>
    </row>
    <row r="102" spans="1:12" s="967" customFormat="1">
      <c r="A102" s="2336"/>
      <c r="D102" s="2337"/>
      <c r="K102" s="798"/>
      <c r="L102" s="798"/>
    </row>
    <row r="103" spans="1:12" s="967" customFormat="1">
      <c r="A103" s="2336"/>
      <c r="D103" s="2337"/>
      <c r="K103" s="798"/>
      <c r="L103" s="798"/>
    </row>
    <row r="104" spans="1:12" s="967" customFormat="1">
      <c r="A104" s="2336"/>
      <c r="D104" s="2337"/>
      <c r="K104" s="798"/>
      <c r="L104" s="798"/>
    </row>
    <row r="105" spans="1:12" s="967" customFormat="1">
      <c r="A105" s="2336"/>
      <c r="D105" s="2337"/>
      <c r="K105" s="798"/>
      <c r="L105" s="798"/>
    </row>
    <row r="106" spans="1:12" s="967" customFormat="1">
      <c r="A106" s="2336"/>
      <c r="D106" s="2337"/>
      <c r="K106" s="798"/>
      <c r="L106" s="798"/>
    </row>
    <row r="107" spans="1:12" s="967" customFormat="1">
      <c r="A107" s="2336"/>
      <c r="D107" s="2337"/>
      <c r="K107" s="798"/>
      <c r="L107" s="798"/>
    </row>
    <row r="108" spans="1:12" s="967" customFormat="1">
      <c r="A108" s="2336"/>
      <c r="D108" s="2337"/>
      <c r="K108" s="798"/>
      <c r="L108" s="798"/>
    </row>
    <row r="109" spans="1:12" s="967" customFormat="1">
      <c r="A109" s="2336"/>
      <c r="D109" s="2337"/>
      <c r="K109" s="798"/>
      <c r="L109" s="798"/>
    </row>
    <row r="110" spans="1:12" s="967" customFormat="1">
      <c r="A110" s="2336"/>
      <c r="D110" s="2337"/>
      <c r="K110" s="798"/>
      <c r="L110" s="798"/>
    </row>
    <row r="111" spans="1:12" s="967" customFormat="1">
      <c r="A111" s="2336"/>
      <c r="D111" s="2337"/>
      <c r="K111" s="798"/>
      <c r="L111" s="798"/>
    </row>
    <row r="112" spans="1:12" s="967" customFormat="1">
      <c r="A112" s="2336"/>
      <c r="D112" s="2337"/>
      <c r="K112" s="798"/>
      <c r="L112" s="798"/>
    </row>
    <row r="113" spans="1:12" s="967" customFormat="1">
      <c r="A113" s="2336"/>
      <c r="D113" s="2337"/>
      <c r="K113" s="798"/>
      <c r="L113" s="798"/>
    </row>
    <row r="114" spans="1:12" s="967" customFormat="1">
      <c r="A114" s="2336"/>
      <c r="D114" s="2337"/>
      <c r="K114" s="798"/>
      <c r="L114" s="798"/>
    </row>
    <row r="115" spans="1:12" s="967" customFormat="1">
      <c r="A115" s="2336"/>
      <c r="D115" s="2337"/>
      <c r="K115" s="798"/>
      <c r="L115" s="798"/>
    </row>
    <row r="116" spans="1:12" s="967" customFormat="1">
      <c r="A116" s="2336"/>
      <c r="D116" s="2337"/>
      <c r="K116" s="798"/>
      <c r="L116" s="798"/>
    </row>
    <row r="117" spans="1:12" s="967" customFormat="1">
      <c r="A117" s="2336"/>
      <c r="D117" s="2337"/>
      <c r="K117" s="798"/>
      <c r="L117" s="798"/>
    </row>
    <row r="118" spans="1:12" s="967" customFormat="1">
      <c r="A118" s="2336"/>
      <c r="D118" s="2337"/>
      <c r="K118" s="798"/>
      <c r="L118" s="798"/>
    </row>
    <row r="119" spans="1:12" s="967" customFormat="1">
      <c r="A119" s="2336"/>
      <c r="D119" s="2337"/>
      <c r="K119" s="798"/>
      <c r="L119" s="798"/>
    </row>
    <row r="120" spans="1:12" s="967" customFormat="1">
      <c r="A120" s="2336"/>
      <c r="D120" s="2337"/>
      <c r="K120" s="798"/>
      <c r="L120" s="798"/>
    </row>
    <row r="121" spans="1:12" s="967" customFormat="1">
      <c r="A121" s="2336"/>
      <c r="D121" s="2337"/>
      <c r="K121" s="798"/>
      <c r="L121" s="798"/>
    </row>
    <row r="122" spans="1:12" s="967" customFormat="1">
      <c r="A122" s="2336"/>
      <c r="D122" s="2337"/>
      <c r="K122" s="798"/>
      <c r="L122" s="798"/>
    </row>
    <row r="123" spans="1:12" s="967" customFormat="1">
      <c r="A123" s="2336"/>
      <c r="D123" s="2337"/>
      <c r="K123" s="798"/>
      <c r="L123" s="798"/>
    </row>
    <row r="124" spans="1:12" s="967" customFormat="1">
      <c r="A124" s="2336"/>
      <c r="D124" s="2337"/>
      <c r="K124" s="798"/>
      <c r="L124" s="798"/>
    </row>
    <row r="125" spans="1:12" s="967" customFormat="1">
      <c r="A125" s="2336"/>
      <c r="D125" s="2337"/>
      <c r="K125" s="798"/>
      <c r="L125" s="798"/>
    </row>
    <row r="126" spans="1:12" s="967" customFormat="1">
      <c r="A126" s="2336"/>
      <c r="D126" s="2337"/>
      <c r="K126" s="798"/>
      <c r="L126" s="798"/>
    </row>
    <row r="127" spans="1:12" s="967" customFormat="1">
      <c r="A127" s="2336"/>
      <c r="D127" s="2337"/>
      <c r="K127" s="798"/>
      <c r="L127" s="798"/>
    </row>
    <row r="128" spans="1:12" s="967" customFormat="1">
      <c r="A128" s="2336"/>
      <c r="D128" s="2337"/>
      <c r="K128" s="798"/>
      <c r="L128" s="798"/>
    </row>
    <row r="129" spans="1:12" s="967" customFormat="1">
      <c r="A129" s="2336"/>
      <c r="D129" s="2337"/>
      <c r="K129" s="798"/>
      <c r="L129" s="798"/>
    </row>
    <row r="130" spans="1:12" s="967" customFormat="1">
      <c r="A130" s="2336"/>
      <c r="D130" s="2337"/>
      <c r="K130" s="798"/>
      <c r="L130" s="798"/>
    </row>
    <row r="131" spans="1:12" s="967" customFormat="1">
      <c r="A131" s="2336"/>
      <c r="D131" s="2337"/>
      <c r="K131" s="798"/>
      <c r="L131" s="798"/>
    </row>
    <row r="132" spans="1:12" s="967" customFormat="1">
      <c r="A132" s="2336"/>
      <c r="D132" s="2337"/>
      <c r="K132" s="798"/>
      <c r="L132" s="798"/>
    </row>
    <row r="133" spans="1:12" s="967" customFormat="1">
      <c r="A133" s="2336"/>
      <c r="D133" s="2337"/>
      <c r="K133" s="798"/>
      <c r="L133" s="798"/>
    </row>
    <row r="134" spans="1:12" s="2270" customFormat="1">
      <c r="A134" s="2338"/>
      <c r="D134" s="2339"/>
      <c r="K134" s="27"/>
      <c r="L134" s="27"/>
    </row>
    <row r="135" spans="1:12" s="2270" customFormat="1">
      <c r="A135" s="2338"/>
      <c r="D135" s="2339"/>
      <c r="K135" s="27"/>
      <c r="L135" s="27"/>
    </row>
    <row r="136" spans="1:12" s="2270" customFormat="1">
      <c r="A136" s="2338"/>
      <c r="D136" s="2339"/>
      <c r="K136" s="27"/>
      <c r="L136" s="27"/>
    </row>
    <row r="137" spans="1:12" s="2270" customFormat="1">
      <c r="A137" s="2338"/>
      <c r="D137" s="2339"/>
      <c r="K137" s="27"/>
      <c r="L137" s="27"/>
    </row>
    <row r="138" spans="1:12" s="2270" customFormat="1">
      <c r="A138" s="2338"/>
      <c r="D138" s="2339"/>
      <c r="K138" s="27"/>
      <c r="L138" s="27"/>
    </row>
    <row r="139" spans="1:12" s="2270" customFormat="1">
      <c r="A139" s="2338"/>
      <c r="D139" s="2339"/>
      <c r="K139" s="27"/>
      <c r="L139" s="27"/>
    </row>
    <row r="140" spans="1:12" s="2270" customFormat="1">
      <c r="A140" s="2338"/>
      <c r="D140" s="2339"/>
      <c r="K140" s="27"/>
      <c r="L140" s="27"/>
    </row>
    <row r="141" spans="1:12" s="2270" customFormat="1">
      <c r="A141" s="2338"/>
      <c r="D141" s="2339"/>
      <c r="K141" s="27"/>
      <c r="L141" s="27"/>
    </row>
    <row r="142" spans="1:12" s="2270" customFormat="1">
      <c r="A142" s="2338"/>
      <c r="D142" s="2339"/>
      <c r="K142" s="27"/>
      <c r="L142" s="27"/>
    </row>
    <row r="143" spans="1:12" s="2270" customFormat="1">
      <c r="A143" s="2338"/>
      <c r="D143" s="2339"/>
      <c r="K143" s="27"/>
      <c r="L143" s="27"/>
    </row>
    <row r="144" spans="1:12" s="2270" customFormat="1">
      <c r="A144" s="2338"/>
      <c r="D144" s="2339"/>
      <c r="K144" s="27"/>
      <c r="L144" s="27"/>
    </row>
    <row r="145" spans="1:12" s="2270" customFormat="1">
      <c r="A145" s="2338"/>
      <c r="D145" s="2339"/>
      <c r="K145" s="27"/>
      <c r="L145" s="27"/>
    </row>
    <row r="146" spans="1:12" s="2270" customFormat="1">
      <c r="A146" s="2338"/>
      <c r="D146" s="2339"/>
      <c r="K146" s="27"/>
      <c r="L146" s="27"/>
    </row>
    <row r="147" spans="1:12" s="2270" customFormat="1">
      <c r="A147" s="2338"/>
      <c r="D147" s="2339"/>
      <c r="K147" s="27"/>
      <c r="L147" s="27"/>
    </row>
    <row r="148" spans="1:12" s="2270" customFormat="1">
      <c r="A148" s="2338"/>
      <c r="D148" s="2339"/>
      <c r="K148" s="27"/>
      <c r="L148" s="27"/>
    </row>
    <row r="149" spans="1:12" s="2270" customFormat="1">
      <c r="A149" s="2338"/>
      <c r="D149" s="2339"/>
      <c r="K149" s="27"/>
      <c r="L149" s="27"/>
    </row>
    <row r="150" spans="1:12" s="2270" customFormat="1">
      <c r="A150" s="2338"/>
      <c r="D150" s="2339"/>
      <c r="K150" s="27"/>
      <c r="L150" s="27"/>
    </row>
    <row r="151" spans="1:12" s="2270" customFormat="1">
      <c r="A151" s="2338"/>
      <c r="D151" s="2339"/>
      <c r="K151" s="27"/>
      <c r="L151" s="27"/>
    </row>
    <row r="152" spans="1:12" s="2270" customFormat="1">
      <c r="A152" s="2338"/>
      <c r="D152" s="2339"/>
      <c r="K152" s="27"/>
      <c r="L152" s="27"/>
    </row>
    <row r="153" spans="1:12" s="2270" customFormat="1">
      <c r="A153" s="2338"/>
      <c r="D153" s="2339"/>
      <c r="K153" s="27"/>
      <c r="L153" s="27"/>
    </row>
    <row r="154" spans="1:12" s="2270" customFormat="1">
      <c r="A154" s="2338"/>
      <c r="D154" s="2339"/>
      <c r="K154" s="27"/>
      <c r="L154" s="27"/>
    </row>
    <row r="155" spans="1:12" s="2270" customFormat="1">
      <c r="A155" s="2338"/>
      <c r="D155" s="2339"/>
      <c r="K155" s="27"/>
      <c r="L155" s="27"/>
    </row>
    <row r="156" spans="1:12" s="2270" customFormat="1">
      <c r="A156" s="2338"/>
      <c r="D156" s="2339"/>
      <c r="K156" s="27"/>
      <c r="L156" s="27"/>
    </row>
    <row r="157" spans="1:12" s="2270" customFormat="1">
      <c r="A157" s="2338"/>
      <c r="D157" s="2339"/>
      <c r="K157" s="27"/>
      <c r="L157" s="27"/>
    </row>
    <row r="158" spans="1:12" s="2270" customFormat="1">
      <c r="A158" s="2338"/>
      <c r="D158" s="2339"/>
      <c r="K158" s="27"/>
      <c r="L158" s="27"/>
    </row>
    <row r="159" spans="1:12" s="2270" customFormat="1">
      <c r="A159" s="2338"/>
      <c r="D159" s="2339"/>
      <c r="K159" s="27"/>
      <c r="L159" s="27"/>
    </row>
    <row r="160" spans="1:12" s="2270" customFormat="1">
      <c r="A160" s="2338"/>
      <c r="D160" s="2339"/>
      <c r="K160" s="27"/>
      <c r="L160" s="27"/>
    </row>
    <row r="161" spans="1:12" s="2270" customFormat="1">
      <c r="A161" s="2338"/>
      <c r="D161" s="2339"/>
      <c r="K161" s="27"/>
      <c r="L161" s="27"/>
    </row>
    <row r="162" spans="1:12" s="2270" customFormat="1">
      <c r="A162" s="2338"/>
      <c r="D162" s="2339"/>
      <c r="K162" s="27"/>
      <c r="L162" s="27"/>
    </row>
    <row r="163" spans="1:12" s="2270" customFormat="1">
      <c r="A163" s="2338"/>
      <c r="D163" s="2339"/>
      <c r="K163" s="27"/>
      <c r="L163" s="27"/>
    </row>
    <row r="164" spans="1:12" s="2270" customFormat="1">
      <c r="A164" s="2338"/>
      <c r="D164" s="2339"/>
      <c r="K164" s="27"/>
      <c r="L164" s="27"/>
    </row>
    <row r="165" spans="1:12" s="2270" customFormat="1">
      <c r="A165" s="2338"/>
      <c r="D165" s="2339"/>
      <c r="K165" s="27"/>
      <c r="L165" s="27"/>
    </row>
    <row r="166" spans="1:12" s="2270" customFormat="1">
      <c r="A166" s="2338"/>
      <c r="D166" s="2339"/>
      <c r="K166" s="27"/>
      <c r="L166" s="27"/>
    </row>
    <row r="167" spans="1:12" s="2270" customFormat="1">
      <c r="A167" s="2338"/>
      <c r="D167" s="2339"/>
      <c r="K167" s="27"/>
      <c r="L167" s="27"/>
    </row>
    <row r="168" spans="1:12" s="2270" customFormat="1">
      <c r="A168" s="2338"/>
      <c r="D168" s="2339"/>
      <c r="K168" s="27"/>
      <c r="L168" s="27"/>
    </row>
    <row r="169" spans="1:12" s="2270" customFormat="1">
      <c r="A169" s="2338"/>
      <c r="D169" s="2339"/>
      <c r="K169" s="27"/>
      <c r="L169" s="27"/>
    </row>
    <row r="170" spans="1:12" s="2270" customFormat="1">
      <c r="A170" s="2338"/>
      <c r="D170" s="2339"/>
      <c r="K170" s="27"/>
      <c r="L170" s="27"/>
    </row>
    <row r="171" spans="1:12" s="2270" customFormat="1">
      <c r="A171" s="2338"/>
      <c r="D171" s="2339"/>
      <c r="K171" s="27"/>
      <c r="L171" s="27"/>
    </row>
    <row r="172" spans="1:12" s="2270" customFormat="1">
      <c r="A172" s="2338"/>
      <c r="D172" s="2339"/>
      <c r="K172" s="27"/>
      <c r="L172" s="27"/>
    </row>
    <row r="173" spans="1:12" s="2270" customFormat="1">
      <c r="A173" s="2338"/>
      <c r="D173" s="2339"/>
      <c r="K173" s="27"/>
      <c r="L173" s="27"/>
    </row>
    <row r="174" spans="1:12" s="2270"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C50" sqref="C50"/>
      <selection pane="topRight" activeCell="C50" sqref="C50"/>
      <selection pane="bottomLeft" activeCell="C50" sqref="C50"/>
      <selection pane="bottomRight" activeCell="G22" sqref="G22"/>
    </sheetView>
  </sheetViews>
  <sheetFormatPr defaultRowHeight="14.25"/>
  <cols>
    <col min="1" max="1" width="9.5" style="2364"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89" customWidth="1"/>
    <col min="9" max="9" width="16.75" style="2390" customWidth="1"/>
    <col min="10" max="10" width="2.625" style="2389" customWidth="1"/>
    <col min="11" max="11" width="11.875" style="2389" customWidth="1"/>
    <col min="12" max="12" width="16.75" style="2390" customWidth="1"/>
    <col min="13" max="13" width="2.625" style="2389" customWidth="1"/>
    <col min="14" max="14" width="11.875" style="2389" customWidth="1"/>
    <col min="15" max="15" width="16.75" style="2390" customWidth="1"/>
    <col min="16" max="16" width="2.625" style="2389" customWidth="1"/>
    <col min="17" max="17" width="11.875" style="2389" customWidth="1"/>
    <col min="18" max="18" width="16.75" style="2391" customWidth="1"/>
    <col min="19" max="29" width="9" style="2363"/>
    <col min="30" max="16384" width="9" style="2364"/>
  </cols>
  <sheetData>
    <row r="1" spans="1:29" s="2357" customFormat="1" ht="19.5" thickBot="1">
      <c r="A1" s="3049" t="s">
        <v>2079</v>
      </c>
      <c r="B1" s="3050"/>
      <c r="C1" s="3050"/>
      <c r="D1" s="3050"/>
      <c r="E1" s="3050"/>
      <c r="F1" s="3050"/>
      <c r="G1" s="3050"/>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2080</v>
      </c>
      <c r="D2" s="2361"/>
      <c r="E2" s="2362"/>
      <c r="F2" s="2282"/>
      <c r="G2" s="2360" t="s">
        <v>2081</v>
      </c>
      <c r="H2" s="2363"/>
      <c r="I2" s="2363"/>
      <c r="J2" s="2363"/>
      <c r="K2" s="2363"/>
      <c r="L2" s="2363"/>
      <c r="M2" s="2363"/>
      <c r="N2" s="2363"/>
      <c r="O2" s="2363"/>
      <c r="P2" s="2363"/>
      <c r="Q2" s="2363"/>
      <c r="R2" s="2363"/>
    </row>
    <row r="3" spans="1:29" ht="40.5">
      <c r="A3" s="415" t="s">
        <v>2082</v>
      </c>
      <c r="B3" s="1270" t="s">
        <v>2083</v>
      </c>
      <c r="C3" s="2365"/>
      <c r="D3" s="2366"/>
      <c r="E3" s="431" t="s">
        <v>2082</v>
      </c>
      <c r="F3" s="2367" t="s">
        <v>2084</v>
      </c>
      <c r="G3" s="3306" t="s">
        <v>3107</v>
      </c>
      <c r="H3" s="2363"/>
      <c r="I3" s="2363"/>
      <c r="J3" s="2363"/>
      <c r="K3" s="2363"/>
      <c r="L3" s="2363"/>
      <c r="M3" s="2363"/>
      <c r="N3" s="2363"/>
      <c r="O3" s="2363"/>
      <c r="P3" s="2363"/>
      <c r="Q3" s="2363"/>
      <c r="R3" s="2363"/>
    </row>
    <row r="4" spans="1:29" ht="54">
      <c r="A4" s="431"/>
      <c r="B4" s="1797" t="s">
        <v>2085</v>
      </c>
      <c r="C4" s="2368"/>
      <c r="D4" s="2366"/>
      <c r="E4" s="2369"/>
      <c r="F4" s="42" t="s">
        <v>2086</v>
      </c>
      <c r="G4" s="2954" t="s">
        <v>3108</v>
      </c>
      <c r="H4" s="2363"/>
      <c r="I4" s="2363"/>
      <c r="J4" s="2363"/>
      <c r="K4" s="2363"/>
      <c r="L4" s="2363"/>
      <c r="M4" s="2363"/>
      <c r="N4" s="2363"/>
      <c r="O4" s="2363"/>
      <c r="P4" s="2363"/>
      <c r="Q4" s="2363"/>
      <c r="R4" s="2363"/>
    </row>
    <row r="5" spans="1:29" ht="67.5">
      <c r="A5" s="431"/>
      <c r="B5" s="1797" t="s">
        <v>2087</v>
      </c>
      <c r="C5" s="2368"/>
      <c r="D5" s="2366"/>
      <c r="E5" s="2369"/>
      <c r="F5" s="1797" t="s">
        <v>2088</v>
      </c>
      <c r="G5" s="2954" t="s">
        <v>3109</v>
      </c>
      <c r="H5" s="2363"/>
      <c r="I5" s="2363"/>
      <c r="J5" s="2363"/>
      <c r="K5" s="2363"/>
      <c r="L5" s="2363"/>
      <c r="M5" s="2363"/>
      <c r="N5" s="2363"/>
      <c r="O5" s="2363"/>
      <c r="P5" s="2363"/>
      <c r="Q5" s="2363"/>
      <c r="R5" s="2363"/>
    </row>
    <row r="6" spans="1:29" ht="27">
      <c r="A6" s="431"/>
      <c r="B6" s="1797" t="s">
        <v>2089</v>
      </c>
      <c r="C6" s="2370"/>
      <c r="D6" s="2366"/>
      <c r="E6" s="2369"/>
      <c r="F6" s="1797" t="s">
        <v>2090</v>
      </c>
      <c r="G6" s="2954" t="s">
        <v>3062</v>
      </c>
      <c r="H6" s="2363"/>
      <c r="I6" s="2363"/>
      <c r="J6" s="2363"/>
      <c r="K6" s="2363"/>
      <c r="L6" s="2363"/>
      <c r="M6" s="2363"/>
      <c r="N6" s="2363"/>
      <c r="O6" s="2363"/>
      <c r="P6" s="2363"/>
      <c r="Q6" s="2363"/>
      <c r="R6" s="2363"/>
    </row>
    <row r="7" spans="1:29" ht="41.25" thickBot="1">
      <c r="A7" s="431"/>
      <c r="B7" s="1797" t="s">
        <v>2088</v>
      </c>
      <c r="C7" s="2370"/>
      <c r="D7" s="2371"/>
      <c r="E7" s="2372"/>
      <c r="F7" s="2373" t="s">
        <v>2091</v>
      </c>
      <c r="G7" s="2955" t="s">
        <v>3063</v>
      </c>
      <c r="H7" s="2363"/>
      <c r="I7" s="2363"/>
      <c r="J7" s="2363"/>
      <c r="K7" s="2363"/>
      <c r="L7" s="2363"/>
      <c r="M7" s="2363"/>
      <c r="N7" s="2363"/>
      <c r="O7" s="2363"/>
      <c r="P7" s="2363"/>
      <c r="Q7" s="2363"/>
      <c r="R7" s="2363"/>
    </row>
    <row r="8" spans="1:29" ht="15">
      <c r="A8" s="431"/>
      <c r="B8" s="1797" t="s">
        <v>2090</v>
      </c>
      <c r="C8" s="2370"/>
      <c r="D8" s="2371"/>
      <c r="E8" s="2371"/>
      <c r="F8" s="1135"/>
      <c r="G8" s="1135"/>
      <c r="H8" s="2363"/>
      <c r="I8" s="2363"/>
      <c r="J8" s="2363"/>
      <c r="K8" s="2363"/>
      <c r="L8" s="2363"/>
      <c r="M8" s="2363"/>
      <c r="N8" s="2363"/>
      <c r="O8" s="2363"/>
      <c r="P8" s="2363"/>
      <c r="Q8" s="2363"/>
      <c r="R8" s="2363"/>
    </row>
    <row r="9" spans="1:29" ht="15">
      <c r="A9" s="431"/>
      <c r="B9" s="1797" t="s">
        <v>2092</v>
      </c>
      <c r="C9" s="2368"/>
      <c r="D9" s="2366"/>
      <c r="E9" s="2371"/>
      <c r="F9" s="1135"/>
      <c r="G9" s="1135"/>
      <c r="H9" s="2363"/>
      <c r="I9" s="2363"/>
      <c r="J9" s="2363"/>
      <c r="K9" s="2363"/>
      <c r="L9" s="2363"/>
      <c r="M9" s="2363"/>
      <c r="N9" s="2363"/>
      <c r="O9" s="2363"/>
      <c r="P9" s="2363"/>
      <c r="Q9" s="2363"/>
      <c r="R9" s="2363"/>
    </row>
    <row r="10" spans="1:29" s="117" customFormat="1" ht="15.75" thickBot="1">
      <c r="A10" s="2374"/>
      <c r="B10" s="2375" t="s">
        <v>2093</v>
      </c>
      <c r="C10" s="2376"/>
      <c r="D10" s="2366"/>
      <c r="E10" s="2366"/>
      <c r="F10" s="1135"/>
      <c r="G10" s="1135"/>
      <c r="H10" s="2377"/>
      <c r="I10" s="2378"/>
      <c r="J10" s="2379"/>
      <c r="K10" s="2377"/>
      <c r="L10" s="2378"/>
      <c r="M10" s="2379"/>
      <c r="N10" s="2377"/>
      <c r="O10" s="2378"/>
      <c r="P10" s="2379"/>
      <c r="Q10" s="2377"/>
      <c r="R10" s="2378"/>
      <c r="S10" s="2363"/>
      <c r="T10" s="2363"/>
      <c r="U10" s="2363"/>
      <c r="V10" s="2363"/>
      <c r="W10" s="2363"/>
      <c r="X10" s="2363"/>
      <c r="Y10" s="2363"/>
      <c r="Z10" s="2363"/>
      <c r="AA10" s="2363"/>
      <c r="AB10" s="2363"/>
      <c r="AC10" s="2363"/>
    </row>
    <row r="11" spans="1:29" s="117" customFormat="1" ht="15">
      <c r="A11" s="2380"/>
      <c r="B11" s="2371"/>
      <c r="C11" s="2366"/>
      <c r="D11" s="2366"/>
      <c r="E11" s="2366"/>
      <c r="F11" s="2371"/>
      <c r="G11" s="1153"/>
      <c r="H11" s="2377"/>
      <c r="I11" s="2378"/>
      <c r="J11" s="2379"/>
      <c r="K11" s="2377"/>
      <c r="L11" s="2378"/>
      <c r="M11" s="2379"/>
      <c r="N11" s="2377"/>
      <c r="O11" s="2378"/>
      <c r="P11" s="2379"/>
      <c r="Q11" s="2377"/>
      <c r="R11" s="2378"/>
      <c r="S11" s="2363"/>
      <c r="T11" s="2363"/>
      <c r="U11" s="2363"/>
      <c r="V11" s="2363"/>
      <c r="W11" s="2363"/>
      <c r="X11" s="2363"/>
      <c r="Y11" s="2363"/>
      <c r="Z11" s="2363"/>
      <c r="AA11" s="2363"/>
      <c r="AB11" s="2363"/>
      <c r="AC11" s="2363"/>
    </row>
    <row r="12" spans="1:29" s="2357" customFormat="1" ht="18">
      <c r="A12" s="2380"/>
      <c r="B12" s="2371"/>
      <c r="C12" s="2366"/>
      <c r="D12" s="2381"/>
      <c r="E12" s="2366"/>
      <c r="F12" s="2371"/>
      <c r="G12" s="1153"/>
      <c r="H12" s="2382"/>
      <c r="I12" s="2383"/>
      <c r="J12" s="2382"/>
      <c r="K12" s="2382"/>
      <c r="L12" s="2384"/>
      <c r="M12" s="2382"/>
      <c r="N12" s="2385"/>
      <c r="O12" s="2386"/>
      <c r="P12" s="2385"/>
      <c r="Q12" s="2385"/>
      <c r="R12" s="2355"/>
      <c r="S12" s="2356"/>
      <c r="T12" s="2356"/>
      <c r="U12" s="2356"/>
      <c r="V12" s="2356"/>
      <c r="W12" s="2356"/>
      <c r="X12" s="2356"/>
      <c r="Y12" s="2356"/>
      <c r="Z12" s="2356"/>
      <c r="AA12" s="2356"/>
      <c r="AB12" s="2356"/>
      <c r="AC12" s="2356"/>
    </row>
    <row r="13" spans="1:29" ht="19.5" thickBot="1">
      <c r="A13" s="2387" t="s">
        <v>2094</v>
      </c>
      <c r="B13" s="2381"/>
      <c r="C13" s="2381"/>
      <c r="D13" s="2388"/>
      <c r="E13" s="2381"/>
      <c r="F13" s="2381"/>
      <c r="G13" s="2381"/>
    </row>
    <row r="14" spans="1:29" ht="15.75" thickBot="1">
      <c r="A14" s="2392"/>
      <c r="B14" s="2393"/>
      <c r="C14" s="2394" t="s">
        <v>2095</v>
      </c>
      <c r="D14" s="2366"/>
      <c r="E14" s="2395"/>
      <c r="F14" s="2395"/>
      <c r="G14" s="2360" t="s">
        <v>2096</v>
      </c>
    </row>
    <row r="15" spans="1:29" ht="42.75">
      <c r="A15" s="68" t="s">
        <v>2097</v>
      </c>
      <c r="B15" s="1269" t="s">
        <v>2083</v>
      </c>
      <c r="C15" s="2396">
        <f>C3</f>
        <v>0</v>
      </c>
      <c r="D15" s="2366"/>
      <c r="E15" s="2397" t="s">
        <v>2098</v>
      </c>
      <c r="F15" s="1269" t="s">
        <v>2099</v>
      </c>
      <c r="G15" s="135" t="str">
        <f>G3</f>
        <v>估价对象位于中关村兴业创业园，园区建设成熟度较好，产业集聚程度较好</v>
      </c>
    </row>
    <row r="16" spans="1:29" ht="42.75">
      <c r="A16" s="645"/>
      <c r="B16" s="2398" t="s">
        <v>2085</v>
      </c>
      <c r="C16" s="2399">
        <f>C4</f>
        <v>0</v>
      </c>
      <c r="D16" s="2366"/>
      <c r="E16" s="2400"/>
      <c r="F16" s="2401" t="s">
        <v>2086</v>
      </c>
      <c r="G16" s="136" t="str">
        <f>G4</f>
        <v>估价对象周边道路状况较好、公共交通通达情况一般、停车便捷程度一般，综合评价交通便捷度一般</v>
      </c>
    </row>
    <row r="17" spans="1:18" ht="15">
      <c r="A17" s="645"/>
      <c r="B17" s="2398" t="s">
        <v>2087</v>
      </c>
      <c r="C17" s="2399">
        <f>C5</f>
        <v>0</v>
      </c>
      <c r="D17" s="2371"/>
      <c r="E17" s="2400"/>
      <c r="F17" s="2401" t="s">
        <v>2100</v>
      </c>
      <c r="G17" s="2956" t="s">
        <v>3064</v>
      </c>
    </row>
    <row r="18" spans="1:18" ht="42.75">
      <c r="A18" s="645"/>
      <c r="B18" s="2401" t="s">
        <v>2089</v>
      </c>
      <c r="C18" s="136">
        <f>C6</f>
        <v>0</v>
      </c>
      <c r="D18" s="2371"/>
      <c r="E18" s="2400"/>
      <c r="F18" s="2401" t="s">
        <v>2091</v>
      </c>
      <c r="G18" s="136" t="str">
        <f>G7</f>
        <v>该园区内是否有污染型企业，绿化情况，卫生条件，整体环境状况判断，较好</v>
      </c>
    </row>
    <row r="19" spans="1:18" ht="28.5">
      <c r="A19" s="645"/>
      <c r="B19" s="2401" t="s">
        <v>2101</v>
      </c>
      <c r="C19" s="1571"/>
      <c r="D19" s="2366"/>
      <c r="E19" s="2400"/>
      <c r="F19" s="1797" t="s">
        <v>2088</v>
      </c>
      <c r="G19" s="136" t="str">
        <f>G5</f>
        <v>估价对象所在区域公共配套设施有农村商业银行、上海浦东发展银行、世纪华联、容中超市、中国石油大学附属中学、昌平五中等，齐备情况较好</v>
      </c>
    </row>
    <row r="20" spans="1:18" ht="28.5">
      <c r="A20" s="645"/>
      <c r="B20" s="2401" t="s">
        <v>2102</v>
      </c>
      <c r="C20" s="2399">
        <f>C9</f>
        <v>0</v>
      </c>
      <c r="D20" s="2371"/>
      <c r="E20" s="2400"/>
      <c r="F20" s="1797" t="s">
        <v>2103</v>
      </c>
      <c r="G20" s="136" t="str">
        <f>G6</f>
        <v>估价对象所在区域基础设施水平七通</v>
      </c>
    </row>
    <row r="21" spans="1:18" ht="15">
      <c r="A21" s="645"/>
      <c r="B21" s="1797" t="s">
        <v>2088</v>
      </c>
      <c r="C21" s="136">
        <f>C7</f>
        <v>0</v>
      </c>
      <c r="D21" s="2366"/>
      <c r="E21" s="2400"/>
      <c r="F21" s="2401" t="s">
        <v>2104</v>
      </c>
      <c r="G21" s="2957" t="s">
        <v>3110</v>
      </c>
    </row>
    <row r="22" spans="1:18" ht="13.5" customHeight="1">
      <c r="A22" s="645"/>
      <c r="B22" s="1797" t="s">
        <v>2090</v>
      </c>
      <c r="C22" s="136">
        <f>C8</f>
        <v>0</v>
      </c>
      <c r="D22" s="2366"/>
      <c r="E22" s="2400"/>
      <c r="F22" s="2401" t="s">
        <v>2093</v>
      </c>
      <c r="G22" s="2956" t="s">
        <v>3065</v>
      </c>
    </row>
    <row r="23" spans="1:18" s="2363" customFormat="1" ht="15.75" thickBot="1">
      <c r="A23" s="645"/>
      <c r="B23" s="2401" t="s">
        <v>2104</v>
      </c>
      <c r="C23" s="2402"/>
      <c r="D23" s="2389"/>
      <c r="E23" s="2403"/>
      <c r="F23" s="2404" t="s">
        <v>2105</v>
      </c>
      <c r="G23" s="2405"/>
      <c r="H23" s="2389"/>
      <c r="I23" s="2390"/>
      <c r="J23" s="2389"/>
      <c r="K23" s="2389"/>
      <c r="L23" s="2390"/>
      <c r="M23" s="2389"/>
      <c r="N23" s="2389"/>
      <c r="O23" s="2390"/>
      <c r="P23" s="2389"/>
      <c r="Q23" s="2389"/>
      <c r="R23" s="2391"/>
    </row>
    <row r="24" spans="1:18" s="2363" customFormat="1" ht="15.75" thickBot="1">
      <c r="A24" s="2406"/>
      <c r="B24" s="2404" t="s">
        <v>2106</v>
      </c>
      <c r="C24" s="137">
        <f>C10</f>
        <v>0</v>
      </c>
      <c r="D24" s="2389"/>
      <c r="E24" s="2407"/>
      <c r="F24" s="2407"/>
      <c r="G24" s="2408"/>
      <c r="H24" s="2389"/>
      <c r="I24" s="2390"/>
      <c r="J24" s="2389"/>
      <c r="K24" s="2389"/>
      <c r="L24" s="2390"/>
      <c r="M24" s="2389"/>
      <c r="N24" s="2389"/>
      <c r="O24" s="2390"/>
      <c r="P24" s="2389"/>
      <c r="Q24" s="2389"/>
      <c r="R24" s="2391"/>
    </row>
    <row r="25" spans="1:18" s="2363" customFormat="1">
      <c r="B25" s="2389"/>
      <c r="C25" s="2389"/>
      <c r="D25" s="2389"/>
      <c r="H25" s="2389"/>
      <c r="I25" s="2390"/>
      <c r="J25" s="2389"/>
      <c r="K25" s="2389"/>
      <c r="L25" s="2390"/>
      <c r="M25" s="2389"/>
      <c r="N25" s="2389"/>
      <c r="O25" s="2390"/>
      <c r="P25" s="2389"/>
      <c r="Q25" s="2389"/>
      <c r="R25" s="2391"/>
    </row>
    <row r="26" spans="1:18" s="2363" customFormat="1">
      <c r="B26" s="2389"/>
      <c r="C26" s="2389"/>
      <c r="D26" s="2389"/>
      <c r="H26" s="2389"/>
      <c r="I26" s="2390"/>
      <c r="J26" s="2389"/>
      <c r="K26" s="2389"/>
      <c r="L26" s="2390"/>
      <c r="M26" s="2389"/>
      <c r="N26" s="2389"/>
      <c r="O26" s="2390"/>
      <c r="P26" s="2389"/>
      <c r="Q26" s="2389"/>
      <c r="R26" s="2391"/>
    </row>
    <row r="27" spans="1:18" s="2363" customFormat="1">
      <c r="B27" s="2389"/>
      <c r="C27" s="2389"/>
      <c r="D27" s="2389"/>
      <c r="H27" s="2389"/>
      <c r="I27" s="2390"/>
      <c r="J27" s="2389"/>
      <c r="K27" s="2389"/>
      <c r="L27" s="2390"/>
      <c r="M27" s="2389"/>
      <c r="N27" s="2389"/>
      <c r="O27" s="2390"/>
      <c r="P27" s="2389"/>
      <c r="Q27" s="2389"/>
      <c r="R27" s="2391"/>
    </row>
    <row r="28" spans="1:18" s="2363" customFormat="1">
      <c r="B28" s="2389"/>
      <c r="C28" s="2389"/>
      <c r="D28" s="2389"/>
      <c r="H28" s="2389"/>
      <c r="I28" s="2390"/>
      <c r="J28" s="2389"/>
      <c r="K28" s="2389"/>
      <c r="L28" s="2390"/>
      <c r="M28" s="2389"/>
      <c r="N28" s="2389"/>
      <c r="O28" s="2390"/>
      <c r="P28" s="2389"/>
      <c r="Q28" s="2389"/>
      <c r="R28" s="2391"/>
    </row>
    <row r="29" spans="1:18" s="2363" customFormat="1">
      <c r="B29" s="2389"/>
      <c r="C29" s="2389"/>
      <c r="D29" s="2389"/>
      <c r="H29" s="2389"/>
      <c r="I29" s="2390"/>
      <c r="J29" s="2389"/>
      <c r="K29" s="2389"/>
      <c r="L29" s="2390"/>
      <c r="M29" s="2389"/>
      <c r="N29" s="2389"/>
      <c r="O29" s="2390"/>
      <c r="P29" s="2389"/>
      <c r="Q29" s="2389"/>
      <c r="R29" s="2391"/>
    </row>
    <row r="30" spans="1:18" s="2363" customFormat="1">
      <c r="B30" s="2389"/>
      <c r="C30" s="2389"/>
      <c r="D30" s="2389"/>
      <c r="H30" s="2389"/>
      <c r="I30" s="2390"/>
      <c r="J30" s="2389"/>
      <c r="K30" s="2389"/>
      <c r="L30" s="2390"/>
      <c r="M30" s="2389"/>
      <c r="N30" s="2389"/>
      <c r="O30" s="2390"/>
      <c r="P30" s="2389"/>
      <c r="Q30" s="2389"/>
      <c r="R30" s="2391"/>
    </row>
    <row r="31" spans="1:18" s="2363" customFormat="1">
      <c r="B31" s="2389"/>
      <c r="C31" s="2389"/>
      <c r="D31" s="2389"/>
      <c r="H31" s="2389"/>
      <c r="I31" s="2390"/>
      <c r="J31" s="2389"/>
      <c r="K31" s="2389"/>
      <c r="L31" s="2390"/>
      <c r="M31" s="2389"/>
      <c r="N31" s="2389"/>
      <c r="O31" s="2390"/>
      <c r="P31" s="2389"/>
      <c r="Q31" s="2389"/>
      <c r="R31" s="2391"/>
    </row>
    <row r="32" spans="1:18" s="2363" customFormat="1">
      <c r="B32" s="2389"/>
      <c r="C32" s="2389"/>
      <c r="D32" s="2389"/>
      <c r="H32" s="2389"/>
      <c r="I32" s="2390"/>
      <c r="J32" s="2389"/>
      <c r="K32" s="2389"/>
      <c r="L32" s="2390"/>
      <c r="M32" s="2389"/>
      <c r="N32" s="2389"/>
      <c r="O32" s="2390"/>
      <c r="P32" s="2389"/>
      <c r="Q32" s="2389"/>
      <c r="R32" s="2391"/>
    </row>
    <row r="33" spans="2:18" s="2363" customFormat="1">
      <c r="B33" s="2389"/>
      <c r="C33" s="2389"/>
      <c r="D33" s="2389"/>
      <c r="H33" s="2389"/>
      <c r="I33" s="2390"/>
      <c r="J33" s="2389"/>
      <c r="K33" s="2389"/>
      <c r="L33" s="2390"/>
      <c r="M33" s="2389"/>
      <c r="N33" s="2389"/>
      <c r="O33" s="2390"/>
      <c r="P33" s="2389"/>
      <c r="Q33" s="2389"/>
      <c r="R33" s="2391"/>
    </row>
    <row r="34" spans="2:18" s="2363" customFormat="1">
      <c r="B34" s="2389"/>
      <c r="C34" s="2389"/>
      <c r="D34" s="2389"/>
      <c r="H34" s="2389"/>
      <c r="I34" s="2390"/>
      <c r="J34" s="2389"/>
      <c r="K34" s="2389"/>
      <c r="L34" s="2390"/>
      <c r="M34" s="2389"/>
      <c r="N34" s="2389"/>
      <c r="O34" s="2390"/>
      <c r="P34" s="2389"/>
      <c r="Q34" s="2389"/>
      <c r="R34" s="2391"/>
    </row>
    <row r="35" spans="2:18" s="2363" customFormat="1">
      <c r="B35" s="2389"/>
      <c r="C35" s="2389"/>
      <c r="D35" s="2389"/>
      <c r="H35" s="2389"/>
      <c r="I35" s="2390"/>
      <c r="J35" s="2389"/>
      <c r="K35" s="2389"/>
      <c r="L35" s="2390"/>
      <c r="M35" s="2389"/>
      <c r="N35" s="2389"/>
      <c r="O35" s="2390"/>
      <c r="P35" s="2389"/>
      <c r="Q35" s="2389"/>
      <c r="R35" s="2391"/>
    </row>
    <row r="36" spans="2:18" s="2363" customFormat="1">
      <c r="B36" s="2389"/>
      <c r="C36" s="2389"/>
      <c r="D36" s="2389"/>
      <c r="H36" s="2389"/>
      <c r="I36" s="2390"/>
      <c r="J36" s="2389"/>
      <c r="K36" s="2389"/>
      <c r="L36" s="2390"/>
      <c r="M36" s="2389"/>
      <c r="N36" s="2389"/>
      <c r="O36" s="2390"/>
      <c r="P36" s="2389"/>
      <c r="Q36" s="2389"/>
      <c r="R36" s="2391"/>
    </row>
    <row r="37" spans="2:18" s="2363" customFormat="1">
      <c r="B37" s="2389"/>
      <c r="C37" s="2389"/>
      <c r="D37" s="2389"/>
      <c r="H37" s="2389"/>
      <c r="I37" s="2390"/>
      <c r="J37" s="2389"/>
      <c r="K37" s="2389"/>
      <c r="L37" s="2390"/>
      <c r="M37" s="2389"/>
      <c r="N37" s="2389"/>
      <c r="O37" s="2390"/>
      <c r="P37" s="2389"/>
      <c r="Q37" s="2389"/>
      <c r="R37" s="2391"/>
    </row>
    <row r="38" spans="2:18" s="2363" customFormat="1">
      <c r="B38" s="2389"/>
      <c r="C38" s="2389"/>
      <c r="D38" s="2389"/>
      <c r="E38" s="2389"/>
      <c r="F38" s="2389"/>
      <c r="G38" s="2390"/>
      <c r="H38" s="2389"/>
      <c r="I38" s="2390"/>
      <c r="J38" s="2389"/>
      <c r="K38" s="2389"/>
      <c r="L38" s="2390"/>
      <c r="M38" s="2389"/>
      <c r="N38" s="2389"/>
      <c r="O38" s="2390"/>
      <c r="P38" s="2389"/>
      <c r="Q38" s="2389"/>
      <c r="R38" s="2391"/>
    </row>
    <row r="39" spans="2:18" s="2363" customFormat="1">
      <c r="B39" s="2389"/>
      <c r="C39" s="2389"/>
      <c r="D39" s="2389"/>
      <c r="E39" s="2389"/>
      <c r="F39" s="2389"/>
      <c r="G39" s="2390"/>
      <c r="H39" s="2389"/>
      <c r="I39" s="2390"/>
      <c r="J39" s="2389"/>
      <c r="K39" s="2389"/>
      <c r="L39" s="2390"/>
      <c r="M39" s="2389"/>
      <c r="N39" s="2389"/>
      <c r="O39" s="2390"/>
      <c r="P39" s="2389"/>
      <c r="Q39" s="2389"/>
      <c r="R39" s="2391"/>
    </row>
    <row r="40" spans="2:18" s="2363" customFormat="1">
      <c r="B40" s="2389"/>
      <c r="C40" s="2389"/>
      <c r="D40" s="2389"/>
      <c r="E40" s="2389"/>
      <c r="F40" s="2389"/>
      <c r="G40" s="2390"/>
      <c r="H40" s="2389"/>
      <c r="I40" s="2390"/>
      <c r="J40" s="2389"/>
      <c r="K40" s="2389"/>
      <c r="L40" s="2390"/>
      <c r="M40" s="2389"/>
      <c r="N40" s="2389"/>
      <c r="O40" s="2390"/>
      <c r="P40" s="2389"/>
      <c r="Q40" s="2389"/>
      <c r="R40" s="2391"/>
    </row>
    <row r="41" spans="2:18" s="2363" customFormat="1">
      <c r="B41" s="2389"/>
      <c r="C41" s="2389"/>
      <c r="D41" s="2389"/>
      <c r="E41" s="2389"/>
      <c r="F41" s="2389"/>
      <c r="G41" s="2390"/>
      <c r="H41" s="2389"/>
      <c r="I41" s="2390"/>
      <c r="J41" s="2389"/>
      <c r="K41" s="2389"/>
      <c r="L41" s="2390"/>
      <c r="M41" s="2389"/>
      <c r="N41" s="2389"/>
      <c r="O41" s="2390"/>
      <c r="P41" s="2389"/>
      <c r="Q41" s="2389"/>
      <c r="R41" s="2391"/>
    </row>
    <row r="42" spans="2:18" s="2363" customFormat="1">
      <c r="B42" s="2389"/>
      <c r="C42" s="2389"/>
      <c r="D42" s="2389"/>
      <c r="E42" s="2389"/>
      <c r="F42" s="2389"/>
      <c r="G42" s="2390"/>
      <c r="H42" s="2389"/>
      <c r="I42" s="2390"/>
      <c r="J42" s="2389"/>
      <c r="K42" s="2389"/>
      <c r="L42" s="2390"/>
      <c r="M42" s="2389"/>
      <c r="N42" s="2389"/>
      <c r="O42" s="2390"/>
      <c r="P42" s="2389"/>
      <c r="Q42" s="2389"/>
      <c r="R42" s="2391"/>
    </row>
    <row r="43" spans="2:18" s="2363" customFormat="1">
      <c r="B43" s="2389"/>
      <c r="C43" s="2389"/>
      <c r="D43" s="2389"/>
      <c r="E43" s="2389"/>
      <c r="F43" s="2389"/>
      <c r="G43" s="2390"/>
      <c r="H43" s="2389"/>
      <c r="I43" s="2390"/>
      <c r="J43" s="2389"/>
      <c r="K43" s="2389"/>
      <c r="L43" s="2390"/>
      <c r="M43" s="2389"/>
      <c r="N43" s="2389"/>
      <c r="O43" s="2390"/>
      <c r="P43" s="2389"/>
      <c r="Q43" s="2389"/>
      <c r="R43" s="2391"/>
    </row>
    <row r="44" spans="2:18" s="2363" customFormat="1">
      <c r="B44" s="2389"/>
      <c r="C44" s="2389"/>
      <c r="D44" s="2389"/>
      <c r="E44" s="2389"/>
      <c r="F44" s="2389"/>
      <c r="G44" s="2390"/>
      <c r="H44" s="2389"/>
      <c r="I44" s="2390"/>
      <c r="J44" s="2389"/>
      <c r="K44" s="2389"/>
      <c r="L44" s="2390"/>
      <c r="M44" s="2389"/>
      <c r="N44" s="2389"/>
      <c r="O44" s="2390"/>
      <c r="P44" s="2389"/>
      <c r="Q44" s="2389"/>
      <c r="R44" s="2391"/>
    </row>
    <row r="45" spans="2:18" s="2363" customFormat="1">
      <c r="B45" s="2389"/>
      <c r="C45" s="2389"/>
      <c r="D45" s="2389"/>
      <c r="E45" s="2389"/>
      <c r="F45" s="2389"/>
      <c r="G45" s="2390"/>
      <c r="H45" s="2389"/>
      <c r="I45" s="2390"/>
      <c r="J45" s="2389"/>
      <c r="K45" s="2389"/>
      <c r="L45" s="2390"/>
      <c r="M45" s="2389"/>
      <c r="N45" s="2389"/>
      <c r="O45" s="2390"/>
      <c r="P45" s="2389"/>
      <c r="Q45" s="2389"/>
      <c r="R45" s="2391"/>
    </row>
    <row r="46" spans="2:18" s="2363" customFormat="1">
      <c r="B46" s="2389"/>
      <c r="C46" s="2389"/>
      <c r="D46" s="2389"/>
      <c r="E46" s="2389"/>
      <c r="F46" s="2389"/>
      <c r="G46" s="2390"/>
      <c r="H46" s="2389"/>
      <c r="I46" s="2390"/>
      <c r="J46" s="2389"/>
      <c r="K46" s="2389"/>
      <c r="L46" s="2390"/>
      <c r="M46" s="2389"/>
      <c r="N46" s="2389"/>
      <c r="O46" s="2390"/>
      <c r="P46" s="2389"/>
      <c r="Q46" s="2389"/>
      <c r="R46" s="2391"/>
    </row>
    <row r="47" spans="2:18" s="2363" customFormat="1">
      <c r="B47" s="2389"/>
      <c r="C47" s="2389"/>
      <c r="D47" s="2389"/>
      <c r="E47" s="2389"/>
      <c r="F47" s="2389"/>
      <c r="G47" s="2390"/>
      <c r="H47" s="2389"/>
      <c r="I47" s="2390"/>
      <c r="J47" s="2389"/>
      <c r="K47" s="2389"/>
      <c r="L47" s="2390"/>
      <c r="M47" s="2389"/>
      <c r="N47" s="2389"/>
      <c r="O47" s="2390"/>
      <c r="P47" s="2389"/>
      <c r="Q47" s="2389"/>
      <c r="R47" s="2391"/>
    </row>
    <row r="48" spans="2:18" s="2363" customFormat="1">
      <c r="B48" s="2389"/>
      <c r="C48" s="2389"/>
      <c r="D48" s="2389"/>
      <c r="E48" s="2389"/>
      <c r="F48" s="2389"/>
      <c r="G48" s="2390"/>
      <c r="H48" s="2389"/>
      <c r="I48" s="2390"/>
      <c r="J48" s="2389"/>
      <c r="K48" s="2389"/>
      <c r="L48" s="2390"/>
      <c r="M48" s="2389"/>
      <c r="N48" s="2389"/>
      <c r="O48" s="2390"/>
      <c r="P48" s="2389"/>
      <c r="Q48" s="2389"/>
      <c r="R48" s="2391"/>
    </row>
    <row r="49" spans="2:18" s="2363" customFormat="1">
      <c r="B49" s="2389"/>
      <c r="C49" s="2389"/>
      <c r="D49" s="2389"/>
      <c r="E49" s="2389"/>
      <c r="F49" s="2389"/>
      <c r="G49" s="2390"/>
      <c r="H49" s="2389"/>
      <c r="I49" s="2390"/>
      <c r="J49" s="2389"/>
      <c r="K49" s="2389"/>
      <c r="L49" s="2390"/>
      <c r="M49" s="2389"/>
      <c r="N49" s="2389"/>
      <c r="O49" s="2390"/>
      <c r="P49" s="2389"/>
      <c r="Q49" s="2389"/>
      <c r="R49" s="2391"/>
    </row>
    <row r="50" spans="2:18" s="2363" customFormat="1">
      <c r="B50" s="2389"/>
      <c r="C50" s="2389"/>
      <c r="D50" s="2389"/>
      <c r="E50" s="2389"/>
      <c r="F50" s="2389"/>
      <c r="G50" s="2390"/>
      <c r="H50" s="2389"/>
      <c r="I50" s="2390"/>
      <c r="J50" s="2389"/>
      <c r="K50" s="2389"/>
      <c r="L50" s="2390"/>
      <c r="M50" s="2389"/>
      <c r="N50" s="2389"/>
      <c r="O50" s="2390"/>
      <c r="P50" s="2389"/>
      <c r="Q50" s="2389"/>
      <c r="R50" s="2391"/>
    </row>
    <row r="51" spans="2:18" s="2363" customFormat="1">
      <c r="B51" s="2389"/>
      <c r="C51" s="2389"/>
      <c r="D51" s="2389"/>
      <c r="E51" s="2389"/>
      <c r="F51" s="2389"/>
      <c r="G51" s="2390"/>
      <c r="H51" s="2389"/>
      <c r="I51" s="2390"/>
      <c r="J51" s="2389"/>
      <c r="K51" s="2389"/>
      <c r="L51" s="2390"/>
      <c r="M51" s="2389"/>
      <c r="N51" s="2389"/>
      <c r="O51" s="2390"/>
      <c r="P51" s="2389"/>
      <c r="Q51" s="2389"/>
      <c r="R51" s="2391"/>
    </row>
    <row r="52" spans="2:18" s="2363" customFormat="1">
      <c r="B52" s="2389"/>
      <c r="C52" s="2389"/>
      <c r="D52" s="2389"/>
      <c r="E52" s="2389"/>
      <c r="F52" s="2389"/>
      <c r="G52" s="2390"/>
      <c r="H52" s="2389"/>
      <c r="I52" s="2390"/>
      <c r="J52" s="2389"/>
      <c r="K52" s="2389"/>
      <c r="L52" s="2390"/>
      <c r="M52" s="2389"/>
      <c r="N52" s="2389"/>
      <c r="O52" s="2390"/>
      <c r="P52" s="2389"/>
      <c r="Q52" s="2389"/>
      <c r="R52" s="2391"/>
    </row>
    <row r="53" spans="2:18" s="2363" customFormat="1">
      <c r="B53" s="2389"/>
      <c r="C53" s="2389"/>
      <c r="D53" s="2389"/>
      <c r="E53" s="2389"/>
      <c r="F53" s="2389"/>
      <c r="G53" s="2390"/>
      <c r="H53" s="2389"/>
      <c r="I53" s="2390"/>
      <c r="J53" s="2389"/>
      <c r="K53" s="2389"/>
      <c r="L53" s="2390"/>
      <c r="M53" s="2389"/>
      <c r="N53" s="2389"/>
      <c r="O53" s="2390"/>
      <c r="P53" s="2389"/>
      <c r="Q53" s="2389"/>
      <c r="R53" s="2391"/>
    </row>
    <row r="54" spans="2:18" s="2363" customFormat="1">
      <c r="B54" s="2389"/>
      <c r="C54" s="2389"/>
      <c r="D54" s="2389"/>
      <c r="E54" s="2389"/>
      <c r="F54" s="2389"/>
      <c r="G54" s="2390"/>
      <c r="H54" s="2389"/>
      <c r="I54" s="2390"/>
      <c r="J54" s="2389"/>
      <c r="K54" s="2389"/>
      <c r="L54" s="2390"/>
      <c r="M54" s="2389"/>
      <c r="N54" s="2389"/>
      <c r="O54" s="2390"/>
      <c r="P54" s="2389"/>
      <c r="Q54" s="2389"/>
      <c r="R54" s="2391"/>
    </row>
    <row r="55" spans="2:18" s="2363" customFormat="1">
      <c r="B55" s="2389"/>
      <c r="C55" s="2389"/>
      <c r="D55" s="2389"/>
      <c r="E55" s="2389"/>
      <c r="F55" s="2389"/>
      <c r="G55" s="2390"/>
      <c r="H55" s="2389"/>
      <c r="I55" s="2390"/>
      <c r="J55" s="2389"/>
      <c r="K55" s="2389"/>
      <c r="L55" s="2390"/>
      <c r="M55" s="2389"/>
      <c r="N55" s="2389"/>
      <c r="O55" s="2390"/>
      <c r="P55" s="2389"/>
      <c r="Q55" s="2389"/>
      <c r="R55" s="2391"/>
    </row>
    <row r="56" spans="2:18" s="2363" customFormat="1">
      <c r="B56" s="2389"/>
      <c r="C56" s="2389"/>
      <c r="D56" s="2389"/>
      <c r="E56" s="2389"/>
      <c r="F56" s="2389"/>
      <c r="G56" s="2390"/>
      <c r="H56" s="2389"/>
      <c r="I56" s="2390"/>
      <c r="J56" s="2389"/>
      <c r="K56" s="2389"/>
      <c r="L56" s="2390"/>
      <c r="M56" s="2389"/>
      <c r="N56" s="2389"/>
      <c r="O56" s="2390"/>
      <c r="P56" s="2389"/>
      <c r="Q56" s="2389"/>
      <c r="R56" s="2391"/>
    </row>
    <row r="57" spans="2:18" s="2363" customFormat="1">
      <c r="B57" s="2389"/>
      <c r="C57" s="2389"/>
      <c r="D57" s="2389"/>
      <c r="E57" s="2389"/>
      <c r="F57" s="2389"/>
      <c r="G57" s="2390"/>
      <c r="H57" s="2389"/>
      <c r="I57" s="2390"/>
      <c r="J57" s="2389"/>
      <c r="K57" s="2389"/>
      <c r="L57" s="2390"/>
      <c r="M57" s="2389"/>
      <c r="N57" s="2389"/>
      <c r="O57" s="2390"/>
      <c r="P57" s="2389"/>
      <c r="Q57" s="2389"/>
      <c r="R57" s="2391"/>
    </row>
    <row r="58" spans="2:18" s="2363" customFormat="1">
      <c r="B58" s="2389"/>
      <c r="C58" s="2389"/>
      <c r="D58" s="2389"/>
      <c r="E58" s="2389"/>
      <c r="F58" s="2389"/>
      <c r="G58" s="2390"/>
      <c r="H58" s="2389"/>
      <c r="I58" s="2390"/>
      <c r="J58" s="2389"/>
      <c r="K58" s="2389"/>
      <c r="L58" s="2390"/>
      <c r="M58" s="2389"/>
      <c r="N58" s="2389"/>
      <c r="O58" s="2390"/>
      <c r="P58" s="2389"/>
      <c r="Q58" s="2389"/>
      <c r="R58" s="2391"/>
    </row>
    <row r="59" spans="2:18" s="2363" customFormat="1">
      <c r="B59" s="2389"/>
      <c r="C59" s="2389"/>
      <c r="D59" s="2389"/>
      <c r="E59" s="2389"/>
      <c r="F59" s="2389"/>
      <c r="G59" s="2390"/>
      <c r="H59" s="2389"/>
      <c r="I59" s="2390"/>
      <c r="J59" s="2389"/>
      <c r="K59" s="2389"/>
      <c r="L59" s="2390"/>
      <c r="M59" s="2389"/>
      <c r="N59" s="2389"/>
      <c r="O59" s="2390"/>
      <c r="P59" s="2389"/>
      <c r="Q59" s="2389"/>
      <c r="R59" s="2391"/>
    </row>
    <row r="60" spans="2:18" s="2363" customFormat="1">
      <c r="B60" s="2389"/>
      <c r="C60" s="2389"/>
      <c r="D60" s="2389"/>
      <c r="E60" s="2389"/>
      <c r="F60" s="2389"/>
      <c r="G60" s="2390"/>
      <c r="H60" s="2389"/>
      <c r="I60" s="2390"/>
      <c r="J60" s="2389"/>
      <c r="K60" s="2389"/>
      <c r="L60" s="2390"/>
      <c r="M60" s="2389"/>
      <c r="N60" s="2389"/>
      <c r="O60" s="2390"/>
      <c r="P60" s="2389"/>
      <c r="Q60" s="2389"/>
      <c r="R60" s="2391"/>
    </row>
    <row r="61" spans="2:18" s="2363" customFormat="1">
      <c r="B61" s="2389"/>
      <c r="C61" s="2389"/>
      <c r="D61" s="2389"/>
      <c r="E61" s="2389"/>
      <c r="F61" s="2389"/>
      <c r="G61" s="2390"/>
      <c r="H61" s="2389"/>
      <c r="I61" s="2390"/>
      <c r="J61" s="2389"/>
      <c r="K61" s="2389"/>
      <c r="L61" s="2390"/>
      <c r="M61" s="2389"/>
      <c r="N61" s="2389"/>
      <c r="O61" s="2390"/>
      <c r="P61" s="2389"/>
      <c r="Q61" s="2389"/>
      <c r="R61" s="2391"/>
    </row>
    <row r="62" spans="2:18" s="2363" customFormat="1">
      <c r="B62" s="2389"/>
      <c r="C62" s="2389"/>
      <c r="D62" s="2389"/>
      <c r="E62" s="2389"/>
      <c r="F62" s="2389"/>
      <c r="G62" s="2390"/>
      <c r="H62" s="2389"/>
      <c r="I62" s="2390"/>
      <c r="J62" s="2389"/>
      <c r="K62" s="2389"/>
      <c r="L62" s="2390"/>
      <c r="M62" s="2389"/>
      <c r="N62" s="2389"/>
      <c r="O62" s="2390"/>
      <c r="P62" s="2389"/>
      <c r="Q62" s="2389"/>
      <c r="R62" s="2391"/>
    </row>
    <row r="63" spans="2:18" s="2363" customFormat="1">
      <c r="B63" s="2389"/>
      <c r="C63" s="2389"/>
      <c r="D63" s="2389"/>
      <c r="E63" s="2389"/>
      <c r="F63" s="2389"/>
      <c r="G63" s="2390"/>
      <c r="H63" s="2389"/>
      <c r="I63" s="2390"/>
      <c r="J63" s="2389"/>
      <c r="K63" s="2389"/>
      <c r="L63" s="2390"/>
      <c r="M63" s="2389"/>
      <c r="N63" s="2389"/>
      <c r="O63" s="2390"/>
      <c r="P63" s="2389"/>
      <c r="Q63" s="2389"/>
      <c r="R63" s="2391"/>
    </row>
    <row r="64" spans="2:18" s="2363" customFormat="1">
      <c r="B64" s="2389"/>
      <c r="C64" s="2389"/>
      <c r="D64" s="2389"/>
      <c r="E64" s="2389"/>
      <c r="F64" s="2389"/>
      <c r="G64" s="2390"/>
      <c r="H64" s="2389"/>
      <c r="I64" s="2390"/>
      <c r="J64" s="2389"/>
      <c r="K64" s="2389"/>
      <c r="L64" s="2390"/>
      <c r="M64" s="2389"/>
      <c r="N64" s="2389"/>
      <c r="O64" s="2390"/>
      <c r="P64" s="2389"/>
      <c r="Q64" s="2389"/>
      <c r="R64" s="2391"/>
    </row>
    <row r="65" spans="2:18" s="2363" customFormat="1">
      <c r="B65" s="2389"/>
      <c r="C65" s="2389"/>
      <c r="D65" s="2389"/>
      <c r="E65" s="2389"/>
      <c r="F65" s="2389"/>
      <c r="G65" s="2390"/>
      <c r="H65" s="2389"/>
      <c r="I65" s="2390"/>
      <c r="J65" s="2389"/>
      <c r="K65" s="2389"/>
      <c r="L65" s="2390"/>
      <c r="M65" s="2389"/>
      <c r="N65" s="2389"/>
      <c r="O65" s="2390"/>
      <c r="P65" s="2389"/>
      <c r="Q65" s="2389"/>
      <c r="R65" s="2391"/>
    </row>
    <row r="66" spans="2:18" s="2363" customFormat="1">
      <c r="B66" s="2389"/>
      <c r="C66" s="2389"/>
      <c r="D66" s="2389"/>
      <c r="E66" s="2389"/>
      <c r="F66" s="2389"/>
      <c r="G66" s="2390"/>
      <c r="H66" s="2389"/>
      <c r="I66" s="2390"/>
      <c r="J66" s="2389"/>
      <c r="K66" s="2389"/>
      <c r="L66" s="2390"/>
      <c r="M66" s="2389"/>
      <c r="N66" s="2389"/>
      <c r="O66" s="2390"/>
      <c r="P66" s="2389"/>
      <c r="Q66" s="2389"/>
      <c r="R66" s="2391"/>
    </row>
    <row r="67" spans="2:18" s="2363" customFormat="1">
      <c r="B67" s="2389"/>
      <c r="C67" s="2389"/>
      <c r="D67" s="2389"/>
      <c r="E67" s="2389"/>
      <c r="F67" s="2389"/>
      <c r="G67" s="2390"/>
      <c r="H67" s="2389"/>
      <c r="I67" s="2390"/>
      <c r="J67" s="2389"/>
      <c r="K67" s="2389"/>
      <c r="L67" s="2390"/>
      <c r="M67" s="2389"/>
      <c r="N67" s="2389"/>
      <c r="O67" s="2390"/>
      <c r="P67" s="2389"/>
      <c r="Q67" s="2389"/>
      <c r="R67" s="2391"/>
    </row>
    <row r="68" spans="2:18" s="2363" customFormat="1">
      <c r="B68" s="2389"/>
      <c r="C68" s="2389"/>
      <c r="D68" s="2389"/>
      <c r="E68" s="2389"/>
      <c r="F68" s="2389"/>
      <c r="G68" s="2390"/>
      <c r="H68" s="2389"/>
      <c r="I68" s="2390"/>
      <c r="J68" s="2389"/>
      <c r="K68" s="2389"/>
      <c r="L68" s="2390"/>
      <c r="M68" s="2389"/>
      <c r="N68" s="2389"/>
      <c r="O68" s="2390"/>
      <c r="P68" s="2389"/>
      <c r="Q68" s="2389"/>
      <c r="R68" s="2391"/>
    </row>
    <row r="69" spans="2:18" s="2363" customFormat="1">
      <c r="B69" s="2389"/>
      <c r="C69" s="2389"/>
      <c r="D69" s="2389"/>
      <c r="E69" s="2389"/>
      <c r="F69" s="2389"/>
      <c r="G69" s="2390"/>
      <c r="H69" s="2389"/>
      <c r="I69" s="2390"/>
      <c r="J69" s="2389"/>
      <c r="K69" s="2389"/>
      <c r="L69" s="2390"/>
      <c r="M69" s="2389"/>
      <c r="N69" s="2389"/>
      <c r="O69" s="2390"/>
      <c r="P69" s="2389"/>
      <c r="Q69" s="2389"/>
      <c r="R69" s="2391"/>
    </row>
    <row r="70" spans="2:18" s="2363" customFormat="1">
      <c r="B70" s="2389"/>
      <c r="C70" s="2389"/>
      <c r="D70" s="2389"/>
      <c r="E70" s="2389"/>
      <c r="F70" s="2389"/>
      <c r="G70" s="2390"/>
      <c r="H70" s="2389"/>
      <c r="I70" s="2390"/>
      <c r="J70" s="2389"/>
      <c r="K70" s="2389"/>
      <c r="L70" s="2390"/>
      <c r="M70" s="2389"/>
      <c r="N70" s="2389"/>
      <c r="O70" s="2390"/>
      <c r="P70" s="2389"/>
      <c r="Q70" s="2389"/>
      <c r="R70" s="2391"/>
    </row>
    <row r="71" spans="2:18" s="2363" customFormat="1">
      <c r="B71" s="2389"/>
      <c r="C71" s="2389"/>
      <c r="D71" s="2389"/>
      <c r="E71" s="2389"/>
      <c r="F71" s="2389"/>
      <c r="G71" s="2390"/>
      <c r="H71" s="2389"/>
      <c r="I71" s="2390"/>
      <c r="J71" s="2389"/>
      <c r="K71" s="2389"/>
      <c r="L71" s="2390"/>
      <c r="M71" s="2389"/>
      <c r="N71" s="2389"/>
      <c r="O71" s="2390"/>
      <c r="P71" s="2389"/>
      <c r="Q71" s="2389"/>
      <c r="R71" s="2391"/>
    </row>
    <row r="72" spans="2:18" s="2363" customFormat="1">
      <c r="B72" s="2389"/>
      <c r="C72" s="2389"/>
      <c r="D72" s="2389"/>
      <c r="E72" s="2389"/>
      <c r="F72" s="2389"/>
      <c r="G72" s="2390"/>
      <c r="H72" s="2389"/>
      <c r="I72" s="2390"/>
      <c r="J72" s="2389"/>
      <c r="K72" s="2389"/>
      <c r="L72" s="2390"/>
      <c r="M72" s="2389"/>
      <c r="N72" s="2389"/>
      <c r="O72" s="2390"/>
      <c r="P72" s="2389"/>
      <c r="Q72" s="2389"/>
      <c r="R72" s="2391"/>
    </row>
    <row r="73" spans="2:18" s="2363" customFormat="1">
      <c r="B73" s="2389"/>
      <c r="C73" s="2389"/>
      <c r="D73" s="2389"/>
      <c r="E73" s="2389"/>
      <c r="F73" s="2389"/>
      <c r="G73" s="2390"/>
      <c r="H73" s="2389"/>
      <c r="I73" s="2390"/>
      <c r="J73" s="2389"/>
      <c r="K73" s="2389"/>
      <c r="L73" s="2390"/>
      <c r="M73" s="2389"/>
      <c r="N73" s="2389"/>
      <c r="O73" s="2390"/>
      <c r="P73" s="2389"/>
      <c r="Q73" s="2389"/>
      <c r="R73" s="2391"/>
    </row>
    <row r="74" spans="2:18" s="2363" customFormat="1">
      <c r="B74" s="2389"/>
      <c r="C74" s="2389"/>
      <c r="D74" s="2389"/>
      <c r="E74" s="2389"/>
      <c r="F74" s="2389"/>
      <c r="G74" s="2390"/>
      <c r="H74" s="2389"/>
      <c r="I74" s="2390"/>
      <c r="J74" s="2389"/>
      <c r="K74" s="2389"/>
      <c r="L74" s="2390"/>
      <c r="M74" s="2389"/>
      <c r="N74" s="2389"/>
      <c r="O74" s="2390"/>
      <c r="P74" s="2389"/>
      <c r="Q74" s="2389"/>
      <c r="R74" s="2391"/>
    </row>
    <row r="75" spans="2:18" s="2363" customFormat="1">
      <c r="B75" s="2389"/>
      <c r="C75" s="2389"/>
      <c r="D75" s="2389"/>
      <c r="E75" s="2389"/>
      <c r="F75" s="2389"/>
      <c r="G75" s="2390"/>
      <c r="H75" s="2389"/>
      <c r="I75" s="2390"/>
      <c r="J75" s="2389"/>
      <c r="K75" s="2389"/>
      <c r="L75" s="2390"/>
      <c r="M75" s="2389"/>
      <c r="N75" s="2389"/>
      <c r="O75" s="2390"/>
      <c r="P75" s="2389"/>
      <c r="Q75" s="2389"/>
      <c r="R75" s="2391"/>
    </row>
    <row r="76" spans="2:18" s="2363" customFormat="1">
      <c r="B76" s="2389"/>
      <c r="C76" s="2389"/>
      <c r="D76" s="2389"/>
      <c r="E76" s="2389"/>
      <c r="F76" s="2389"/>
      <c r="G76" s="2390"/>
      <c r="H76" s="2389"/>
      <c r="I76" s="2390"/>
      <c r="J76" s="2389"/>
      <c r="K76" s="2389"/>
      <c r="L76" s="2390"/>
      <c r="M76" s="2389"/>
      <c r="N76" s="2389"/>
      <c r="O76" s="2390"/>
      <c r="P76" s="2389"/>
      <c r="Q76" s="2389"/>
      <c r="R76" s="2391"/>
    </row>
    <row r="77" spans="2:18" s="2363" customFormat="1">
      <c r="B77" s="2389"/>
      <c r="C77" s="2389"/>
      <c r="D77" s="2389"/>
      <c r="E77" s="2389"/>
      <c r="F77" s="2389"/>
      <c r="G77" s="2390"/>
      <c r="H77" s="2389"/>
      <c r="I77" s="2390"/>
      <c r="J77" s="2389"/>
      <c r="K77" s="2389"/>
      <c r="L77" s="2390"/>
      <c r="M77" s="2389"/>
      <c r="N77" s="2389"/>
      <c r="O77" s="2390"/>
      <c r="P77" s="2389"/>
      <c r="Q77" s="2389"/>
      <c r="R77" s="2391"/>
    </row>
    <row r="78" spans="2:18" s="2363" customFormat="1">
      <c r="B78" s="2389"/>
      <c r="C78" s="2389"/>
      <c r="D78" s="2389"/>
      <c r="E78" s="2389"/>
      <c r="F78" s="2389"/>
      <c r="G78" s="2390"/>
      <c r="H78" s="2389"/>
      <c r="I78" s="2390"/>
      <c r="J78" s="2389"/>
      <c r="K78" s="2389"/>
      <c r="L78" s="2390"/>
      <c r="M78" s="2389"/>
      <c r="N78" s="2389"/>
      <c r="O78" s="2390"/>
      <c r="P78" s="2389"/>
      <c r="Q78" s="2389"/>
      <c r="R78" s="2391"/>
    </row>
    <row r="79" spans="2:18" s="2363" customFormat="1">
      <c r="B79" s="2389"/>
      <c r="C79" s="2389"/>
      <c r="D79" s="2389"/>
      <c r="E79" s="2389"/>
      <c r="F79" s="2389"/>
      <c r="G79" s="2390"/>
      <c r="H79" s="2389"/>
      <c r="I79" s="2390"/>
      <c r="J79" s="2389"/>
      <c r="K79" s="2389"/>
      <c r="L79" s="2390"/>
      <c r="M79" s="2389"/>
      <c r="N79" s="2389"/>
      <c r="O79" s="2390"/>
      <c r="P79" s="2389"/>
      <c r="Q79" s="2389"/>
      <c r="R79" s="2391"/>
    </row>
    <row r="80" spans="2:18" s="2363" customFormat="1">
      <c r="B80" s="2389"/>
      <c r="C80" s="2389"/>
      <c r="D80" s="2389"/>
      <c r="E80" s="2389"/>
      <c r="F80" s="2389"/>
      <c r="G80" s="2390"/>
      <c r="H80" s="2389"/>
      <c r="I80" s="2390"/>
      <c r="J80" s="2389"/>
      <c r="K80" s="2389"/>
      <c r="L80" s="2390"/>
      <c r="M80" s="2389"/>
      <c r="N80" s="2389"/>
      <c r="O80" s="2390"/>
      <c r="P80" s="2389"/>
      <c r="Q80" s="2389"/>
      <c r="R80" s="2391"/>
    </row>
    <row r="81" spans="2:18" s="2363" customFormat="1">
      <c r="B81" s="2389"/>
      <c r="C81" s="2389"/>
      <c r="D81" s="2389"/>
      <c r="E81" s="2389"/>
      <c r="F81" s="2389"/>
      <c r="G81" s="2390"/>
      <c r="H81" s="2389"/>
      <c r="I81" s="2390"/>
      <c r="J81" s="2389"/>
      <c r="K81" s="2389"/>
      <c r="L81" s="2390"/>
      <c r="M81" s="2389"/>
      <c r="N81" s="2389"/>
      <c r="O81" s="2390"/>
      <c r="P81" s="2389"/>
      <c r="Q81" s="2389"/>
      <c r="R81" s="2391"/>
    </row>
    <row r="82" spans="2:18" s="2363" customFormat="1">
      <c r="B82" s="2389"/>
      <c r="C82" s="2389"/>
      <c r="D82" s="2389"/>
      <c r="E82" s="2389"/>
      <c r="F82" s="2389"/>
      <c r="G82" s="2390"/>
      <c r="H82" s="2389"/>
      <c r="I82" s="2390"/>
      <c r="J82" s="2389"/>
      <c r="K82" s="2389"/>
      <c r="L82" s="2390"/>
      <c r="M82" s="2389"/>
      <c r="N82" s="2389"/>
      <c r="O82" s="2390"/>
      <c r="P82" s="2389"/>
      <c r="Q82" s="2389"/>
      <c r="R82" s="2391"/>
    </row>
    <row r="83" spans="2:18" s="2363" customFormat="1">
      <c r="B83" s="2389"/>
      <c r="C83" s="2389"/>
      <c r="D83" s="2389"/>
      <c r="E83" s="2389"/>
      <c r="F83" s="2389"/>
      <c r="G83" s="2390"/>
      <c r="H83" s="2389"/>
      <c r="I83" s="2390"/>
      <c r="J83" s="2389"/>
      <c r="K83" s="2389"/>
      <c r="L83" s="2390"/>
      <c r="M83" s="2389"/>
      <c r="N83" s="2389"/>
      <c r="O83" s="2390"/>
      <c r="P83" s="2389"/>
      <c r="Q83" s="2389"/>
      <c r="R83" s="2391"/>
    </row>
    <row r="84" spans="2:18" s="2363" customFormat="1">
      <c r="B84" s="2389"/>
      <c r="C84" s="2389"/>
      <c r="D84" s="2389"/>
      <c r="E84" s="2389"/>
      <c r="F84" s="2389"/>
      <c r="G84" s="2390"/>
      <c r="H84" s="2389"/>
      <c r="I84" s="2390"/>
      <c r="J84" s="2389"/>
      <c r="K84" s="2389"/>
      <c r="L84" s="2390"/>
      <c r="M84" s="2389"/>
      <c r="N84" s="2389"/>
      <c r="O84" s="2390"/>
      <c r="P84" s="2389"/>
      <c r="Q84" s="2389"/>
      <c r="R84" s="2391"/>
    </row>
    <row r="85" spans="2:18" s="2363" customFormat="1">
      <c r="B85" s="2389"/>
      <c r="C85" s="2389"/>
      <c r="D85" s="2389"/>
      <c r="E85" s="2389"/>
      <c r="F85" s="2389"/>
      <c r="G85" s="2390"/>
      <c r="H85" s="2389"/>
      <c r="I85" s="2390"/>
      <c r="J85" s="2389"/>
      <c r="K85" s="2389"/>
      <c r="L85" s="2390"/>
      <c r="M85" s="2389"/>
      <c r="N85" s="2389"/>
      <c r="O85" s="2390"/>
      <c r="P85" s="2389"/>
      <c r="Q85" s="2389"/>
      <c r="R85" s="2391"/>
    </row>
    <row r="86" spans="2:18" s="2363" customFormat="1">
      <c r="B86" s="2389"/>
      <c r="C86" s="2389"/>
      <c r="D86" s="2389"/>
      <c r="E86" s="2389"/>
      <c r="F86" s="2389"/>
      <c r="G86" s="2390"/>
      <c r="H86" s="2389"/>
      <c r="I86" s="2390"/>
      <c r="J86" s="2389"/>
      <c r="K86" s="2389"/>
      <c r="L86" s="2390"/>
      <c r="M86" s="2389"/>
      <c r="N86" s="2389"/>
      <c r="O86" s="2390"/>
      <c r="P86" s="2389"/>
      <c r="Q86" s="2389"/>
      <c r="R86" s="2391"/>
    </row>
    <row r="87" spans="2:18" s="2363" customFormat="1">
      <c r="B87" s="2389"/>
      <c r="C87" s="2389"/>
      <c r="D87" s="2389"/>
      <c r="E87" s="2389"/>
      <c r="F87" s="2389"/>
      <c r="G87" s="2390"/>
      <c r="H87" s="2389"/>
      <c r="I87" s="2390"/>
      <c r="J87" s="2389"/>
      <c r="K87" s="2389"/>
      <c r="L87" s="2390"/>
      <c r="M87" s="2389"/>
      <c r="N87" s="2389"/>
      <c r="O87" s="2390"/>
      <c r="P87" s="2389"/>
      <c r="Q87" s="2389"/>
      <c r="R87" s="2391"/>
    </row>
    <row r="88" spans="2:18" s="2363" customFormat="1">
      <c r="B88" s="2389"/>
      <c r="C88" s="2389"/>
      <c r="D88" s="2389"/>
      <c r="E88" s="2389"/>
      <c r="F88" s="2389"/>
      <c r="G88" s="2390"/>
      <c r="H88" s="2389"/>
      <c r="I88" s="2390"/>
      <c r="J88" s="2389"/>
      <c r="K88" s="2389"/>
      <c r="L88" s="2390"/>
      <c r="M88" s="2389"/>
      <c r="N88" s="2389"/>
      <c r="O88" s="2390"/>
      <c r="P88" s="2389"/>
      <c r="Q88" s="2389"/>
      <c r="R88" s="2391"/>
    </row>
    <row r="89" spans="2:18" s="2363" customFormat="1">
      <c r="B89" s="2389"/>
      <c r="C89" s="2389"/>
      <c r="D89" s="2389"/>
      <c r="E89" s="2389"/>
      <c r="F89" s="2389"/>
      <c r="G89" s="2390"/>
      <c r="H89" s="2389"/>
      <c r="I89" s="2390"/>
      <c r="J89" s="2389"/>
      <c r="K89" s="2389"/>
      <c r="L89" s="2390"/>
      <c r="M89" s="2389"/>
      <c r="N89" s="2389"/>
      <c r="O89" s="2390"/>
      <c r="P89" s="2389"/>
      <c r="Q89" s="2389"/>
      <c r="R89" s="2391"/>
    </row>
    <row r="90" spans="2:18" s="2363" customFormat="1">
      <c r="B90" s="2389"/>
      <c r="C90" s="2389"/>
      <c r="D90" s="2389"/>
      <c r="E90" s="2389"/>
      <c r="F90" s="2389"/>
      <c r="G90" s="2390"/>
      <c r="H90" s="2389"/>
      <c r="I90" s="2390"/>
      <c r="J90" s="2389"/>
      <c r="K90" s="2389"/>
      <c r="L90" s="2390"/>
      <c r="M90" s="2389"/>
      <c r="N90" s="2389"/>
      <c r="O90" s="2390"/>
      <c r="P90" s="2389"/>
      <c r="Q90" s="2389"/>
      <c r="R90" s="2391"/>
    </row>
    <row r="91" spans="2:18" s="2363" customFormat="1">
      <c r="B91" s="2389"/>
      <c r="C91" s="2389"/>
      <c r="D91" s="2389"/>
      <c r="E91" s="2389"/>
      <c r="F91" s="2389"/>
      <c r="G91" s="2390"/>
      <c r="H91" s="2389"/>
      <c r="I91" s="2390"/>
      <c r="J91" s="2389"/>
      <c r="K91" s="2389"/>
      <c r="L91" s="2390"/>
      <c r="M91" s="2389"/>
      <c r="N91" s="2389"/>
      <c r="O91" s="2390"/>
      <c r="P91" s="2389"/>
      <c r="Q91" s="2389"/>
      <c r="R91" s="2391"/>
    </row>
    <row r="92" spans="2:18" s="2363" customFormat="1">
      <c r="B92" s="2389"/>
      <c r="C92" s="2389"/>
      <c r="D92" s="2389"/>
      <c r="E92" s="2389"/>
      <c r="F92" s="2389"/>
      <c r="G92" s="2390"/>
      <c r="H92" s="2389"/>
      <c r="I92" s="2390"/>
      <c r="J92" s="2389"/>
      <c r="K92" s="2389"/>
      <c r="L92" s="2390"/>
      <c r="M92" s="2389"/>
      <c r="N92" s="2389"/>
      <c r="O92" s="2390"/>
      <c r="P92" s="2389"/>
      <c r="Q92" s="2389"/>
      <c r="R92" s="2391"/>
    </row>
    <row r="93" spans="2:18" s="2363" customFormat="1">
      <c r="B93" s="2389"/>
      <c r="C93" s="2389"/>
      <c r="D93" s="2389"/>
      <c r="E93" s="2389"/>
      <c r="F93" s="2389"/>
      <c r="G93" s="2390"/>
      <c r="H93" s="2389"/>
      <c r="I93" s="2390"/>
      <c r="J93" s="2389"/>
      <c r="K93" s="2389"/>
      <c r="L93" s="2390"/>
      <c r="M93" s="2389"/>
      <c r="N93" s="2389"/>
      <c r="O93" s="2390"/>
      <c r="P93" s="2389"/>
      <c r="Q93" s="2389"/>
      <c r="R93" s="2391"/>
    </row>
    <row r="94" spans="2:18" s="2363" customFormat="1">
      <c r="B94" s="2389"/>
      <c r="C94" s="2389"/>
      <c r="D94" s="2389"/>
      <c r="E94" s="2389"/>
      <c r="F94" s="2389"/>
      <c r="G94" s="2390"/>
      <c r="H94" s="2389"/>
      <c r="I94" s="2390"/>
      <c r="J94" s="2389"/>
      <c r="K94" s="2389"/>
      <c r="L94" s="2390"/>
      <c r="M94" s="2389"/>
      <c r="N94" s="2389"/>
      <c r="O94" s="2390"/>
      <c r="P94" s="2389"/>
      <c r="Q94" s="2389"/>
      <c r="R94" s="2391"/>
    </row>
    <row r="95" spans="2:18" s="2363" customFormat="1">
      <c r="B95" s="2389"/>
      <c r="C95" s="2389"/>
      <c r="D95" s="2389"/>
      <c r="E95" s="2389"/>
      <c r="F95" s="2389"/>
      <c r="G95" s="2390"/>
      <c r="H95" s="2389"/>
      <c r="I95" s="2390"/>
      <c r="J95" s="2389"/>
      <c r="K95" s="2389"/>
      <c r="L95" s="2390"/>
      <c r="M95" s="2389"/>
      <c r="N95" s="2389"/>
      <c r="O95" s="2390"/>
      <c r="P95" s="2389"/>
      <c r="Q95" s="2389"/>
      <c r="R95" s="2391"/>
    </row>
    <row r="96" spans="2:18" s="2363" customFormat="1">
      <c r="B96" s="2389"/>
      <c r="C96" s="2389"/>
      <c r="D96" s="2389"/>
      <c r="E96" s="2389"/>
      <c r="F96" s="2389"/>
      <c r="G96" s="2390"/>
      <c r="H96" s="2389"/>
      <c r="I96" s="2390"/>
      <c r="J96" s="2389"/>
      <c r="K96" s="2389"/>
      <c r="L96" s="2390"/>
      <c r="M96" s="2389"/>
      <c r="N96" s="2389"/>
      <c r="O96" s="2390"/>
      <c r="P96" s="2389"/>
      <c r="Q96" s="2389"/>
      <c r="R96" s="2391"/>
    </row>
    <row r="97" spans="2:18" s="2363" customFormat="1">
      <c r="B97" s="2389"/>
      <c r="C97" s="2389"/>
      <c r="D97" s="2389"/>
      <c r="E97" s="2389"/>
      <c r="F97" s="2389"/>
      <c r="G97" s="2390"/>
      <c r="H97" s="2389"/>
      <c r="I97" s="2390"/>
      <c r="J97" s="2389"/>
      <c r="K97" s="2389"/>
      <c r="L97" s="2390"/>
      <c r="M97" s="2389"/>
      <c r="N97" s="2389"/>
      <c r="O97" s="2390"/>
      <c r="P97" s="2389"/>
      <c r="Q97" s="2389"/>
      <c r="R97" s="2391"/>
    </row>
    <row r="98" spans="2:18" s="2363" customFormat="1">
      <c r="B98" s="2389"/>
      <c r="C98" s="2389"/>
      <c r="D98" s="2389"/>
      <c r="E98" s="2389"/>
      <c r="F98" s="2389"/>
      <c r="G98" s="2390"/>
      <c r="H98" s="2389"/>
      <c r="I98" s="2390"/>
      <c r="J98" s="2389"/>
      <c r="K98" s="2389"/>
      <c r="L98" s="2390"/>
      <c r="M98" s="2389"/>
      <c r="N98" s="2389"/>
      <c r="O98" s="2390"/>
      <c r="P98" s="2389"/>
      <c r="Q98" s="2389"/>
      <c r="R98" s="2391"/>
    </row>
    <row r="99" spans="2:18" s="2363" customFormat="1">
      <c r="B99" s="2389"/>
      <c r="C99" s="2389"/>
      <c r="D99" s="2389"/>
      <c r="E99" s="2389"/>
      <c r="F99" s="2389"/>
      <c r="G99" s="2390"/>
      <c r="H99" s="2389"/>
      <c r="I99" s="2390"/>
      <c r="J99" s="2389"/>
      <c r="K99" s="2389"/>
      <c r="L99" s="2390"/>
      <c r="M99" s="2389"/>
      <c r="N99" s="2389"/>
      <c r="O99" s="2390"/>
      <c r="P99" s="2389"/>
      <c r="Q99" s="2389"/>
      <c r="R99" s="2391"/>
    </row>
    <row r="100" spans="2:18" s="2363" customFormat="1">
      <c r="B100" s="2389"/>
      <c r="C100" s="2389"/>
      <c r="D100" s="2389"/>
      <c r="E100" s="2389"/>
      <c r="F100" s="2389"/>
      <c r="G100" s="2390"/>
      <c r="H100" s="2389"/>
      <c r="I100" s="2390"/>
      <c r="J100" s="2389"/>
      <c r="K100" s="2389"/>
      <c r="L100" s="2390"/>
      <c r="M100" s="2389"/>
      <c r="N100" s="2389"/>
      <c r="O100" s="2390"/>
      <c r="P100" s="2389"/>
      <c r="Q100" s="2389"/>
      <c r="R100" s="2391"/>
    </row>
    <row r="101" spans="2:18" s="2363" customFormat="1">
      <c r="B101" s="2389"/>
      <c r="C101" s="2389"/>
      <c r="D101" s="2389"/>
      <c r="E101" s="2389"/>
      <c r="F101" s="2389"/>
      <c r="G101" s="2390"/>
      <c r="H101" s="2389"/>
      <c r="I101" s="2390"/>
      <c r="J101" s="2389"/>
      <c r="K101" s="2389"/>
      <c r="L101" s="2390"/>
      <c r="M101" s="2389"/>
      <c r="N101" s="2389"/>
      <c r="O101" s="2390"/>
      <c r="P101" s="2389"/>
      <c r="Q101" s="2389"/>
      <c r="R101" s="2391"/>
    </row>
    <row r="102" spans="2:18" s="2363" customFormat="1">
      <c r="B102" s="2389"/>
      <c r="C102" s="2389"/>
      <c r="D102" s="2389"/>
      <c r="E102" s="2389"/>
      <c r="F102" s="2389"/>
      <c r="G102" s="2390"/>
      <c r="H102" s="2389"/>
      <c r="I102" s="2390"/>
      <c r="J102" s="2389"/>
      <c r="K102" s="2389"/>
      <c r="L102" s="2390"/>
      <c r="M102" s="2389"/>
      <c r="N102" s="2389"/>
      <c r="O102" s="2390"/>
      <c r="P102" s="2389"/>
      <c r="Q102" s="2389"/>
      <c r="R102" s="2391"/>
    </row>
    <row r="103" spans="2:18" s="2363" customFormat="1">
      <c r="B103" s="2389"/>
      <c r="C103" s="2389"/>
      <c r="D103" s="2389"/>
      <c r="E103" s="2389"/>
      <c r="F103" s="2389"/>
      <c r="G103" s="2390"/>
      <c r="H103" s="2389"/>
      <c r="I103" s="2390"/>
      <c r="J103" s="2389"/>
      <c r="K103" s="2389"/>
      <c r="L103" s="2390"/>
      <c r="M103" s="2389"/>
      <c r="N103" s="2389"/>
      <c r="O103" s="2390"/>
      <c r="P103" s="2389"/>
      <c r="Q103" s="2389"/>
      <c r="R103" s="2391"/>
    </row>
    <row r="104" spans="2:18" s="2363" customFormat="1">
      <c r="B104" s="2389"/>
      <c r="C104" s="2389"/>
      <c r="D104" s="2389"/>
      <c r="E104" s="2389"/>
      <c r="F104" s="2389"/>
      <c r="G104" s="2390"/>
      <c r="H104" s="2389"/>
      <c r="I104" s="2390"/>
      <c r="J104" s="2389"/>
      <c r="K104" s="2389"/>
      <c r="L104" s="2390"/>
      <c r="M104" s="2389"/>
      <c r="N104" s="2389"/>
      <c r="O104" s="2390"/>
      <c r="P104" s="2389"/>
      <c r="Q104" s="2389"/>
      <c r="R104" s="2391"/>
    </row>
    <row r="105" spans="2:18" s="2363" customFormat="1">
      <c r="B105" s="2389"/>
      <c r="C105" s="2389"/>
      <c r="D105" s="2389"/>
      <c r="E105" s="2389"/>
      <c r="F105" s="2389"/>
      <c r="G105" s="2390"/>
      <c r="H105" s="2389"/>
      <c r="I105" s="2390"/>
      <c r="J105" s="2389"/>
      <c r="K105" s="2389"/>
      <c r="L105" s="2390"/>
      <c r="M105" s="2389"/>
      <c r="N105" s="2389"/>
      <c r="O105" s="2390"/>
      <c r="P105" s="2389"/>
      <c r="Q105" s="2389"/>
      <c r="R105" s="2391"/>
    </row>
    <row r="106" spans="2:18" s="2363" customFormat="1">
      <c r="B106" s="2389"/>
      <c r="C106" s="2389"/>
      <c r="D106" s="2389"/>
      <c r="E106" s="2389"/>
      <c r="F106" s="2389"/>
      <c r="G106" s="2390"/>
      <c r="H106" s="2389"/>
      <c r="I106" s="2390"/>
      <c r="J106" s="2389"/>
      <c r="K106" s="2389"/>
      <c r="L106" s="2390"/>
      <c r="M106" s="2389"/>
      <c r="N106" s="2389"/>
      <c r="O106" s="2390"/>
      <c r="P106" s="2389"/>
      <c r="Q106" s="2389"/>
      <c r="R106" s="2391"/>
    </row>
    <row r="107" spans="2:18" s="2363" customFormat="1">
      <c r="B107" s="2389"/>
      <c r="C107" s="2389"/>
      <c r="D107" s="2389"/>
      <c r="E107" s="2389"/>
      <c r="F107" s="2389"/>
      <c r="G107" s="2390"/>
      <c r="H107" s="2389"/>
      <c r="I107" s="2390"/>
      <c r="J107" s="2389"/>
      <c r="K107" s="2389"/>
      <c r="L107" s="2390"/>
      <c r="M107" s="2389"/>
      <c r="N107" s="2389"/>
      <c r="O107" s="2390"/>
      <c r="P107" s="2389"/>
      <c r="Q107" s="2389"/>
      <c r="R107" s="2391"/>
    </row>
    <row r="108" spans="2:18" s="2363" customFormat="1">
      <c r="B108" s="2389"/>
      <c r="C108" s="2389"/>
      <c r="D108" s="2389"/>
      <c r="E108" s="2389"/>
      <c r="F108" s="2389"/>
      <c r="G108" s="2390"/>
      <c r="H108" s="2389"/>
      <c r="I108" s="2390"/>
      <c r="J108" s="2389"/>
      <c r="K108" s="2389"/>
      <c r="L108" s="2390"/>
      <c r="M108" s="2389"/>
      <c r="N108" s="2389"/>
      <c r="O108" s="2390"/>
      <c r="P108" s="2389"/>
      <c r="Q108" s="2389"/>
      <c r="R108" s="2391"/>
    </row>
    <row r="109" spans="2:18" s="2363" customFormat="1">
      <c r="B109" s="2389"/>
      <c r="C109" s="2389"/>
      <c r="D109" s="2389"/>
      <c r="E109" s="2389"/>
      <c r="F109" s="2389"/>
      <c r="G109" s="2390"/>
      <c r="H109" s="2389"/>
      <c r="I109" s="2390"/>
      <c r="J109" s="2389"/>
      <c r="K109" s="2389"/>
      <c r="L109" s="2390"/>
      <c r="M109" s="2389"/>
      <c r="N109" s="2389"/>
      <c r="O109" s="2390"/>
      <c r="P109" s="2389"/>
      <c r="Q109" s="2389"/>
      <c r="R109" s="2391"/>
    </row>
    <row r="110" spans="2:18" s="2363" customFormat="1">
      <c r="B110" s="2389"/>
      <c r="C110" s="2389"/>
      <c r="D110" s="2389"/>
      <c r="E110" s="2389"/>
      <c r="F110" s="2389"/>
      <c r="G110" s="2390"/>
      <c r="H110" s="2389"/>
      <c r="I110" s="2390"/>
      <c r="J110" s="2389"/>
      <c r="K110" s="2389"/>
      <c r="L110" s="2390"/>
      <c r="M110" s="2389"/>
      <c r="N110" s="2389"/>
      <c r="O110" s="2390"/>
      <c r="P110" s="2389"/>
      <c r="Q110" s="2389"/>
      <c r="R110" s="2391"/>
    </row>
    <row r="111" spans="2:18" s="2363" customFormat="1">
      <c r="B111" s="2389"/>
      <c r="C111" s="2389"/>
      <c r="D111" s="2389"/>
      <c r="E111" s="2389"/>
      <c r="F111" s="2389"/>
      <c r="G111" s="2390"/>
      <c r="H111" s="2389"/>
      <c r="I111" s="2390"/>
      <c r="J111" s="2389"/>
      <c r="K111" s="2389"/>
      <c r="L111" s="2390"/>
      <c r="M111" s="2389"/>
      <c r="N111" s="2389"/>
      <c r="O111" s="2390"/>
      <c r="P111" s="2389"/>
      <c r="Q111" s="2389"/>
      <c r="R111" s="2391"/>
    </row>
    <row r="112" spans="2:18" s="2363" customFormat="1">
      <c r="B112" s="2389"/>
      <c r="C112" s="2389"/>
      <c r="D112" s="2389"/>
      <c r="E112" s="2389"/>
      <c r="F112" s="2389"/>
      <c r="G112" s="2390"/>
      <c r="H112" s="2389"/>
      <c r="I112" s="2390"/>
      <c r="J112" s="2389"/>
      <c r="K112" s="2389"/>
      <c r="L112" s="2390"/>
      <c r="M112" s="2389"/>
      <c r="N112" s="2389"/>
      <c r="O112" s="2390"/>
      <c r="P112" s="2389"/>
      <c r="Q112" s="2389"/>
      <c r="R112" s="2391"/>
    </row>
    <row r="113" spans="2:18" s="2363" customFormat="1">
      <c r="B113" s="2389"/>
      <c r="C113" s="2389"/>
      <c r="D113" s="2389"/>
      <c r="E113" s="2389"/>
      <c r="F113" s="2389"/>
      <c r="G113" s="2390"/>
      <c r="H113" s="2389"/>
      <c r="I113" s="2390"/>
      <c r="J113" s="2389"/>
      <c r="K113" s="2389"/>
      <c r="L113" s="2390"/>
      <c r="M113" s="2389"/>
      <c r="N113" s="2389"/>
      <c r="O113" s="2390"/>
      <c r="P113" s="2389"/>
      <c r="Q113" s="2389"/>
      <c r="R113" s="2391"/>
    </row>
    <row r="114" spans="2:18" s="2363" customFormat="1">
      <c r="B114" s="2389"/>
      <c r="C114" s="2389"/>
      <c r="D114" s="2389"/>
      <c r="E114" s="2389"/>
      <c r="F114" s="2389"/>
      <c r="G114" s="2390"/>
      <c r="H114" s="2389"/>
      <c r="I114" s="2390"/>
      <c r="J114" s="2389"/>
      <c r="K114" s="2389"/>
      <c r="L114" s="2390"/>
      <c r="M114" s="2389"/>
      <c r="N114" s="2389"/>
      <c r="O114" s="2390"/>
      <c r="P114" s="2389"/>
      <c r="Q114" s="2389"/>
      <c r="R114" s="2391"/>
    </row>
    <row r="115" spans="2:18" s="2363" customFormat="1">
      <c r="B115" s="2389"/>
      <c r="C115" s="2389"/>
      <c r="D115" s="2389"/>
      <c r="E115" s="2389"/>
      <c r="F115" s="2389"/>
      <c r="G115" s="2390"/>
      <c r="H115" s="2389"/>
      <c r="I115" s="2390"/>
      <c r="J115" s="2389"/>
      <c r="K115" s="2389"/>
      <c r="L115" s="2390"/>
      <c r="M115" s="2389"/>
      <c r="N115" s="2389"/>
      <c r="O115" s="2390"/>
      <c r="P115" s="2389"/>
      <c r="Q115" s="2389"/>
      <c r="R115" s="2391"/>
    </row>
    <row r="116" spans="2:18" s="2363" customFormat="1">
      <c r="B116" s="2389"/>
      <c r="C116" s="2389"/>
      <c r="D116" s="2389"/>
      <c r="E116" s="2389"/>
      <c r="F116" s="2389"/>
      <c r="G116" s="2390"/>
      <c r="H116" s="2389"/>
      <c r="I116" s="2390"/>
      <c r="J116" s="2389"/>
      <c r="K116" s="2389"/>
      <c r="L116" s="2390"/>
      <c r="M116" s="2389"/>
      <c r="N116" s="2389"/>
      <c r="O116" s="2390"/>
      <c r="P116" s="2389"/>
      <c r="Q116" s="2389"/>
      <c r="R116" s="2391"/>
    </row>
    <row r="117" spans="2:18" s="2363" customFormat="1">
      <c r="B117" s="2389"/>
      <c r="C117" s="2389"/>
      <c r="D117" s="2389"/>
      <c r="E117" s="2389"/>
      <c r="F117" s="2389"/>
      <c r="G117" s="2390"/>
      <c r="H117" s="2389"/>
      <c r="I117" s="2390"/>
      <c r="J117" s="2389"/>
      <c r="K117" s="2389"/>
      <c r="L117" s="2390"/>
      <c r="M117" s="2389"/>
      <c r="N117" s="2389"/>
      <c r="O117" s="2390"/>
      <c r="P117" s="2389"/>
      <c r="Q117" s="2389"/>
      <c r="R117" s="2391"/>
    </row>
    <row r="118" spans="2:18" s="2363" customFormat="1">
      <c r="B118" s="2389"/>
      <c r="C118" s="2389"/>
      <c r="D118" s="2389"/>
      <c r="E118" s="2389"/>
      <c r="F118" s="2389"/>
      <c r="G118" s="2390"/>
      <c r="H118" s="2389"/>
      <c r="I118" s="2390"/>
      <c r="J118" s="2389"/>
      <c r="K118" s="2389"/>
      <c r="L118" s="2390"/>
      <c r="M118" s="2389"/>
      <c r="N118" s="2389"/>
      <c r="O118" s="2390"/>
      <c r="P118" s="2389"/>
      <c r="Q118" s="2389"/>
      <c r="R118" s="2391"/>
    </row>
    <row r="119" spans="2:18" s="2363" customFormat="1">
      <c r="B119" s="2389"/>
      <c r="C119" s="2389"/>
      <c r="D119" s="2389"/>
      <c r="E119" s="2389"/>
      <c r="F119" s="2389"/>
      <c r="G119" s="2390"/>
      <c r="H119" s="2389"/>
      <c r="I119" s="2390"/>
      <c r="J119" s="2389"/>
      <c r="K119" s="2389"/>
      <c r="L119" s="2390"/>
      <c r="M119" s="2389"/>
      <c r="N119" s="2389"/>
      <c r="O119" s="2390"/>
      <c r="P119" s="2389"/>
      <c r="Q119" s="2389"/>
      <c r="R119" s="2391"/>
    </row>
    <row r="120" spans="2:18" s="2363" customFormat="1">
      <c r="B120" s="2389"/>
      <c r="C120" s="2389"/>
      <c r="D120" s="2389"/>
      <c r="E120" s="2389"/>
      <c r="F120" s="2389"/>
      <c r="G120" s="2390"/>
      <c r="H120" s="2389"/>
      <c r="I120" s="2390"/>
      <c r="J120" s="2389"/>
      <c r="K120" s="2389"/>
      <c r="L120" s="2390"/>
      <c r="M120" s="2389"/>
      <c r="N120" s="2389"/>
      <c r="O120" s="2390"/>
      <c r="P120" s="2389"/>
      <c r="Q120" s="2389"/>
      <c r="R120" s="2391"/>
    </row>
    <row r="121" spans="2:18" s="2363" customFormat="1">
      <c r="B121" s="2389"/>
      <c r="C121" s="2389"/>
      <c r="D121" s="2389"/>
      <c r="E121" s="2389"/>
      <c r="F121" s="2389"/>
      <c r="G121" s="2390"/>
      <c r="H121" s="2389"/>
      <c r="I121" s="2390"/>
      <c r="J121" s="2389"/>
      <c r="K121" s="2389"/>
      <c r="L121" s="2390"/>
      <c r="M121" s="2389"/>
      <c r="N121" s="2389"/>
      <c r="O121" s="2390"/>
      <c r="P121" s="2389"/>
      <c r="Q121" s="2389"/>
      <c r="R121" s="2391"/>
    </row>
    <row r="122" spans="2:18" s="2363" customFormat="1">
      <c r="B122" s="2389"/>
      <c r="C122" s="2389"/>
      <c r="D122" s="2389"/>
      <c r="E122" s="2389"/>
      <c r="F122" s="2389"/>
      <c r="G122" s="2390"/>
      <c r="H122" s="2389"/>
      <c r="I122" s="2390"/>
      <c r="J122" s="2389"/>
      <c r="K122" s="2389"/>
      <c r="L122" s="2390"/>
      <c r="M122" s="2389"/>
      <c r="N122" s="2389"/>
      <c r="O122" s="2390"/>
      <c r="P122" s="2389"/>
      <c r="Q122" s="2389"/>
      <c r="R122" s="2391"/>
    </row>
    <row r="123" spans="2:18" s="2363" customFormat="1">
      <c r="B123" s="2389"/>
      <c r="C123" s="2389"/>
      <c r="D123" s="2389"/>
      <c r="E123" s="2389"/>
      <c r="F123" s="2389"/>
      <c r="G123" s="2390"/>
      <c r="H123" s="2389"/>
      <c r="I123" s="2390"/>
      <c r="J123" s="2389"/>
      <c r="K123" s="2389"/>
      <c r="L123" s="2390"/>
      <c r="M123" s="2389"/>
      <c r="N123" s="2389"/>
      <c r="O123" s="2390"/>
      <c r="P123" s="2389"/>
      <c r="Q123" s="2389"/>
      <c r="R123" s="2391"/>
    </row>
    <row r="124" spans="2:18" s="2363" customFormat="1">
      <c r="B124" s="2389"/>
      <c r="C124" s="2389"/>
      <c r="D124" s="2389"/>
      <c r="E124" s="2389"/>
      <c r="F124" s="2389"/>
      <c r="G124" s="2390"/>
      <c r="H124" s="2389"/>
      <c r="I124" s="2390"/>
      <c r="J124" s="2389"/>
      <c r="K124" s="2389"/>
      <c r="L124" s="2390"/>
      <c r="M124" s="2389"/>
      <c r="N124" s="2389"/>
      <c r="O124" s="2390"/>
      <c r="P124" s="2389"/>
      <c r="Q124" s="2389"/>
      <c r="R124" s="2391"/>
    </row>
    <row r="125" spans="2:18" s="2363" customFormat="1">
      <c r="B125" s="2389"/>
      <c r="C125" s="2389"/>
      <c r="D125" s="2389"/>
      <c r="E125" s="2389"/>
      <c r="F125" s="2389"/>
      <c r="G125" s="2390"/>
      <c r="H125" s="2389"/>
      <c r="I125" s="2390"/>
      <c r="J125" s="2389"/>
      <c r="K125" s="2389"/>
      <c r="L125" s="2390"/>
      <c r="M125" s="2389"/>
      <c r="N125" s="2389"/>
      <c r="O125" s="2390"/>
      <c r="P125" s="2389"/>
      <c r="Q125" s="2389"/>
      <c r="R125" s="2391"/>
    </row>
    <row r="126" spans="2:18" s="2363" customFormat="1">
      <c r="B126" s="2389"/>
      <c r="C126" s="2389"/>
      <c r="D126" s="2389"/>
      <c r="E126" s="2389"/>
      <c r="F126" s="2389"/>
      <c r="G126" s="2390"/>
      <c r="H126" s="2389"/>
      <c r="I126" s="2390"/>
      <c r="J126" s="2389"/>
      <c r="K126" s="2389"/>
      <c r="L126" s="2390"/>
      <c r="M126" s="2389"/>
      <c r="N126" s="2389"/>
      <c r="O126" s="2390"/>
      <c r="P126" s="2389"/>
      <c r="Q126" s="2389"/>
      <c r="R126" s="2391"/>
    </row>
    <row r="127" spans="2:18" s="2363" customFormat="1">
      <c r="B127" s="2389"/>
      <c r="C127" s="2389"/>
      <c r="D127" s="2389"/>
      <c r="E127" s="2389"/>
      <c r="F127" s="2389"/>
      <c r="G127" s="2390"/>
      <c r="H127" s="2389"/>
      <c r="I127" s="2390"/>
      <c r="J127" s="2389"/>
      <c r="K127" s="2389"/>
      <c r="L127" s="2390"/>
      <c r="M127" s="2389"/>
      <c r="N127" s="2389"/>
      <c r="O127" s="2390"/>
      <c r="P127" s="2389"/>
      <c r="Q127" s="2389"/>
      <c r="R127" s="2391"/>
    </row>
    <row r="128" spans="2:18" s="2363" customFormat="1">
      <c r="B128" s="2389"/>
      <c r="C128" s="2389"/>
      <c r="D128" s="2389"/>
      <c r="E128" s="2389"/>
      <c r="F128" s="2389"/>
      <c r="G128" s="2390"/>
      <c r="H128" s="2389"/>
      <c r="I128" s="2390"/>
      <c r="J128" s="2389"/>
      <c r="K128" s="2389"/>
      <c r="L128" s="2390"/>
      <c r="M128" s="2389"/>
      <c r="N128" s="2389"/>
      <c r="O128" s="2390"/>
      <c r="P128" s="2389"/>
      <c r="Q128" s="2389"/>
      <c r="R128" s="2391"/>
    </row>
    <row r="129" spans="2:18" s="2363" customFormat="1">
      <c r="B129" s="2389"/>
      <c r="C129" s="2389"/>
      <c r="D129" s="2389"/>
      <c r="E129" s="2389"/>
      <c r="F129" s="2389"/>
      <c r="G129" s="2390"/>
      <c r="H129" s="2389"/>
      <c r="I129" s="2390"/>
      <c r="J129" s="2389"/>
      <c r="K129" s="2389"/>
      <c r="L129" s="2390"/>
      <c r="M129" s="2389"/>
      <c r="N129" s="2389"/>
      <c r="O129" s="2390"/>
      <c r="P129" s="2389"/>
      <c r="Q129" s="2389"/>
      <c r="R129" s="2391"/>
    </row>
    <row r="130" spans="2:18" s="2363" customFormat="1">
      <c r="B130" s="2389"/>
      <c r="C130" s="2389"/>
      <c r="D130" s="2389"/>
      <c r="E130" s="2389"/>
      <c r="F130" s="2389"/>
      <c r="G130" s="2390"/>
      <c r="H130" s="2389"/>
      <c r="I130" s="2390"/>
      <c r="J130" s="2389"/>
      <c r="K130" s="2389"/>
      <c r="L130" s="2390"/>
      <c r="M130" s="2389"/>
      <c r="N130" s="2389"/>
      <c r="O130" s="2390"/>
      <c r="P130" s="2389"/>
      <c r="Q130" s="2389"/>
      <c r="R130" s="2391"/>
    </row>
    <row r="131" spans="2:18" s="2363" customFormat="1">
      <c r="B131" s="2389"/>
      <c r="C131" s="2389"/>
      <c r="D131" s="2389"/>
      <c r="E131" s="2389"/>
      <c r="F131" s="2389"/>
      <c r="G131" s="2390"/>
      <c r="H131" s="2389"/>
      <c r="I131" s="2390"/>
      <c r="J131" s="2389"/>
      <c r="K131" s="2389"/>
      <c r="L131" s="2390"/>
      <c r="M131" s="2389"/>
      <c r="N131" s="2389"/>
      <c r="O131" s="2390"/>
      <c r="P131" s="2389"/>
      <c r="Q131" s="2389"/>
      <c r="R131" s="2391"/>
    </row>
    <row r="132" spans="2:18" s="2363" customFormat="1">
      <c r="B132" s="2389"/>
      <c r="C132" s="2389"/>
      <c r="D132" s="2389"/>
      <c r="E132" s="2389"/>
      <c r="F132" s="2389"/>
      <c r="G132" s="2390"/>
      <c r="H132" s="2389"/>
      <c r="I132" s="2390"/>
      <c r="J132" s="2389"/>
      <c r="K132" s="2389"/>
      <c r="L132" s="2390"/>
      <c r="M132" s="2389"/>
      <c r="N132" s="2389"/>
      <c r="O132" s="2390"/>
      <c r="P132" s="2389"/>
      <c r="Q132" s="2389"/>
      <c r="R132" s="2391"/>
    </row>
    <row r="133" spans="2:18" s="2363" customFormat="1">
      <c r="B133" s="2389"/>
      <c r="C133" s="2389"/>
      <c r="D133" s="2389"/>
      <c r="E133" s="2389"/>
      <c r="F133" s="2389"/>
      <c r="G133" s="2390"/>
      <c r="H133" s="2389"/>
      <c r="I133" s="2390"/>
      <c r="J133" s="2389"/>
      <c r="K133" s="2389"/>
      <c r="L133" s="2390"/>
      <c r="M133" s="2389"/>
      <c r="N133" s="2389"/>
      <c r="O133" s="2390"/>
      <c r="P133" s="2389"/>
      <c r="Q133" s="2389"/>
      <c r="R133" s="2391"/>
    </row>
    <row r="134" spans="2:18" s="2363" customFormat="1">
      <c r="B134" s="2389"/>
      <c r="C134" s="2389"/>
      <c r="D134" s="2389"/>
      <c r="E134" s="2389"/>
      <c r="F134" s="2389"/>
      <c r="G134" s="2390"/>
      <c r="H134" s="2389"/>
      <c r="I134" s="2390"/>
      <c r="J134" s="2389"/>
      <c r="K134" s="2389"/>
      <c r="L134" s="2390"/>
      <c r="M134" s="2389"/>
      <c r="N134" s="2389"/>
      <c r="O134" s="2390"/>
      <c r="P134" s="2389"/>
      <c r="Q134" s="2389"/>
      <c r="R134" s="2391"/>
    </row>
    <row r="135" spans="2:18" s="2363" customFormat="1">
      <c r="B135" s="2389"/>
      <c r="C135" s="2389"/>
      <c r="D135" s="2389"/>
      <c r="E135" s="2389"/>
      <c r="F135" s="2389"/>
      <c r="G135" s="2390"/>
      <c r="H135" s="2389"/>
      <c r="I135" s="2390"/>
      <c r="J135" s="2389"/>
      <c r="K135" s="2389"/>
      <c r="L135" s="2390"/>
      <c r="M135" s="2389"/>
      <c r="N135" s="2389"/>
      <c r="O135" s="2390"/>
      <c r="P135" s="2389"/>
      <c r="Q135" s="2389"/>
      <c r="R135" s="2391"/>
    </row>
    <row r="136" spans="2:18" s="2363" customFormat="1">
      <c r="B136" s="2389"/>
      <c r="C136" s="2389"/>
      <c r="D136" s="2389"/>
      <c r="E136" s="2389"/>
      <c r="F136" s="2389"/>
      <c r="G136" s="2390"/>
      <c r="H136" s="2389"/>
      <c r="I136" s="2390"/>
      <c r="J136" s="2389"/>
      <c r="K136" s="2389"/>
      <c r="L136" s="2390"/>
      <c r="M136" s="2389"/>
      <c r="N136" s="2389"/>
      <c r="O136" s="2390"/>
      <c r="P136" s="2389"/>
      <c r="Q136" s="2389"/>
      <c r="R136" s="2391"/>
    </row>
    <row r="137" spans="2:18" s="2363" customFormat="1">
      <c r="B137" s="2389"/>
      <c r="C137" s="2389"/>
      <c r="D137" s="2389"/>
      <c r="E137" s="2389"/>
      <c r="F137" s="2389"/>
      <c r="G137" s="2390"/>
      <c r="H137" s="2389"/>
      <c r="I137" s="2390"/>
      <c r="J137" s="2389"/>
      <c r="K137" s="2389"/>
      <c r="L137" s="2390"/>
      <c r="M137" s="2389"/>
      <c r="N137" s="2389"/>
      <c r="O137" s="2390"/>
      <c r="P137" s="2389"/>
      <c r="Q137" s="2389"/>
      <c r="R137" s="2391"/>
    </row>
    <row r="138" spans="2:18" s="2363" customFormat="1">
      <c r="B138" s="2389"/>
      <c r="C138" s="2389"/>
      <c r="D138" s="2389"/>
      <c r="E138" s="2389"/>
      <c r="F138" s="2389"/>
      <c r="G138" s="2390"/>
      <c r="H138" s="2389"/>
      <c r="I138" s="2390"/>
      <c r="J138" s="2389"/>
      <c r="K138" s="2389"/>
      <c r="L138" s="2390"/>
      <c r="M138" s="2389"/>
      <c r="N138" s="2389"/>
      <c r="O138" s="2390"/>
      <c r="P138" s="2389"/>
      <c r="Q138" s="2389"/>
      <c r="R138" s="2391"/>
    </row>
    <row r="139" spans="2:18" s="2363" customFormat="1">
      <c r="B139" s="2389"/>
      <c r="C139" s="2389"/>
      <c r="D139" s="2389"/>
      <c r="E139" s="2389"/>
      <c r="F139" s="2389"/>
      <c r="G139" s="2390"/>
      <c r="H139" s="2389"/>
      <c r="I139" s="2390"/>
      <c r="J139" s="2389"/>
      <c r="K139" s="2389"/>
      <c r="L139" s="2390"/>
      <c r="M139" s="2389"/>
      <c r="N139" s="2389"/>
      <c r="O139" s="2390"/>
      <c r="P139" s="2389"/>
      <c r="Q139" s="2389"/>
      <c r="R139" s="2391"/>
    </row>
    <row r="140" spans="2:18" s="2363" customFormat="1">
      <c r="B140" s="2389"/>
      <c r="C140" s="2389"/>
      <c r="D140" s="2389"/>
      <c r="E140" s="2389"/>
      <c r="F140" s="2389"/>
      <c r="G140" s="2390"/>
      <c r="H140" s="2389"/>
      <c r="I140" s="2390"/>
      <c r="J140" s="2389"/>
      <c r="K140" s="2389"/>
      <c r="L140" s="2390"/>
      <c r="M140" s="2389"/>
      <c r="N140" s="2389"/>
      <c r="O140" s="2390"/>
      <c r="P140" s="2389"/>
      <c r="Q140" s="2389"/>
      <c r="R140" s="2391"/>
    </row>
    <row r="141" spans="2:18" s="2363" customFormat="1">
      <c r="B141" s="2389"/>
      <c r="C141" s="2389"/>
      <c r="D141" s="2389"/>
      <c r="E141" s="2389"/>
      <c r="F141" s="2389"/>
      <c r="G141" s="2390"/>
      <c r="H141" s="2389"/>
      <c r="I141" s="2390"/>
      <c r="J141" s="2389"/>
      <c r="K141" s="2389"/>
      <c r="L141" s="2390"/>
      <c r="M141" s="2389"/>
      <c r="N141" s="2389"/>
      <c r="O141" s="2390"/>
      <c r="P141" s="2389"/>
      <c r="Q141" s="2389"/>
      <c r="R141" s="2391"/>
    </row>
    <row r="142" spans="2:18" s="2363" customFormat="1">
      <c r="B142" s="2389"/>
      <c r="C142" s="2389"/>
      <c r="D142" s="2389"/>
      <c r="E142" s="2389"/>
      <c r="F142" s="2389"/>
      <c r="G142" s="2390"/>
      <c r="H142" s="2389"/>
      <c r="I142" s="2390"/>
      <c r="J142" s="2389"/>
      <c r="K142" s="2389"/>
      <c r="L142" s="2390"/>
      <c r="M142" s="2389"/>
      <c r="N142" s="2389"/>
      <c r="O142" s="2390"/>
      <c r="P142" s="2389"/>
      <c r="Q142" s="2389"/>
      <c r="R142" s="2391"/>
    </row>
    <row r="143" spans="2:18" s="2363" customFormat="1">
      <c r="B143" s="2389"/>
      <c r="C143" s="2389"/>
      <c r="D143" s="2389"/>
      <c r="E143" s="2389"/>
      <c r="F143" s="2389"/>
      <c r="G143" s="2390"/>
      <c r="H143" s="2389"/>
      <c r="I143" s="2390"/>
      <c r="J143" s="2389"/>
      <c r="K143" s="2389"/>
      <c r="L143" s="2390"/>
      <c r="M143" s="2389"/>
      <c r="N143" s="2389"/>
      <c r="O143" s="2390"/>
      <c r="P143" s="2389"/>
      <c r="Q143" s="2389"/>
      <c r="R143" s="2391"/>
    </row>
    <row r="144" spans="2:18" s="2363" customFormat="1">
      <c r="B144" s="2389"/>
      <c r="C144" s="2389"/>
      <c r="D144" s="2389"/>
      <c r="E144" s="2389"/>
      <c r="F144" s="2389"/>
      <c r="G144" s="2390"/>
      <c r="H144" s="2389"/>
      <c r="I144" s="2390"/>
      <c r="J144" s="2389"/>
      <c r="K144" s="2389"/>
      <c r="L144" s="2390"/>
      <c r="M144" s="2389"/>
      <c r="N144" s="2389"/>
      <c r="O144" s="2390"/>
      <c r="P144" s="2389"/>
      <c r="Q144" s="2389"/>
      <c r="R144" s="2391"/>
    </row>
    <row r="145" spans="2:18" s="2363" customFormat="1">
      <c r="B145" s="2389"/>
      <c r="C145" s="2389"/>
      <c r="D145" s="2389"/>
      <c r="E145" s="2389"/>
      <c r="F145" s="2389"/>
      <c r="G145" s="2390"/>
      <c r="H145" s="2389"/>
      <c r="I145" s="2390"/>
      <c r="J145" s="2389"/>
      <c r="K145" s="2389"/>
      <c r="L145" s="2390"/>
      <c r="M145" s="2389"/>
      <c r="N145" s="2389"/>
      <c r="O145" s="2390"/>
      <c r="P145" s="2389"/>
      <c r="Q145" s="2389"/>
      <c r="R145" s="2391"/>
    </row>
    <row r="146" spans="2:18" s="2363" customFormat="1">
      <c r="B146" s="2389"/>
      <c r="C146" s="2389"/>
      <c r="D146" s="2389"/>
      <c r="E146" s="2389"/>
      <c r="F146" s="2389"/>
      <c r="G146" s="2390"/>
      <c r="H146" s="2389"/>
      <c r="I146" s="2390"/>
      <c r="J146" s="2389"/>
      <c r="K146" s="2389"/>
      <c r="L146" s="2390"/>
      <c r="M146" s="2389"/>
      <c r="N146" s="2389"/>
      <c r="O146" s="2390"/>
      <c r="P146" s="2389"/>
      <c r="Q146" s="2389"/>
      <c r="R146" s="2391"/>
    </row>
    <row r="147" spans="2:18" s="2363" customFormat="1">
      <c r="B147" s="2389"/>
      <c r="C147" s="2389"/>
      <c r="D147" s="2389"/>
      <c r="E147" s="2389"/>
      <c r="F147" s="2389"/>
      <c r="G147" s="2390"/>
      <c r="H147" s="2389"/>
      <c r="I147" s="2390"/>
      <c r="J147" s="2389"/>
      <c r="K147" s="2389"/>
      <c r="L147" s="2390"/>
      <c r="M147" s="2389"/>
      <c r="N147" s="2389"/>
      <c r="O147" s="2390"/>
      <c r="P147" s="2389"/>
      <c r="Q147" s="2389"/>
      <c r="R147" s="2391"/>
    </row>
    <row r="148" spans="2:18" s="2363" customFormat="1">
      <c r="B148" s="2389"/>
      <c r="C148" s="2389"/>
      <c r="D148" s="2389"/>
      <c r="E148" s="2389"/>
      <c r="F148" s="2389"/>
      <c r="G148" s="2390"/>
      <c r="H148" s="2389"/>
      <c r="I148" s="2390"/>
      <c r="J148" s="2389"/>
      <c r="K148" s="2389"/>
      <c r="L148" s="2390"/>
      <c r="M148" s="2389"/>
      <c r="N148" s="2389"/>
      <c r="O148" s="2390"/>
      <c r="P148" s="2389"/>
      <c r="Q148" s="2389"/>
      <c r="R148" s="2391"/>
    </row>
    <row r="149" spans="2:18" s="2363" customFormat="1">
      <c r="B149" s="2389"/>
      <c r="C149" s="2389"/>
      <c r="D149" s="2389"/>
      <c r="E149" s="2389"/>
      <c r="F149" s="2389"/>
      <c r="G149" s="2390"/>
      <c r="H149" s="2389"/>
      <c r="I149" s="2390"/>
      <c r="J149" s="2389"/>
      <c r="K149" s="2389"/>
      <c r="L149" s="2390"/>
      <c r="M149" s="2389"/>
      <c r="N149" s="2389"/>
      <c r="O149" s="2390"/>
      <c r="P149" s="2389"/>
      <c r="Q149" s="2389"/>
      <c r="R149" s="2391"/>
    </row>
    <row r="150" spans="2:18" s="2363" customFormat="1">
      <c r="B150" s="2389"/>
      <c r="C150" s="2389"/>
      <c r="D150" s="2389"/>
      <c r="E150" s="2389"/>
      <c r="F150" s="2389"/>
      <c r="G150" s="2390"/>
      <c r="H150" s="2389"/>
      <c r="I150" s="2390"/>
      <c r="J150" s="2389"/>
      <c r="K150" s="2389"/>
      <c r="L150" s="2390"/>
      <c r="M150" s="2389"/>
      <c r="N150" s="2389"/>
      <c r="O150" s="2390"/>
      <c r="P150" s="2389"/>
      <c r="Q150" s="2389"/>
      <c r="R150" s="2391"/>
    </row>
    <row r="151" spans="2:18" s="2363" customFormat="1">
      <c r="B151" s="2389"/>
      <c r="C151" s="2389"/>
      <c r="D151" s="2389"/>
      <c r="E151" s="2389"/>
      <c r="F151" s="2389"/>
      <c r="G151" s="2390"/>
      <c r="H151" s="2389"/>
      <c r="I151" s="2390"/>
      <c r="J151" s="2389"/>
      <c r="K151" s="2389"/>
      <c r="L151" s="2390"/>
      <c r="M151" s="2389"/>
      <c r="N151" s="2389"/>
      <c r="O151" s="2390"/>
      <c r="P151" s="2389"/>
      <c r="Q151" s="2389"/>
      <c r="R151" s="2391"/>
    </row>
    <row r="152" spans="2:18" s="2363" customFormat="1">
      <c r="B152" s="2389"/>
      <c r="C152" s="2389"/>
      <c r="D152" s="2389"/>
      <c r="E152" s="2389"/>
      <c r="F152" s="2389"/>
      <c r="G152" s="2390"/>
      <c r="H152" s="2389"/>
      <c r="I152" s="2390"/>
      <c r="J152" s="2389"/>
      <c r="K152" s="2389"/>
      <c r="L152" s="2390"/>
      <c r="M152" s="2389"/>
      <c r="N152" s="2389"/>
      <c r="O152" s="2390"/>
      <c r="P152" s="2389"/>
      <c r="Q152" s="2389"/>
      <c r="R152" s="2391"/>
    </row>
    <row r="153" spans="2:18" s="2363" customFormat="1">
      <c r="B153" s="2389"/>
      <c r="C153" s="2389"/>
      <c r="D153" s="2389"/>
      <c r="E153" s="2389"/>
      <c r="F153" s="2389"/>
      <c r="G153" s="2390"/>
      <c r="H153" s="2389"/>
      <c r="I153" s="2390"/>
      <c r="J153" s="2389"/>
      <c r="K153" s="2389"/>
      <c r="L153" s="2390"/>
      <c r="M153" s="2389"/>
      <c r="N153" s="2389"/>
      <c r="O153" s="2390"/>
      <c r="P153" s="2389"/>
      <c r="Q153" s="2389"/>
      <c r="R153" s="2391"/>
    </row>
    <row r="154" spans="2:18" s="2363" customFormat="1">
      <c r="B154" s="2389"/>
      <c r="C154" s="2389"/>
      <c r="D154" s="2389"/>
      <c r="E154" s="2389"/>
      <c r="F154" s="2389"/>
      <c r="G154" s="2390"/>
      <c r="H154" s="2389"/>
      <c r="I154" s="2390"/>
      <c r="J154" s="2389"/>
      <c r="K154" s="2389"/>
      <c r="L154" s="2390"/>
      <c r="M154" s="2389"/>
      <c r="N154" s="2389"/>
      <c r="O154" s="2390"/>
      <c r="P154" s="2389"/>
      <c r="Q154" s="2389"/>
      <c r="R154" s="2391"/>
    </row>
    <row r="155" spans="2:18" s="2363" customFormat="1">
      <c r="B155" s="2389"/>
      <c r="C155" s="2389"/>
      <c r="D155" s="2389"/>
      <c r="E155" s="2389"/>
      <c r="F155" s="2389"/>
      <c r="G155" s="2390"/>
      <c r="H155" s="2389"/>
      <c r="I155" s="2390"/>
      <c r="J155" s="2389"/>
      <c r="K155" s="2389"/>
      <c r="L155" s="2390"/>
      <c r="M155" s="2389"/>
      <c r="N155" s="2389"/>
      <c r="O155" s="2390"/>
      <c r="P155" s="2389"/>
      <c r="Q155" s="2389"/>
      <c r="R155" s="2391"/>
    </row>
    <row r="156" spans="2:18" s="2363" customFormat="1">
      <c r="B156" s="2389"/>
      <c r="C156" s="2389"/>
      <c r="D156" s="2389"/>
      <c r="E156" s="2389"/>
      <c r="F156" s="2389"/>
      <c r="G156" s="2390"/>
      <c r="H156" s="2389"/>
      <c r="I156" s="2390"/>
      <c r="J156" s="2389"/>
      <c r="K156" s="2389"/>
      <c r="L156" s="2390"/>
      <c r="M156" s="2389"/>
      <c r="N156" s="2389"/>
      <c r="O156" s="2390"/>
      <c r="P156" s="2389"/>
      <c r="Q156" s="2389"/>
      <c r="R156" s="2391"/>
    </row>
    <row r="157" spans="2:18" s="2363" customFormat="1">
      <c r="B157" s="2389"/>
      <c r="C157" s="2389"/>
      <c r="D157" s="2389"/>
      <c r="E157" s="2389"/>
      <c r="F157" s="2389"/>
      <c r="G157" s="2390"/>
      <c r="H157" s="2389"/>
      <c r="I157" s="2390"/>
      <c r="J157" s="2389"/>
      <c r="K157" s="2389"/>
      <c r="L157" s="2390"/>
      <c r="M157" s="2389"/>
      <c r="N157" s="2389"/>
      <c r="O157" s="2390"/>
      <c r="P157" s="2389"/>
      <c r="Q157" s="2389"/>
      <c r="R157" s="2391"/>
    </row>
    <row r="158" spans="2:18" s="2363" customFormat="1">
      <c r="B158" s="2389"/>
      <c r="C158" s="2389"/>
      <c r="D158" s="2389"/>
      <c r="E158" s="2389"/>
      <c r="F158" s="2389"/>
      <c r="G158" s="2390"/>
      <c r="H158" s="2389"/>
      <c r="I158" s="2390"/>
      <c r="J158" s="2389"/>
      <c r="K158" s="2389"/>
      <c r="L158" s="2390"/>
      <c r="M158" s="2389"/>
      <c r="N158" s="2389"/>
      <c r="O158" s="2390"/>
      <c r="P158" s="2389"/>
      <c r="Q158" s="2389"/>
      <c r="R158" s="2391"/>
    </row>
    <row r="159" spans="2:18" s="2363" customFormat="1">
      <c r="B159" s="2389"/>
      <c r="C159" s="2389"/>
      <c r="D159" s="2389"/>
      <c r="E159" s="2389"/>
      <c r="F159" s="2389"/>
      <c r="G159" s="2390"/>
      <c r="H159" s="2389"/>
      <c r="I159" s="2390"/>
      <c r="J159" s="2389"/>
      <c r="K159" s="2389"/>
      <c r="L159" s="2390"/>
      <c r="M159" s="2389"/>
      <c r="N159" s="2389"/>
      <c r="O159" s="2390"/>
      <c r="P159" s="2389"/>
      <c r="Q159" s="2389"/>
      <c r="R159" s="2391"/>
    </row>
    <row r="160" spans="2:18" s="2363" customFormat="1">
      <c r="B160" s="2389"/>
      <c r="C160" s="2389"/>
      <c r="D160" s="2389"/>
      <c r="E160" s="2389"/>
      <c r="F160" s="2389"/>
      <c r="G160" s="2390"/>
      <c r="H160" s="2389"/>
      <c r="I160" s="2390"/>
      <c r="J160" s="2389"/>
      <c r="K160" s="2389"/>
      <c r="L160" s="2390"/>
      <c r="M160" s="2389"/>
      <c r="N160" s="2389"/>
      <c r="O160" s="2390"/>
      <c r="P160" s="2389"/>
      <c r="Q160" s="2389"/>
      <c r="R160" s="2391"/>
    </row>
    <row r="161" spans="2:18" s="2363" customFormat="1">
      <c r="B161" s="2389"/>
      <c r="C161" s="2389"/>
      <c r="D161" s="2389"/>
      <c r="E161" s="2389"/>
      <c r="F161" s="2389"/>
      <c r="G161" s="2390"/>
      <c r="H161" s="2389"/>
      <c r="I161" s="2390"/>
      <c r="J161" s="2389"/>
      <c r="K161" s="2389"/>
      <c r="L161" s="2390"/>
      <c r="M161" s="2389"/>
      <c r="N161" s="2389"/>
      <c r="O161" s="2390"/>
      <c r="P161" s="2389"/>
      <c r="Q161" s="2389"/>
      <c r="R161" s="2391"/>
    </row>
    <row r="162" spans="2:18" s="2363" customFormat="1">
      <c r="B162" s="2389"/>
      <c r="C162" s="2389"/>
      <c r="D162" s="2389"/>
      <c r="E162" s="2389"/>
      <c r="F162" s="2389"/>
      <c r="G162" s="2390"/>
      <c r="H162" s="2389"/>
      <c r="I162" s="2390"/>
      <c r="J162" s="2389"/>
      <c r="K162" s="2389"/>
      <c r="L162" s="2390"/>
      <c r="M162" s="2389"/>
      <c r="N162" s="2389"/>
      <c r="O162" s="2390"/>
      <c r="P162" s="2389"/>
      <c r="Q162" s="2389"/>
      <c r="R162" s="2391"/>
    </row>
    <row r="163" spans="2:18" s="2363" customFormat="1">
      <c r="B163" s="2389"/>
      <c r="C163" s="2389"/>
      <c r="D163" s="2389"/>
      <c r="E163" s="2389"/>
      <c r="F163" s="2389"/>
      <c r="G163" s="2390"/>
      <c r="H163" s="2389"/>
      <c r="I163" s="2390"/>
      <c r="J163" s="2389"/>
      <c r="K163" s="2389"/>
      <c r="L163" s="2390"/>
      <c r="M163" s="2389"/>
      <c r="N163" s="2389"/>
      <c r="O163" s="2390"/>
      <c r="P163" s="2389"/>
      <c r="Q163" s="2389"/>
      <c r="R163" s="2391"/>
    </row>
    <row r="164" spans="2:18" s="2363" customFormat="1">
      <c r="B164" s="2389"/>
      <c r="C164" s="2389"/>
      <c r="D164" s="2389"/>
      <c r="E164" s="2389"/>
      <c r="F164" s="2389"/>
      <c r="G164" s="2390"/>
      <c r="H164" s="2389"/>
      <c r="I164" s="2390"/>
      <c r="J164" s="2389"/>
      <c r="K164" s="2389"/>
      <c r="L164" s="2390"/>
      <c r="M164" s="2389"/>
      <c r="N164" s="2389"/>
      <c r="O164" s="2390"/>
      <c r="P164" s="2389"/>
      <c r="Q164" s="2389"/>
      <c r="R164" s="2391"/>
    </row>
    <row r="165" spans="2:18" s="2363" customFormat="1">
      <c r="B165" s="2389"/>
      <c r="C165" s="2389"/>
      <c r="D165" s="2389"/>
      <c r="E165" s="2389"/>
      <c r="F165" s="2389"/>
      <c r="G165" s="2390"/>
      <c r="H165" s="2389"/>
      <c r="I165" s="2390"/>
      <c r="J165" s="2389"/>
      <c r="K165" s="2389"/>
      <c r="L165" s="2390"/>
      <c r="M165" s="2389"/>
      <c r="N165" s="2389"/>
      <c r="O165" s="2390"/>
      <c r="P165" s="2389"/>
      <c r="Q165" s="2389"/>
      <c r="R165" s="2391"/>
    </row>
    <row r="166" spans="2:18" s="2363" customFormat="1">
      <c r="B166" s="2389"/>
      <c r="C166" s="2389"/>
      <c r="D166" s="2389"/>
      <c r="E166" s="2389"/>
      <c r="F166" s="2389"/>
      <c r="G166" s="2390"/>
      <c r="H166" s="2389"/>
      <c r="I166" s="2390"/>
      <c r="J166" s="2389"/>
      <c r="K166" s="2389"/>
      <c r="L166" s="2390"/>
      <c r="M166" s="2389"/>
      <c r="N166" s="2389"/>
      <c r="O166" s="2390"/>
      <c r="P166" s="2389"/>
      <c r="Q166" s="2389"/>
      <c r="R166" s="2391"/>
    </row>
    <row r="167" spans="2:18" s="2363" customFormat="1">
      <c r="B167" s="2389"/>
      <c r="C167" s="2389"/>
      <c r="D167" s="2389"/>
      <c r="E167" s="2389"/>
      <c r="F167" s="2389"/>
      <c r="G167" s="2390"/>
      <c r="H167" s="2389"/>
      <c r="I167" s="2390"/>
      <c r="J167" s="2389"/>
      <c r="K167" s="2389"/>
      <c r="L167" s="2390"/>
      <c r="M167" s="2389"/>
      <c r="N167" s="2389"/>
      <c r="O167" s="2390"/>
      <c r="P167" s="2389"/>
      <c r="Q167" s="2389"/>
      <c r="R167" s="2391"/>
    </row>
    <row r="168" spans="2:18" s="2363" customFormat="1">
      <c r="B168" s="2389"/>
      <c r="C168" s="2389"/>
      <c r="D168" s="2389"/>
      <c r="E168" s="2389"/>
      <c r="F168" s="2389"/>
      <c r="G168" s="2390"/>
      <c r="H168" s="2389"/>
      <c r="I168" s="2390"/>
      <c r="J168" s="2389"/>
      <c r="K168" s="2389"/>
      <c r="L168" s="2390"/>
      <c r="M168" s="2389"/>
      <c r="N168" s="2389"/>
      <c r="O168" s="2390"/>
      <c r="P168" s="2389"/>
      <c r="Q168" s="2389"/>
      <c r="R168" s="2391"/>
    </row>
    <row r="169" spans="2:18" s="2363" customFormat="1">
      <c r="B169" s="2389"/>
      <c r="C169" s="2389"/>
      <c r="D169" s="2389"/>
      <c r="E169" s="2389"/>
      <c r="F169" s="2389"/>
      <c r="G169" s="2390"/>
      <c r="H169" s="2389"/>
      <c r="I169" s="2390"/>
      <c r="J169" s="2389"/>
      <c r="K169" s="2389"/>
      <c r="L169" s="2390"/>
      <c r="M169" s="2389"/>
      <c r="N169" s="2389"/>
      <c r="O169" s="2390"/>
      <c r="P169" s="2389"/>
      <c r="Q169" s="2389"/>
      <c r="R169" s="2391"/>
    </row>
    <row r="170" spans="2:18" s="2363" customFormat="1">
      <c r="B170" s="2389"/>
      <c r="C170" s="2389"/>
      <c r="D170" s="2389"/>
      <c r="E170" s="2389"/>
      <c r="F170" s="2389"/>
      <c r="G170" s="2390"/>
      <c r="H170" s="2389"/>
      <c r="I170" s="2390"/>
      <c r="J170" s="2389"/>
      <c r="K170" s="2389"/>
      <c r="L170" s="2390"/>
      <c r="M170" s="2389"/>
      <c r="N170" s="2389"/>
      <c r="O170" s="2390"/>
      <c r="P170" s="2389"/>
      <c r="Q170" s="2389"/>
      <c r="R170" s="2391"/>
    </row>
    <row r="171" spans="2:18" s="2363" customFormat="1">
      <c r="B171" s="2389"/>
      <c r="C171" s="2389"/>
      <c r="D171" s="2389"/>
      <c r="E171" s="2389"/>
      <c r="F171" s="2389"/>
      <c r="G171" s="2390"/>
      <c r="H171" s="2389"/>
      <c r="I171" s="2390"/>
      <c r="J171" s="2389"/>
      <c r="K171" s="2389"/>
      <c r="L171" s="2390"/>
      <c r="M171" s="2389"/>
      <c r="N171" s="2389"/>
      <c r="O171" s="2390"/>
      <c r="P171" s="2389"/>
      <c r="Q171" s="2389"/>
      <c r="R171" s="2391"/>
    </row>
    <row r="172" spans="2:18" s="2363" customFormat="1">
      <c r="B172" s="2389"/>
      <c r="C172" s="2389"/>
      <c r="D172" s="2389"/>
      <c r="E172" s="2389"/>
      <c r="F172" s="2389"/>
      <c r="G172" s="2390"/>
      <c r="H172" s="2389"/>
      <c r="I172" s="2390"/>
      <c r="J172" s="2389"/>
      <c r="K172" s="2389"/>
      <c r="L172" s="2390"/>
      <c r="M172" s="2389"/>
      <c r="N172" s="2389"/>
      <c r="O172" s="2390"/>
      <c r="P172" s="2389"/>
      <c r="Q172" s="2389"/>
      <c r="R172" s="2391"/>
    </row>
    <row r="173" spans="2:18" s="2363" customFormat="1">
      <c r="B173" s="2389"/>
      <c r="C173" s="2389"/>
      <c r="D173" s="2389"/>
      <c r="E173" s="2389"/>
      <c r="F173" s="2389"/>
      <c r="G173" s="2390"/>
      <c r="H173" s="2389"/>
      <c r="I173" s="2390"/>
      <c r="J173" s="2389"/>
      <c r="K173" s="2389"/>
      <c r="L173" s="2390"/>
      <c r="M173" s="2389"/>
      <c r="N173" s="2389"/>
      <c r="O173" s="2390"/>
      <c r="P173" s="2389"/>
      <c r="Q173" s="2389"/>
      <c r="R173" s="2391"/>
    </row>
    <row r="174" spans="2:18" s="2363" customFormat="1">
      <c r="B174" s="2389"/>
      <c r="C174" s="2389"/>
      <c r="D174" s="2389"/>
      <c r="E174" s="2389"/>
      <c r="F174" s="2389"/>
      <c r="G174" s="2390"/>
      <c r="H174" s="2389"/>
      <c r="I174" s="2390"/>
      <c r="J174" s="2389"/>
      <c r="K174" s="2389"/>
      <c r="L174" s="2390"/>
      <c r="M174" s="2389"/>
      <c r="N174" s="2389"/>
      <c r="O174" s="2390"/>
      <c r="P174" s="2389"/>
      <c r="Q174" s="2389"/>
      <c r="R174" s="2391"/>
    </row>
    <row r="175" spans="2:18" s="2363" customFormat="1">
      <c r="B175" s="2389"/>
      <c r="C175" s="2389"/>
      <c r="D175" s="2389"/>
      <c r="E175" s="2389"/>
      <c r="F175" s="2389"/>
      <c r="G175" s="2390"/>
      <c r="H175" s="2389"/>
      <c r="I175" s="2390"/>
      <c r="J175" s="2389"/>
      <c r="K175" s="2389"/>
      <c r="L175" s="2390"/>
      <c r="M175" s="2389"/>
      <c r="N175" s="2389"/>
      <c r="O175" s="2390"/>
      <c r="P175" s="2389"/>
      <c r="Q175" s="2389"/>
      <c r="R175" s="2391"/>
    </row>
    <row r="176" spans="2:18" s="2363" customFormat="1">
      <c r="B176" s="2389"/>
      <c r="C176" s="2389"/>
      <c r="D176" s="2389"/>
      <c r="E176" s="2389"/>
      <c r="F176" s="2389"/>
      <c r="G176" s="2390"/>
      <c r="H176" s="2389"/>
      <c r="I176" s="2390"/>
      <c r="J176" s="2389"/>
      <c r="K176" s="2389"/>
      <c r="L176" s="2390"/>
      <c r="M176" s="2389"/>
      <c r="N176" s="2389"/>
      <c r="O176" s="2390"/>
      <c r="P176" s="2389"/>
      <c r="Q176" s="2389"/>
      <c r="R176" s="2391"/>
    </row>
    <row r="177" spans="1:18" s="2363" customFormat="1">
      <c r="B177" s="2389"/>
      <c r="C177" s="2389"/>
      <c r="D177" s="2389"/>
      <c r="E177" s="2389"/>
      <c r="F177" s="2389"/>
      <c r="G177" s="2390"/>
      <c r="H177" s="2389"/>
      <c r="I177" s="2390"/>
      <c r="J177" s="2389"/>
      <c r="K177" s="2389"/>
      <c r="L177" s="2390"/>
      <c r="M177" s="2389"/>
      <c r="N177" s="2389"/>
      <c r="O177" s="2390"/>
      <c r="P177" s="2389"/>
      <c r="Q177" s="2389"/>
      <c r="R177" s="2391"/>
    </row>
    <row r="178" spans="1:18" s="2363" customFormat="1">
      <c r="B178" s="2389"/>
      <c r="C178" s="2389"/>
      <c r="D178" s="2389"/>
      <c r="E178" s="2389"/>
      <c r="F178" s="2389"/>
      <c r="G178" s="2390"/>
      <c r="H178" s="2389"/>
      <c r="I178" s="2390"/>
      <c r="J178" s="2389"/>
      <c r="K178" s="2389"/>
      <c r="L178" s="2390"/>
      <c r="M178" s="2389"/>
      <c r="N178" s="2389"/>
      <c r="O178" s="2390"/>
      <c r="P178" s="2389"/>
      <c r="Q178" s="2389"/>
      <c r="R178" s="2391"/>
    </row>
    <row r="179" spans="1:18" s="2363" customFormat="1">
      <c r="B179" s="2389"/>
      <c r="C179" s="2389"/>
      <c r="D179" s="2389"/>
      <c r="E179" s="2389"/>
      <c r="F179" s="2389"/>
      <c r="G179" s="2390"/>
      <c r="H179" s="2389"/>
      <c r="I179" s="2390"/>
      <c r="J179" s="2389"/>
      <c r="K179" s="2389"/>
      <c r="L179" s="2390"/>
      <c r="M179" s="2389"/>
      <c r="N179" s="2389"/>
      <c r="O179" s="2390"/>
      <c r="P179" s="2389"/>
      <c r="Q179" s="2389"/>
      <c r="R179" s="2391"/>
    </row>
    <row r="180" spans="1:18" s="2363" customFormat="1">
      <c r="B180" s="2389"/>
      <c r="C180" s="2389"/>
      <c r="D180" s="2389"/>
      <c r="E180" s="2389"/>
      <c r="F180" s="2389"/>
      <c r="G180" s="2390"/>
      <c r="H180" s="2389"/>
      <c r="I180" s="2390"/>
      <c r="J180" s="2389"/>
      <c r="K180" s="2389"/>
      <c r="L180" s="2390"/>
      <c r="M180" s="2389"/>
      <c r="N180" s="2389"/>
      <c r="O180" s="2390"/>
      <c r="P180" s="2389"/>
      <c r="Q180" s="2389"/>
      <c r="R180" s="2391"/>
    </row>
    <row r="181" spans="1:18" s="2363" customFormat="1">
      <c r="B181" s="2389"/>
      <c r="C181" s="2389"/>
      <c r="D181" s="2389"/>
      <c r="E181" s="2389"/>
      <c r="F181" s="2389"/>
      <c r="G181" s="2390"/>
      <c r="H181" s="2389"/>
      <c r="I181" s="2390"/>
      <c r="J181" s="2389"/>
      <c r="K181" s="2389"/>
      <c r="L181" s="2390"/>
      <c r="M181" s="2389"/>
      <c r="N181" s="2389"/>
      <c r="O181" s="2390"/>
      <c r="P181" s="2389"/>
      <c r="Q181" s="2389"/>
      <c r="R181" s="2391"/>
    </row>
    <row r="182" spans="1:18" s="2363" customFormat="1">
      <c r="B182" s="2389"/>
      <c r="C182" s="2389"/>
      <c r="D182" s="2389"/>
      <c r="E182" s="2389"/>
      <c r="F182" s="2389"/>
      <c r="G182" s="2390"/>
      <c r="H182" s="2389"/>
      <c r="I182" s="2390"/>
      <c r="J182" s="2389"/>
      <c r="K182" s="2389"/>
      <c r="L182" s="2390"/>
      <c r="M182" s="2389"/>
      <c r="N182" s="2389"/>
      <c r="O182" s="2390"/>
      <c r="P182" s="2389"/>
      <c r="Q182" s="2389"/>
      <c r="R182" s="2391"/>
    </row>
    <row r="183" spans="1:18" s="2363" customFormat="1">
      <c r="B183" s="2389"/>
      <c r="C183" s="2389"/>
      <c r="D183" s="2389"/>
      <c r="E183" s="2389"/>
      <c r="F183" s="2389"/>
      <c r="G183" s="2390"/>
      <c r="H183" s="2389"/>
      <c r="I183" s="2390"/>
      <c r="J183" s="2389"/>
      <c r="K183" s="2389"/>
      <c r="L183" s="2390"/>
      <c r="M183" s="2389"/>
      <c r="N183" s="2389"/>
      <c r="O183" s="2390"/>
      <c r="P183" s="2389"/>
      <c r="Q183" s="2389"/>
      <c r="R183" s="2391"/>
    </row>
    <row r="184" spans="1:18" s="2363" customFormat="1">
      <c r="B184" s="2389"/>
      <c r="C184" s="2389"/>
      <c r="D184" s="2389"/>
      <c r="E184" s="2389"/>
      <c r="F184" s="2389"/>
      <c r="G184" s="2390"/>
      <c r="H184" s="2389"/>
      <c r="I184" s="2390"/>
      <c r="J184" s="2389"/>
      <c r="K184" s="2389"/>
      <c r="L184" s="2390"/>
      <c r="M184" s="2389"/>
      <c r="N184" s="2389"/>
      <c r="O184" s="2390"/>
      <c r="P184" s="2389"/>
      <c r="Q184" s="2389"/>
      <c r="R184" s="2391"/>
    </row>
    <row r="185" spans="1:18" s="2363" customFormat="1">
      <c r="B185" s="2389"/>
      <c r="C185" s="2389"/>
      <c r="D185" s="2389"/>
      <c r="E185" s="2389"/>
      <c r="F185" s="2389"/>
      <c r="G185" s="2390"/>
      <c r="H185" s="2389"/>
      <c r="I185" s="2390"/>
      <c r="J185" s="2389"/>
      <c r="K185" s="2389"/>
      <c r="L185" s="2390"/>
      <c r="M185" s="2389"/>
      <c r="N185" s="2389"/>
      <c r="O185" s="2390"/>
      <c r="P185" s="2389"/>
      <c r="Q185" s="2389"/>
      <c r="R185" s="2391"/>
    </row>
    <row r="186" spans="1:18">
      <c r="A186" s="2363"/>
      <c r="B186" s="2389"/>
      <c r="C186" s="2389"/>
      <c r="E186" s="2389"/>
      <c r="F186" s="2389"/>
      <c r="G186" s="2390"/>
    </row>
    <row r="187" spans="1:18">
      <c r="A187" s="2363"/>
      <c r="B187" s="2389"/>
      <c r="C187" s="2389"/>
      <c r="E187" s="2389"/>
      <c r="F187" s="2389"/>
      <c r="G187" s="239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0" customWidth="1"/>
    <col min="2" max="9" width="15.75" style="1740" customWidth="1"/>
    <col min="10" max="16384" width="9" style="1740"/>
  </cols>
  <sheetData>
    <row r="1" spans="1:10" ht="16.5">
      <c r="A1" s="1745" t="s">
        <v>1365</v>
      </c>
      <c r="B1" s="1745">
        <f>SUM(B14:B23)</f>
        <v>1246.4000000000001</v>
      </c>
      <c r="C1" s="1744"/>
      <c r="D1" s="1744"/>
      <c r="E1" s="1744"/>
      <c r="F1" s="1744"/>
      <c r="G1" s="1742"/>
    </row>
    <row r="2" spans="1:10" ht="16.5">
      <c r="A2" s="1745" t="s">
        <v>1353</v>
      </c>
      <c r="B2" s="1745">
        <f>SUM(C14:C23)</f>
        <v>0</v>
      </c>
      <c r="C2" s="1744"/>
      <c r="D2" s="1744"/>
      <c r="E2" s="1744"/>
      <c r="F2" s="1744"/>
      <c r="G2" s="1742"/>
    </row>
    <row r="3" spans="1:10" ht="16.5">
      <c r="A3" s="1745" t="s">
        <v>1362</v>
      </c>
      <c r="B3" s="1746">
        <f>项目基本情况!D3</f>
        <v>43165</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2064</v>
      </c>
      <c r="C5" s="1745">
        <f ca="1">ROUND(B5*10000/$B$1,0)</f>
        <v>16560</v>
      </c>
      <c r="D5" s="1745" t="e">
        <f ca="1">ROUND(B5*10000/$B$2,0)</f>
        <v>#DIV/0!</v>
      </c>
      <c r="E5" s="1744"/>
      <c r="F5" s="1742"/>
      <c r="G5" s="1742"/>
    </row>
    <row r="6" spans="1:10" ht="16.5">
      <c r="A6" s="1745" t="s">
        <v>1356</v>
      </c>
      <c r="B6" s="1745">
        <f ca="1">SUM(G14:G23)</f>
        <v>2064</v>
      </c>
      <c r="C6" s="1745">
        <f ca="1">ROUND(B6*10000/$B$1,0)</f>
        <v>16560</v>
      </c>
      <c r="D6" s="1745" t="e">
        <f ca="1">ROUND(B6*10000/$B$2,0)</f>
        <v>#DIV/0!</v>
      </c>
      <c r="E6" s="1744"/>
      <c r="F6" s="1742"/>
      <c r="G6" s="1742"/>
    </row>
    <row r="7" spans="1:10" ht="16.5">
      <c r="A7" s="1745" t="s">
        <v>1364</v>
      </c>
      <c r="B7" s="1745">
        <f>SUM(H14:H23)</f>
        <v>0</v>
      </c>
      <c r="C7" s="1745">
        <f>ROUND(B7*10000/$B$1,0)</f>
        <v>0</v>
      </c>
      <c r="D7" s="1745" t="e">
        <f>ROUND(B7*10000/$B$2,0)</f>
        <v>#DIV/0!</v>
      </c>
      <c r="E7" s="1744"/>
      <c r="F7" s="1742"/>
      <c r="G7" s="1742"/>
    </row>
    <row r="8" spans="1:10" ht="16.5">
      <c r="A8" s="1745" t="s">
        <v>1285</v>
      </c>
      <c r="B8" s="1745">
        <f>SUM(I14:I23)</f>
        <v>0</v>
      </c>
      <c r="C8" s="1745">
        <f>ROUND(B8*10000/$B$1,0)</f>
        <v>0</v>
      </c>
      <c r="D8" s="1745" t="e">
        <f>ROUND(B8*10000/$B$2,0)</f>
        <v>#DIV/0!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1246.4000000000001</v>
      </c>
      <c r="C14" s="1743">
        <f>结果表!C118</f>
        <v>0</v>
      </c>
      <c r="D14" s="1743">
        <f ca="1">结果表!H118</f>
        <v>2064</v>
      </c>
      <c r="E14" s="1743">
        <f ca="1">ROUND(D14*10000/B14,0)</f>
        <v>16560</v>
      </c>
      <c r="F14" s="1743" t="e">
        <f ca="1">ROUND(D14*10000/C14,0)</f>
        <v>#DIV/0!</v>
      </c>
      <c r="G14" s="1743">
        <f ca="1">结果表!D122</f>
        <v>2064</v>
      </c>
      <c r="H14" s="1743" t="str">
        <f>结果表!D124</f>
        <v>——</v>
      </c>
      <c r="I14" s="1743" t="str">
        <f>结果表!D126</f>
        <v>——</v>
      </c>
      <c r="J14" s="1742"/>
    </row>
    <row r="15" spans="1:10" ht="16.5">
      <c r="A15" s="1741" t="s">
        <v>1349</v>
      </c>
      <c r="B15" s="1748"/>
      <c r="C15" s="1748"/>
      <c r="D15" s="1748"/>
      <c r="E15" s="1743" t="e">
        <f t="shared" ref="E15:E23" si="0">ROUND(D15*10000/B15,0)</f>
        <v>#DIV/0!</v>
      </c>
      <c r="F15" s="1743" t="e">
        <f t="shared" ref="F15:F23" si="1">ROUND(D15*10000/C15,0)</f>
        <v>#DIV/0!</v>
      </c>
      <c r="G15" s="1749"/>
      <c r="H15" s="1749"/>
      <c r="I15" s="1748"/>
      <c r="J15" s="1742"/>
    </row>
    <row r="16" spans="1:10" ht="16.5">
      <c r="A16" s="1741" t="s">
        <v>1348</v>
      </c>
      <c r="B16" s="1748"/>
      <c r="C16" s="1748"/>
      <c r="D16" s="1748"/>
      <c r="E16" s="1743" t="e">
        <f t="shared" si="0"/>
        <v>#DIV/0!</v>
      </c>
      <c r="F16" s="1743" t="e">
        <f t="shared" si="1"/>
        <v>#DIV/0!</v>
      </c>
      <c r="G16" s="1749"/>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C1" sqref="C1"/>
    </sheetView>
  </sheetViews>
  <sheetFormatPr defaultColWidth="12.625" defaultRowHeight="21.75" customHeight="1"/>
  <cols>
    <col min="1" max="2" width="12.625" style="2418"/>
    <col min="3" max="4" width="12.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21" t="s">
        <v>2107</v>
      </c>
      <c r="B1" s="2412"/>
      <c r="C1" s="2413"/>
      <c r="D1" s="2412"/>
      <c r="E1" s="2412"/>
      <c r="F1" s="2414" t="s">
        <v>2108</v>
      </c>
      <c r="G1" s="2071" t="s">
        <v>3049</v>
      </c>
      <c r="H1" s="2415" t="str">
        <f>IF(G1="现房","——","估价对象范围")</f>
        <v>——</v>
      </c>
      <c r="I1" s="2416"/>
    </row>
    <row r="2" spans="1:12" ht="21.75" customHeight="1" thickBot="1">
      <c r="A2" s="3123" t="str">
        <f>项目基本情况!S2</f>
        <v>北京市昌平区超前路37号院20号楼1至4层101号房地产</v>
      </c>
      <c r="B2" s="3124"/>
      <c r="C2" s="3124"/>
      <c r="D2" s="3124"/>
      <c r="E2" s="3124"/>
      <c r="F2" s="3124"/>
      <c r="G2" s="3124"/>
      <c r="H2" s="3124"/>
      <c r="I2" s="3125"/>
    </row>
    <row r="3" spans="1:12" ht="12.75">
      <c r="A3" s="3126" t="s">
        <v>2109</v>
      </c>
      <c r="B3" s="3127"/>
      <c r="C3" s="3127"/>
      <c r="D3" s="3127"/>
      <c r="E3" s="3127"/>
      <c r="F3" s="3127"/>
      <c r="G3" s="3127"/>
      <c r="H3" s="3127"/>
      <c r="I3" s="3127"/>
    </row>
    <row r="4" spans="1:12" ht="14.25">
      <c r="A4" s="2419" t="s">
        <v>2110</v>
      </c>
      <c r="B4" s="2420" t="s">
        <v>2111</v>
      </c>
      <c r="C4" s="2421" t="s">
        <v>3111</v>
      </c>
      <c r="D4" s="2421" t="s">
        <v>3061</v>
      </c>
      <c r="E4" s="3107" t="s">
        <v>2112</v>
      </c>
      <c r="F4" s="3120"/>
      <c r="G4" s="3120"/>
      <c r="H4" s="3120"/>
      <c r="I4" s="3108"/>
      <c r="K4" s="2422" t="str">
        <f>IF(ISNUMBER(FIND("比较法",结果表!C4)),"比较法",IF(ISNUMBER(FIND("成本法",结果表!C4)),"成本法",IF(ISNUMBER(FIND("假设开发法",结果表!C4)),"假设开发法",IF(ISNUMBER(FIND("收益法",结果表!C4)),"收益法","基准地价系数修正法"))))</f>
        <v>比较法</v>
      </c>
      <c r="L4" s="2422" t="str">
        <f>IF(ISNUMBER(FIND("比较法",结果表!D4)),"比较法",IF(ISNUMBER(FIND("成本法",结果表!D4)),"成本法",IF(ISNUMBER(FIND("假设开发法",结果表!D4)),"假设开发法",IF(ISNUMBER(FIND("收益法",结果表!D4)),"收益法","基准地价系数修正法"))))</f>
        <v>收益法</v>
      </c>
    </row>
    <row r="5" spans="1:12" ht="12.75">
      <c r="A5" s="3098" t="s">
        <v>2113</v>
      </c>
      <c r="B5" s="3024">
        <v>25</v>
      </c>
      <c r="C5" s="3128">
        <v>10</v>
      </c>
      <c r="D5" s="3116">
        <v>22</v>
      </c>
      <c r="E5" s="140" t="s">
        <v>2114</v>
      </c>
      <c r="F5" s="2423"/>
      <c r="G5" s="2423"/>
      <c r="H5" s="2423"/>
      <c r="I5" s="1833"/>
    </row>
    <row r="6" spans="1:12" ht="12.75">
      <c r="A6" s="3098"/>
      <c r="B6" s="3024"/>
      <c r="C6" s="3130"/>
      <c r="D6" s="3116"/>
      <c r="E6" s="140" t="s">
        <v>2115</v>
      </c>
      <c r="F6" s="2423"/>
      <c r="G6" s="2423"/>
      <c r="H6" s="2423"/>
      <c r="I6" s="1833"/>
    </row>
    <row r="7" spans="1:12" ht="12.75">
      <c r="A7" s="3098"/>
      <c r="B7" s="3024"/>
      <c r="C7" s="3129"/>
      <c r="D7" s="3116"/>
      <c r="E7" s="140" t="s">
        <v>2116</v>
      </c>
      <c r="F7" s="2423"/>
      <c r="G7" s="2423"/>
      <c r="H7" s="2423"/>
      <c r="I7" s="1833"/>
    </row>
    <row r="8" spans="1:12" ht="12.75">
      <c r="A8" s="3098" t="s">
        <v>2117</v>
      </c>
      <c r="B8" s="3024">
        <v>15</v>
      </c>
      <c r="C8" s="3128">
        <v>8</v>
      </c>
      <c r="D8" s="3116">
        <v>10</v>
      </c>
      <c r="E8" s="140" t="s">
        <v>2118</v>
      </c>
      <c r="F8" s="2423"/>
      <c r="G8" s="2423"/>
      <c r="H8" s="2423"/>
      <c r="I8" s="1833"/>
    </row>
    <row r="9" spans="1:12" ht="12.75">
      <c r="A9" s="3098"/>
      <c r="B9" s="3024"/>
      <c r="C9" s="3129"/>
      <c r="D9" s="3116"/>
      <c r="E9" s="140" t="s">
        <v>2119</v>
      </c>
      <c r="F9" s="2423"/>
      <c r="G9" s="2423"/>
      <c r="H9" s="2423"/>
      <c r="I9" s="1833"/>
    </row>
    <row r="10" spans="1:12" ht="12.75">
      <c r="A10" s="3098" t="s">
        <v>2120</v>
      </c>
      <c r="B10" s="3024">
        <v>15</v>
      </c>
      <c r="C10" s="3128">
        <v>8</v>
      </c>
      <c r="D10" s="3116">
        <v>10</v>
      </c>
      <c r="E10" s="140" t="s">
        <v>2121</v>
      </c>
      <c r="F10" s="2423"/>
      <c r="G10" s="2423"/>
      <c r="H10" s="2423"/>
      <c r="I10" s="1833"/>
    </row>
    <row r="11" spans="1:12" ht="12.75">
      <c r="A11" s="3098"/>
      <c r="B11" s="3024"/>
      <c r="C11" s="3129"/>
      <c r="D11" s="3116"/>
      <c r="E11" s="140" t="s">
        <v>2122</v>
      </c>
      <c r="F11" s="2423"/>
      <c r="G11" s="2423"/>
      <c r="H11" s="2423"/>
      <c r="I11" s="1833"/>
    </row>
    <row r="12" spans="1:12" ht="12.75">
      <c r="A12" s="3098" t="s">
        <v>2123</v>
      </c>
      <c r="B12" s="3024">
        <v>15</v>
      </c>
      <c r="C12" s="3128">
        <v>8</v>
      </c>
      <c r="D12" s="3116">
        <v>10</v>
      </c>
      <c r="E12" s="140" t="s">
        <v>2124</v>
      </c>
      <c r="F12" s="2423"/>
      <c r="G12" s="2423"/>
      <c r="H12" s="2423"/>
      <c r="I12" s="1833"/>
    </row>
    <row r="13" spans="1:12" ht="12.75">
      <c r="A13" s="3098"/>
      <c r="B13" s="3024"/>
      <c r="C13" s="3129"/>
      <c r="D13" s="3116"/>
      <c r="E13" s="140" t="s">
        <v>2125</v>
      </c>
      <c r="F13" s="2423"/>
      <c r="G13" s="2423"/>
      <c r="H13" s="2423"/>
      <c r="I13" s="1833"/>
    </row>
    <row r="14" spans="1:12" ht="12.75">
      <c r="A14" s="3098" t="s">
        <v>2126</v>
      </c>
      <c r="B14" s="3024">
        <v>30</v>
      </c>
      <c r="C14" s="3128">
        <v>15</v>
      </c>
      <c r="D14" s="3116">
        <v>20</v>
      </c>
      <c r="E14" s="140" t="s">
        <v>2127</v>
      </c>
      <c r="F14" s="2423"/>
      <c r="G14" s="2423"/>
      <c r="H14" s="2423"/>
      <c r="I14" s="1833"/>
    </row>
    <row r="15" spans="1:12" ht="12.75">
      <c r="A15" s="3098"/>
      <c r="B15" s="3024"/>
      <c r="C15" s="3130"/>
      <c r="D15" s="3116"/>
      <c r="E15" s="140" t="s">
        <v>2128</v>
      </c>
      <c r="F15" s="2423"/>
      <c r="G15" s="2423"/>
      <c r="H15" s="2423"/>
      <c r="I15" s="1833"/>
    </row>
    <row r="16" spans="1:12" ht="12.75">
      <c r="A16" s="3098"/>
      <c r="B16" s="3024"/>
      <c r="C16" s="3129"/>
      <c r="D16" s="3116"/>
      <c r="E16" s="140" t="s">
        <v>2129</v>
      </c>
      <c r="F16" s="2423"/>
      <c r="G16" s="2423"/>
      <c r="H16" s="2423"/>
      <c r="I16" s="1833"/>
    </row>
    <row r="17" spans="1:35" ht="15">
      <c r="A17" s="2424" t="s">
        <v>2130</v>
      </c>
      <c r="B17" s="64"/>
      <c r="C17" s="141">
        <f>SUM(C5:C16)</f>
        <v>49</v>
      </c>
      <c r="D17" s="141">
        <f>SUM(D5:D16)</f>
        <v>72</v>
      </c>
      <c r="E17" s="138"/>
      <c r="F17" s="138"/>
      <c r="G17" s="138"/>
      <c r="H17" s="138"/>
      <c r="I17" s="138"/>
      <c r="K17" s="2422"/>
      <c r="L17" s="2425" t="s">
        <v>2131</v>
      </c>
      <c r="M17" s="2425" t="s">
        <v>2132</v>
      </c>
    </row>
    <row r="18" spans="1:35" ht="15.75" thickBot="1">
      <c r="A18" s="2426" t="s">
        <v>2133</v>
      </c>
      <c r="B18" s="2427"/>
      <c r="C18" s="142">
        <f>ROUND(C17/SUM(C17:D17),2)</f>
        <v>0.4</v>
      </c>
      <c r="D18" s="142">
        <f>1-C18</f>
        <v>0.6</v>
      </c>
      <c r="E18" s="138"/>
      <c r="F18" s="138"/>
      <c r="G18" s="138"/>
      <c r="H18" s="138"/>
      <c r="I18" s="138"/>
      <c r="K18" s="2422" t="s">
        <v>2134</v>
      </c>
      <c r="L18" s="2422">
        <f>IF(C1="",'数据-汇总表'!E3,SUMIF(项目类型,C1,'数据-汇总表'!E17:E26)+SUMIF(项目类型,C1,'数据-汇总表'!I17:I26))</f>
        <v>1246.4000000000001</v>
      </c>
      <c r="M18" s="2422">
        <f>IF(C1="",'数据-汇总表'!E3,SUMIF(项目类型,C1,'数据-汇总表'!E17:E26))</f>
        <v>1246.4000000000001</v>
      </c>
    </row>
    <row r="19" spans="1:35" ht="15">
      <c r="A19" s="2428" t="s">
        <v>2135</v>
      </c>
      <c r="B19" s="2429" t="s">
        <v>2136</v>
      </c>
      <c r="C19" s="143">
        <f ca="1">SUMIF(INDIRECT("'"&amp;C4&amp;"'"&amp;"!A:A"),结果表!B19,INDIRECT("'"&amp;C4&amp;"'"&amp;"!B:B"))</f>
        <v>2612</v>
      </c>
      <c r="D19" s="144">
        <f ca="1">SUMIF(INDIRECT("'"&amp;D4&amp;"'"&amp;"!A:A"),结果表!B19,INDIRECT("'"&amp;D4&amp;"'"&amp;"!B:B"))</f>
        <v>1699</v>
      </c>
      <c r="E19" s="2428" t="s">
        <v>2137</v>
      </c>
      <c r="F19" s="2429" t="s">
        <v>2136</v>
      </c>
      <c r="G19" s="145">
        <f ca="1">ROUND(C19*$C$18+D19*$D$18,0)</f>
        <v>2064</v>
      </c>
      <c r="H19" s="2430" t="s">
        <v>2138</v>
      </c>
      <c r="I19" s="138"/>
      <c r="K19" s="2422" t="s">
        <v>2139</v>
      </c>
      <c r="L19" s="2422">
        <f>IF(C1="",'数据-汇总表'!D3,SUMIF(项目类型,C1,'数据-汇总表'!D17:D26)+SUMIF(项目类型,C1,'数据-汇总表'!H17:H27))</f>
        <v>0</v>
      </c>
      <c r="M19" s="2422">
        <f>IF(C1="",'数据-汇总表'!D3,SUMIF(项目类型,C1,'数据-汇总表'!D17:D26))</f>
        <v>0</v>
      </c>
    </row>
    <row r="20" spans="1:35" ht="15">
      <c r="A20" s="2431"/>
      <c r="B20" s="1249" t="s">
        <v>2140</v>
      </c>
      <c r="C20" s="146">
        <f ca="1">SUMIF(INDIRECT("'"&amp;C4&amp;"'"&amp;"!A:A"),结果表!B20,INDIRECT("'"&amp;C4&amp;"'"&amp;"!B:B"))</f>
        <v>20953</v>
      </c>
      <c r="D20" s="147">
        <f ca="1">SUMIF(INDIRECT("'"&amp;D4&amp;"'"&amp;"!A:A"),结果表!B20,INDIRECT("'"&amp;D4&amp;"'"&amp;"!B:B"))</f>
        <v>13631</v>
      </c>
      <c r="E20" s="2431"/>
      <c r="F20" s="1249" t="s">
        <v>2140</v>
      </c>
      <c r="G20" s="148">
        <f ca="1">ROUND(C20*$C$18+D20*$D$18,0)</f>
        <v>16560</v>
      </c>
      <c r="H20" s="983" t="s">
        <v>2141</v>
      </c>
      <c r="I20" s="138"/>
    </row>
    <row r="21" spans="1:35" ht="15" customHeight="1" thickBot="1">
      <c r="A21" s="1003"/>
      <c r="B21" s="2432" t="s">
        <v>2142</v>
      </c>
      <c r="C21" s="789" t="e">
        <f ca="1">ROUND(C19*10000/L19,0)</f>
        <v>#DIV/0!</v>
      </c>
      <c r="D21" s="790" t="e">
        <f ca="1">ROUND(D19*10000/L19,0)</f>
        <v>#DIV/0!</v>
      </c>
      <c r="E21" s="1003"/>
      <c r="F21" s="2432" t="s">
        <v>2142</v>
      </c>
      <c r="G21" s="149" t="e">
        <f ca="1">ROUND(G19*10000/L19,0)</f>
        <v>#DIV/0!</v>
      </c>
      <c r="H21" s="2433" t="s">
        <v>2141</v>
      </c>
      <c r="I21" s="138"/>
    </row>
    <row r="22" spans="1:35" ht="15" thickBot="1">
      <c r="A22" s="2277" t="s">
        <v>2143</v>
      </c>
      <c r="B22" s="2434"/>
      <c r="C22" s="2435"/>
      <c r="D22" s="791">
        <f ca="1">IF(C19&lt;D19,D19/C19-1,C19/D19-1)</f>
        <v>0.53737492642731022</v>
      </c>
      <c r="E22" s="138"/>
      <c r="F22" s="138"/>
      <c r="G22" s="138"/>
      <c r="H22" s="138"/>
      <c r="I22" s="138"/>
    </row>
    <row r="23" spans="1:35" ht="12.75">
      <c r="A23" s="2412"/>
      <c r="B23" s="2412"/>
      <c r="C23" s="2412"/>
      <c r="D23" s="2412"/>
      <c r="E23" s="138"/>
      <c r="F23" s="138"/>
      <c r="G23" s="138"/>
      <c r="H23" s="138"/>
      <c r="I23" s="138"/>
    </row>
    <row r="24" spans="1:35" ht="14.25" hidden="1">
      <c r="A24" s="3137" t="s">
        <v>2144</v>
      </c>
      <c r="B24" s="2429" t="s">
        <v>2136</v>
      </c>
      <c r="C24" s="145">
        <f>IF(B30=0,0,D30)</f>
        <v>0</v>
      </c>
      <c r="D24" s="2436"/>
      <c r="E24" s="138"/>
      <c r="F24" s="138"/>
      <c r="G24" s="138"/>
      <c r="H24" s="138"/>
      <c r="I24" s="138"/>
    </row>
    <row r="25" spans="1:35" ht="14.25" hidden="1">
      <c r="A25" s="3138"/>
      <c r="B25" s="1249" t="s">
        <v>2140</v>
      </c>
      <c r="C25" s="150">
        <f>IF(B30=0,0,C30)</f>
        <v>0</v>
      </c>
      <c r="D25" s="2437"/>
      <c r="E25" s="138"/>
      <c r="F25" s="138"/>
      <c r="G25" s="138"/>
      <c r="H25" s="138"/>
      <c r="I25" s="138"/>
    </row>
    <row r="26" spans="1:35" ht="13.5" hidden="1" customHeight="1">
      <c r="A26" s="2438" t="s">
        <v>2145</v>
      </c>
      <c r="B26" s="151" t="s">
        <v>2146</v>
      </c>
      <c r="C26" s="151" t="s">
        <v>2147</v>
      </c>
      <c r="D26" s="152" t="s">
        <v>2148</v>
      </c>
      <c r="E26" s="138"/>
      <c r="F26" s="138"/>
      <c r="G26" s="138"/>
      <c r="H26" s="138"/>
      <c r="I26" s="138"/>
    </row>
    <row r="27" spans="1:35" ht="14.25" hidden="1">
      <c r="A27" s="2438"/>
      <c r="B27" s="151">
        <v>0</v>
      </c>
      <c r="C27" s="151">
        <v>0</v>
      </c>
      <c r="D27" s="152">
        <f>ROUND(C27*B27/10000,0)</f>
        <v>0</v>
      </c>
      <c r="E27" s="138"/>
      <c r="F27" s="138"/>
      <c r="G27" s="138"/>
      <c r="H27" s="138"/>
      <c r="I27" s="138"/>
    </row>
    <row r="28" spans="1:35" ht="14.25" hidden="1">
      <c r="A28" s="2438"/>
      <c r="B28" s="151"/>
      <c r="C28" s="151"/>
      <c r="D28" s="152"/>
      <c r="E28" s="138"/>
      <c r="F28" s="138"/>
      <c r="G28" s="138"/>
      <c r="H28" s="138"/>
      <c r="I28" s="138"/>
    </row>
    <row r="29" spans="1:35" ht="14.25" hidden="1">
      <c r="A29" s="2438"/>
      <c r="B29" s="151"/>
      <c r="C29" s="151"/>
      <c r="D29" s="152"/>
      <c r="E29" s="138"/>
      <c r="F29" s="138"/>
      <c r="G29" s="138"/>
      <c r="H29" s="138"/>
      <c r="I29" s="138"/>
    </row>
    <row r="30" spans="1:35" ht="14.25" hidden="1">
      <c r="A30" s="151" t="s">
        <v>2149</v>
      </c>
      <c r="B30" s="151"/>
      <c r="C30" s="151"/>
      <c r="D30" s="151"/>
      <c r="E30" s="2920" t="s">
        <v>3028</v>
      </c>
      <c r="F30" s="138"/>
      <c r="G30" s="138"/>
      <c r="H30" s="138"/>
      <c r="I30" s="138"/>
    </row>
    <row r="31" spans="1:35" s="2440" customFormat="1" ht="15" hidden="1"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hidden="1" thickBot="1">
      <c r="A32" s="2441" t="s">
        <v>2150</v>
      </c>
      <c r="B32" s="2442"/>
      <c r="C32" s="153">
        <f ca="1">IF(D32="总价",G19-C24,G20-C25)</f>
        <v>2064</v>
      </c>
      <c r="D32" s="2443" t="s">
        <v>2151</v>
      </c>
      <c r="E32" s="138"/>
      <c r="F32" s="138"/>
      <c r="G32" s="138"/>
      <c r="H32" s="138"/>
      <c r="I32" s="138"/>
    </row>
    <row r="33" spans="1:15" ht="15" hidden="1">
      <c r="A33" s="960" t="s">
        <v>2152</v>
      </c>
      <c r="B33" s="2444"/>
      <c r="C33" s="2445"/>
      <c r="D33" s="2446"/>
      <c r="E33" s="2447" t="s">
        <v>2153</v>
      </c>
      <c r="F33" s="2448" t="str">
        <f>IF(D32="楼面单价","取值（单价）","取值（总价）")</f>
        <v>取值（总价）</v>
      </c>
      <c r="G33" s="138"/>
      <c r="H33" s="138"/>
      <c r="I33" s="138"/>
    </row>
    <row r="34" spans="1:15" ht="15" hidden="1">
      <c r="A34" s="2449"/>
      <c r="B34" s="2450" t="s">
        <v>2154</v>
      </c>
      <c r="C34" s="157" t="e">
        <f ca="1">IF(C33="自定义",F34,C32-C35)</f>
        <v>#REF!</v>
      </c>
      <c r="D34" s="1057" t="e">
        <f ca="1">IF(C33="自定义",ROUND(C34/C32,3),IF(C33="收益比率",SUMIF(INDIRECT("'"&amp;D33&amp;"'"&amp;"!b:b"),"土地收益比率",INDIRECT("'"&amp;D33&amp;"'"&amp;"!c:c")),SUMIF(INDIRECT("'"&amp;D33&amp;"'"&amp;"!b:b"),"土地成本比率",INDIRECT("'"&amp;D33&amp;"'"&amp;"!c:c"))))</f>
        <v>#REF!</v>
      </c>
      <c r="E34" s="2451" t="s">
        <v>2155</v>
      </c>
      <c r="F34" s="1738"/>
      <c r="G34" s="138"/>
      <c r="H34" s="138"/>
      <c r="I34" s="138"/>
    </row>
    <row r="35" spans="1:15" ht="15.75" hidden="1" thickBot="1">
      <c r="A35" s="2452"/>
      <c r="B35" s="2453" t="s">
        <v>2156</v>
      </c>
      <c r="C35" s="1443" t="e">
        <f ca="1">IF(C33="自定义",F35,ROUND(C32*D35,0))</f>
        <v>#REF!</v>
      </c>
      <c r="D35" s="1444" t="e">
        <f ca="1">IF(C33="自定义",ROUND(C35/C32,3),IF(C33="收益比率",SUMIF(INDIRECT("'"&amp;D33&amp;"'"&amp;"!b:b"),"建筑物收益比率",INDIRECT("'"&amp;D33&amp;"'"&amp;"!c:c")),SUMIF(INDIRECT("'"&amp;D33&amp;"'"&amp;"!b:b"),"建筑物成本比率",INDIRECT("'"&amp;D33&amp;"'"&amp;"!c:c"))))</f>
        <v>#REF!</v>
      </c>
      <c r="E35" s="2454" t="s">
        <v>2157</v>
      </c>
      <c r="F35" s="163"/>
      <c r="G35" s="138"/>
      <c r="H35" s="138"/>
      <c r="I35" s="138"/>
    </row>
    <row r="36" spans="1:15" ht="15.75" hidden="1" thickBot="1">
      <c r="A36" s="3117" t="s">
        <v>2158</v>
      </c>
      <c r="B36" s="2455" t="s">
        <v>2159</v>
      </c>
      <c r="C36" s="154"/>
      <c r="D36" s="2456"/>
      <c r="E36" s="2457"/>
      <c r="F36" s="2458"/>
      <c r="G36" s="138"/>
      <c r="H36" s="138"/>
      <c r="I36" s="138"/>
    </row>
    <row r="37" spans="1:15" ht="15.75" hidden="1" thickBot="1">
      <c r="A37" s="3118"/>
      <c r="B37" s="2263" t="s">
        <v>2160</v>
      </c>
      <c r="C37" s="156"/>
      <c r="D37" s="1394"/>
      <c r="E37" s="1394"/>
      <c r="F37" s="2458"/>
      <c r="G37" s="138"/>
      <c r="H37" s="138"/>
      <c r="I37" s="138"/>
    </row>
    <row r="38" spans="1:15" ht="15.75" hidden="1" thickBot="1">
      <c r="A38" s="3119"/>
      <c r="B38" s="2459" t="s">
        <v>2161</v>
      </c>
      <c r="C38" s="727"/>
      <c r="D38" s="2460" t="s">
        <v>2162</v>
      </c>
      <c r="E38" s="1394"/>
      <c r="F38" s="2458"/>
      <c r="G38" s="138"/>
      <c r="H38" s="138"/>
      <c r="I38" s="138"/>
    </row>
    <row r="39" spans="1:15" ht="15" hidden="1">
      <c r="A39" s="2431" t="s">
        <v>2163</v>
      </c>
      <c r="B39" s="2461" t="s">
        <v>2164</v>
      </c>
      <c r="C39" s="2462" t="s">
        <v>2165</v>
      </c>
      <c r="D39" s="2462" t="s">
        <v>2166</v>
      </c>
      <c r="E39" s="2463" t="s">
        <v>2167</v>
      </c>
      <c r="F39" s="2458"/>
      <c r="G39" s="138"/>
      <c r="H39" s="138"/>
      <c r="I39" s="138"/>
    </row>
    <row r="40" spans="1:15" ht="14.25" hidden="1">
      <c r="A40" s="2464" t="s">
        <v>2168</v>
      </c>
      <c r="B40" s="158"/>
      <c r="C40" s="159"/>
      <c r="D40" s="159"/>
      <c r="E40" s="160"/>
      <c r="F40" s="2458"/>
      <c r="G40" s="138"/>
      <c r="H40" s="138"/>
      <c r="I40" s="138"/>
    </row>
    <row r="41" spans="1:15" ht="14.25" hidden="1">
      <c r="A41" s="2464" t="s">
        <v>2169</v>
      </c>
      <c r="B41" s="158"/>
      <c r="C41" s="159"/>
      <c r="D41" s="159"/>
      <c r="E41" s="160"/>
      <c r="F41" s="2458"/>
      <c r="G41" s="138"/>
      <c r="H41" s="138"/>
      <c r="I41" s="138"/>
    </row>
    <row r="42" spans="1:15" ht="15" hidden="1" thickBot="1">
      <c r="A42" s="2465"/>
      <c r="B42" s="161"/>
      <c r="C42" s="162"/>
      <c r="D42" s="162"/>
      <c r="E42" s="163"/>
      <c r="F42" s="2458"/>
      <c r="G42" s="138"/>
      <c r="H42" s="138"/>
      <c r="I42" s="138"/>
    </row>
    <row r="43" spans="1:15" ht="12.75" hidden="1">
      <c r="A43" s="2161"/>
      <c r="B43" s="2161"/>
      <c r="C43" s="2161"/>
      <c r="D43" s="2161"/>
      <c r="E43" s="2161"/>
      <c r="F43" s="2466"/>
      <c r="G43" s="2466"/>
      <c r="H43" s="2466"/>
      <c r="I43" s="2467"/>
    </row>
    <row r="44" spans="1:15" ht="18.75" hidden="1">
      <c r="A44" s="2468" t="s">
        <v>2170</v>
      </c>
      <c r="B44" s="2469"/>
      <c r="C44" s="2469"/>
      <c r="D44" s="2470"/>
      <c r="E44" s="2470"/>
      <c r="F44" s="2471"/>
      <c r="G44" s="2471"/>
      <c r="H44" s="2471"/>
      <c r="I44" s="2471"/>
      <c r="J44" s="2472" t="s">
        <v>2171</v>
      </c>
      <c r="K44" s="2473"/>
      <c r="L44" s="2473"/>
      <c r="M44" s="2473"/>
      <c r="N44" s="2473"/>
      <c r="O44" s="2473"/>
    </row>
    <row r="45" spans="1:15" ht="14.25" hidden="1" customHeight="1" thickBot="1">
      <c r="A45" s="3134" t="s">
        <v>2172</v>
      </c>
      <c r="B45" s="3135"/>
      <c r="C45" s="3136"/>
      <c r="D45" s="164">
        <f ca="1">ROUND(H101*F45,0)</f>
        <v>2064</v>
      </c>
      <c r="E45" s="165" t="s">
        <v>2173</v>
      </c>
      <c r="F45" s="166">
        <v>1</v>
      </c>
      <c r="G45" s="167" t="s">
        <v>2174</v>
      </c>
      <c r="H45" s="138"/>
      <c r="I45" s="138"/>
      <c r="J45" s="3053" t="s">
        <v>2175</v>
      </c>
      <c r="K45" s="3053"/>
      <c r="L45" s="3053"/>
      <c r="M45" s="3053"/>
      <c r="N45" s="3053"/>
      <c r="O45" s="3053"/>
    </row>
    <row r="46" spans="1:15" ht="14.25" hidden="1" customHeight="1">
      <c r="A46" s="3131" t="s">
        <v>2176</v>
      </c>
      <c r="B46" s="3132"/>
      <c r="C46" s="3132"/>
      <c r="D46" s="3132"/>
      <c r="E46" s="3132"/>
      <c r="F46" s="3132"/>
      <c r="G46" s="3133"/>
      <c r="H46" s="2474"/>
      <c r="I46" s="168"/>
      <c r="J46" s="1811">
        <v>1</v>
      </c>
      <c r="K46" s="3053" t="s">
        <v>2177</v>
      </c>
      <c r="L46" s="3053"/>
      <c r="M46" s="3054"/>
      <c r="N46" s="3054"/>
      <c r="O46" s="3054"/>
    </row>
    <row r="47" spans="1:15" ht="12" hidden="1" customHeight="1">
      <c r="A47" s="169" t="s">
        <v>2178</v>
      </c>
      <c r="B47" s="170"/>
      <c r="C47" s="171"/>
      <c r="D47" s="172" t="s">
        <v>2179</v>
      </c>
      <c r="E47" s="24" t="s">
        <v>2180</v>
      </c>
      <c r="F47" s="173" t="s">
        <v>2181</v>
      </c>
      <c r="G47" s="174" t="s">
        <v>2182</v>
      </c>
      <c r="H47" s="2474"/>
      <c r="I47" s="168"/>
      <c r="J47" s="1811">
        <v>2</v>
      </c>
      <c r="K47" s="3053" t="s">
        <v>2183</v>
      </c>
      <c r="L47" s="3053"/>
      <c r="M47" s="3055">
        <f>'数据-取费表'!B2</f>
        <v>43165</v>
      </c>
      <c r="N47" s="3055"/>
      <c r="O47" s="3055"/>
    </row>
    <row r="48" spans="1:15" ht="25.5" hidden="1">
      <c r="A48" s="3121" t="s">
        <v>2184</v>
      </c>
      <c r="B48" s="3122"/>
      <c r="C48" s="3122"/>
      <c r="D48" s="140">
        <f>IF(H48="情况1",0,IF(H48="情况2",D52,IF(H48="情况3",D53,IF(H48="情况4",D54))))</f>
        <v>0</v>
      </c>
      <c r="E48" s="1800" t="str">
        <f>IF(H48="情况4","(销售额-原购置价)×税（费）率","销售额×税（费）率")</f>
        <v>销售额×税（费）率</v>
      </c>
      <c r="F48" s="175" t="str">
        <f>IF(H48="情况1","免征",'数据-取费表'!B41)</f>
        <v>免征</v>
      </c>
      <c r="G48" s="2475" t="s">
        <v>2185</v>
      </c>
      <c r="H48" s="2476" t="s">
        <v>2186</v>
      </c>
      <c r="I48" s="2474"/>
      <c r="J48" s="1811">
        <v>3</v>
      </c>
      <c r="K48" s="3053" t="s">
        <v>2187</v>
      </c>
      <c r="L48" s="3053"/>
      <c r="M48" s="3056">
        <f ca="1">H101</f>
        <v>2064</v>
      </c>
      <c r="N48" s="3056"/>
      <c r="O48" s="3056"/>
    </row>
    <row r="49" spans="1:35" ht="25.5" hidden="1" customHeight="1">
      <c r="A49" s="176" t="s">
        <v>2188</v>
      </c>
      <c r="B49" s="3101" t="s">
        <v>2189</v>
      </c>
      <c r="C49" s="3101"/>
      <c r="D49" s="177">
        <v>0</v>
      </c>
      <c r="E49" s="23" t="s">
        <v>2190</v>
      </c>
      <c r="F49" s="28" t="s">
        <v>34</v>
      </c>
      <c r="G49" s="3082"/>
      <c r="H49" s="138"/>
      <c r="I49" s="2477"/>
      <c r="J49" s="1811">
        <v>4</v>
      </c>
      <c r="K49" s="3053" t="str">
        <f>IF(项目基本情况!E8="房地产抵押价值","房地产抵押价值","抵押担保权已注销时的房地产抵押价值")</f>
        <v>房地产抵押价值</v>
      </c>
      <c r="L49" s="3053"/>
      <c r="M49" s="3056">
        <f ca="1">IF(项目基本情况!E8="房地产抵押价值",H107,H109)</f>
        <v>2064</v>
      </c>
      <c r="N49" s="3056"/>
      <c r="O49" s="3056"/>
    </row>
    <row r="50" spans="1:35" ht="25.5" hidden="1" customHeight="1">
      <c r="A50" s="178"/>
      <c r="B50" s="3101" t="s">
        <v>2191</v>
      </c>
      <c r="C50" s="3101"/>
      <c r="D50" s="179"/>
      <c r="E50" s="31"/>
      <c r="F50" s="180"/>
      <c r="G50" s="3083"/>
      <c r="H50" s="138"/>
      <c r="I50" s="2477"/>
      <c r="J50" s="3053" t="s">
        <v>2192</v>
      </c>
      <c r="K50" s="3053"/>
      <c r="L50" s="3053"/>
      <c r="M50" s="3053"/>
      <c r="N50" s="3053"/>
      <c r="O50" s="3053"/>
    </row>
    <row r="51" spans="1:35" ht="12" hidden="1" customHeight="1">
      <c r="A51" s="181"/>
      <c r="B51" s="3101" t="s">
        <v>2193</v>
      </c>
      <c r="C51" s="3101"/>
      <c r="D51" s="182"/>
      <c r="E51" s="30"/>
      <c r="F51" s="180"/>
      <c r="G51" s="3084"/>
      <c r="H51" s="138"/>
      <c r="I51" s="2477"/>
      <c r="J51" s="2478" t="s">
        <v>2194</v>
      </c>
      <c r="K51" s="3053" t="s">
        <v>2195</v>
      </c>
      <c r="L51" s="3053"/>
      <c r="M51" s="2478" t="s">
        <v>2196</v>
      </c>
      <c r="N51" s="2478" t="s">
        <v>2197</v>
      </c>
      <c r="O51" s="2478" t="s">
        <v>2198</v>
      </c>
    </row>
    <row r="52" spans="1:35" ht="24" hidden="1" customHeight="1">
      <c r="A52" s="183" t="s">
        <v>2199</v>
      </c>
      <c r="B52" s="3101" t="s">
        <v>2200</v>
      </c>
      <c r="C52" s="3101"/>
      <c r="D52" s="182">
        <f ca="1">ROUND(D45*'数据-取费表'!B41/(1+'数据-取费表'!C42),0)</f>
        <v>108</v>
      </c>
      <c r="E52" s="11" t="s">
        <v>2201</v>
      </c>
      <c r="F52" s="184">
        <f>'数据-取费表'!B41</f>
        <v>5.5000000000000007E-2</v>
      </c>
      <c r="G52" s="2479"/>
      <c r="H52" s="138"/>
      <c r="I52" s="2477"/>
      <c r="J52" s="1811">
        <v>1</v>
      </c>
      <c r="K52" s="3076" t="s">
        <v>2202</v>
      </c>
      <c r="L52" s="3076"/>
      <c r="M52" s="1753">
        <f>D48</f>
        <v>0</v>
      </c>
      <c r="N52" s="1811" t="str">
        <f>E48</f>
        <v>销售额×税（费）率</v>
      </c>
      <c r="O52" s="1754" t="str">
        <f>F48</f>
        <v>免征</v>
      </c>
    </row>
    <row r="53" spans="1:35" ht="12" hidden="1" customHeight="1">
      <c r="A53" s="183" t="s">
        <v>2203</v>
      </c>
      <c r="B53" s="3102" t="s">
        <v>2204</v>
      </c>
      <c r="C53" s="3103"/>
      <c r="D53" s="182">
        <f ca="1">ROUND(D45*'数据-取费表'!B41/(1+'数据-取费表'!C42),0)</f>
        <v>108</v>
      </c>
      <c r="E53" s="11" t="s">
        <v>2201</v>
      </c>
      <c r="F53" s="184">
        <f>'数据-取费表'!B41</f>
        <v>5.5000000000000007E-2</v>
      </c>
      <c r="G53" s="2479"/>
      <c r="H53" s="138"/>
      <c r="I53" s="2477"/>
      <c r="J53" s="1811">
        <v>2</v>
      </c>
      <c r="K53" s="3076" t="s">
        <v>2205</v>
      </c>
      <c r="L53" s="3076"/>
      <c r="M53" s="1753">
        <f t="shared" ref="M53:O54" ca="1" si="0">D55</f>
        <v>1</v>
      </c>
      <c r="N53" s="1811" t="str">
        <f t="shared" si="0"/>
        <v>销售额×税（费）率</v>
      </c>
      <c r="O53" s="1754">
        <f t="shared" si="0"/>
        <v>5.0000000000000001E-4</v>
      </c>
    </row>
    <row r="54" spans="1:35" ht="12" hidden="1" customHeight="1">
      <c r="A54" s="183" t="s">
        <v>2206</v>
      </c>
      <c r="B54" s="3102" t="s">
        <v>2207</v>
      </c>
      <c r="C54" s="3103"/>
      <c r="D54" s="182">
        <f ca="1">C68</f>
        <v>108</v>
      </c>
      <c r="E54" s="30" t="s">
        <v>2208</v>
      </c>
      <c r="F54" s="184">
        <f>'数据-取费表'!B41</f>
        <v>5.5000000000000007E-2</v>
      </c>
      <c r="G54" s="2479"/>
      <c r="H54" s="2480"/>
      <c r="I54" s="2477"/>
      <c r="J54" s="1811">
        <v>3</v>
      </c>
      <c r="K54" s="3076" t="s">
        <v>2209</v>
      </c>
      <c r="L54" s="3076"/>
      <c r="M54" s="1753">
        <f t="shared" ca="1" si="0"/>
        <v>1170</v>
      </c>
      <c r="N54" s="1811" t="str">
        <f t="shared" si="0"/>
        <v>增值额×税（费）率</v>
      </c>
      <c r="O54" s="1755" t="str">
        <f t="shared" si="0"/>
        <v>——</v>
      </c>
    </row>
    <row r="55" spans="1:35" ht="24" hidden="1" customHeight="1">
      <c r="A55" s="3140" t="s">
        <v>2210</v>
      </c>
      <c r="B55" s="3122"/>
      <c r="C55" s="3122"/>
      <c r="D55" s="185">
        <f ca="1">IF(H55="个人住宅",0,ROUND(D45*I55,0))</f>
        <v>1</v>
      </c>
      <c r="E55" s="11" t="s">
        <v>2211</v>
      </c>
      <c r="F55" s="184">
        <f>IF(H55="正常",I55,"免征")</f>
        <v>5.0000000000000001E-4</v>
      </c>
      <c r="G55" s="2479"/>
      <c r="H55" s="2476" t="s">
        <v>2212</v>
      </c>
      <c r="I55" s="186">
        <f>'数据-取费表'!B49</f>
        <v>5.0000000000000001E-4</v>
      </c>
      <c r="J55" s="1811" t="str">
        <f>IF(H59="非个人房产","",4)</f>
        <v/>
      </c>
      <c r="K55" s="3076" t="str">
        <f>IF(H59="非个人房产","——","个人所得税")</f>
        <v>——</v>
      </c>
      <c r="L55" s="3076"/>
      <c r="M55" s="1756" t="str">
        <f>D59</f>
        <v>——</v>
      </c>
      <c r="N55" s="1809" t="str">
        <f>E59</f>
        <v>——</v>
      </c>
      <c r="O55" s="1757" t="str">
        <f>F59</f>
        <v>——</v>
      </c>
    </row>
    <row r="56" spans="1:35" ht="24.75" hidden="1">
      <c r="A56" s="3140" t="s">
        <v>2213</v>
      </c>
      <c r="B56" s="3122"/>
      <c r="C56" s="3122"/>
      <c r="D56" s="185">
        <f ca="1">IF(H56="个人住宅",D57,D58)</f>
        <v>1170</v>
      </c>
      <c r="E56" s="11" t="s">
        <v>2214</v>
      </c>
      <c r="F56" s="184" t="str">
        <f>IF(H56="正常",F58,"免征")</f>
        <v>——</v>
      </c>
      <c r="G56" s="2481" t="s">
        <v>2215</v>
      </c>
      <c r="H56" s="2482" t="s">
        <v>2212</v>
      </c>
      <c r="I56" s="2483"/>
      <c r="J56" s="1811" t="str">
        <f>IF(项目基本情况!K6="上海银行",IF(J55="",4,J55+1),"")</f>
        <v/>
      </c>
      <c r="K56" s="3059" t="str">
        <f>IF(项目基本情况!K6="上海银行","其他处置费用","")</f>
        <v/>
      </c>
      <c r="L56" s="3060"/>
      <c r="M56" s="1753" t="str">
        <f>IF(项目基本情况!K6="上海银行",M69,"")</f>
        <v/>
      </c>
      <c r="N56" s="3062" t="str">
        <f>IF(项目基本情况!K6="上海银行","包含处置中涉及的律师、诉讼、拍卖、评估等费用","")</f>
        <v/>
      </c>
      <c r="O56" s="3063"/>
    </row>
    <row r="57" spans="1:35" ht="12.75" hidden="1">
      <c r="A57" s="183" t="s">
        <v>2188</v>
      </c>
      <c r="B57" s="3107" t="s">
        <v>2216</v>
      </c>
      <c r="C57" s="3108"/>
      <c r="D57" s="187">
        <v>0</v>
      </c>
      <c r="E57" s="23" t="s">
        <v>2190</v>
      </c>
      <c r="F57" s="155"/>
      <c r="G57" s="2479"/>
      <c r="H57" s="2483"/>
      <c r="I57" s="2483"/>
      <c r="J57" s="3076">
        <f>IF(AND(J55="",J56=""),4,IF(项目基本情况!K6="上海银行",结果表!J56+1,结果表!J55+1))</f>
        <v>4</v>
      </c>
      <c r="K57" s="3076" t="s">
        <v>2217</v>
      </c>
      <c r="L57" s="2484" t="s">
        <v>2218</v>
      </c>
      <c r="M57" s="1758"/>
      <c r="N57" s="1759">
        <f ca="1">SUMIF(M52:M56,"&lt;9e307")</f>
        <v>1171</v>
      </c>
      <c r="O57" s="2485"/>
      <c r="P57" s="1752">
        <f ca="1">N57/M49</f>
        <v>0.56734496124031009</v>
      </c>
    </row>
    <row r="58" spans="1:35" ht="24.75" hidden="1">
      <c r="A58" s="183" t="s">
        <v>2199</v>
      </c>
      <c r="B58" s="3107" t="s">
        <v>2219</v>
      </c>
      <c r="C58" s="3120"/>
      <c r="D58" s="185">
        <f ca="1">IF(H58="转让取得",C81,C97)</f>
        <v>1170</v>
      </c>
      <c r="E58" s="11" t="s">
        <v>2214</v>
      </c>
      <c r="F58" s="24" t="s">
        <v>34</v>
      </c>
      <c r="G58" s="2479"/>
      <c r="H58" s="2482" t="s">
        <v>2220</v>
      </c>
      <c r="I58" s="2483"/>
      <c r="J58" s="3076"/>
      <c r="K58" s="3076"/>
      <c r="L58" s="2484" t="s">
        <v>2221</v>
      </c>
      <c r="M58" s="1760"/>
      <c r="N58" s="2486" t="str">
        <f ca="1">NUMBERSTRING(INT(N57*10000),2)&amp;"元整"</f>
        <v>壹仟壹佰柒拾壹万元整</v>
      </c>
      <c r="O58" s="2487"/>
    </row>
    <row r="59" spans="1:35" ht="24.75" hidden="1" thickBot="1">
      <c r="A59" s="3080" t="s">
        <v>2222</v>
      </c>
      <c r="B59" s="3081"/>
      <c r="C59" s="3081"/>
      <c r="D59" s="188" t="str">
        <f>IF(H59="非个人房产","——",IF(H59="个人住宅",0,ROUND(D45*I59,0)))</f>
        <v>——</v>
      </c>
      <c r="E59" s="189" t="str">
        <f>IF(H59="非个人房产","——","销售额×税（费）率")</f>
        <v>——</v>
      </c>
      <c r="F59" s="190" t="str">
        <f>IF(H59="非个人房产","——",IF(H59="个人住宅","免征",I59))</f>
        <v>——</v>
      </c>
      <c r="G59" s="2488" t="s">
        <v>2215</v>
      </c>
      <c r="H59" s="2482" t="s">
        <v>2223</v>
      </c>
      <c r="I59" s="191">
        <v>0.01</v>
      </c>
      <c r="J59" s="3078">
        <f>J57+1</f>
        <v>5</v>
      </c>
      <c r="K59" s="3076" t="s">
        <v>2224</v>
      </c>
      <c r="L59" s="1811" t="s">
        <v>2218</v>
      </c>
      <c r="M59" s="1761"/>
      <c r="N59" s="1762">
        <f ca="1">M49-N57</f>
        <v>893</v>
      </c>
      <c r="O59" s="2489"/>
    </row>
    <row r="60" spans="1:35" ht="12" hidden="1" customHeight="1">
      <c r="A60" s="2490"/>
      <c r="B60" s="2412"/>
      <c r="C60" s="2412"/>
      <c r="D60" s="2412"/>
      <c r="E60" s="2162"/>
      <c r="F60" s="2483"/>
      <c r="G60" s="2483"/>
      <c r="H60" s="2491"/>
      <c r="I60" s="138"/>
      <c r="J60" s="3079"/>
      <c r="K60" s="3076"/>
      <c r="L60" s="2484" t="s">
        <v>2221</v>
      </c>
      <c r="M60" s="1760"/>
      <c r="N60" s="2486" t="str">
        <f ca="1">NUMBERSTRING(INT(N59*10000),2)&amp;"元整"</f>
        <v>捌佰玖拾叁万元整</v>
      </c>
      <c r="O60" s="2487"/>
    </row>
    <row r="61" spans="1:35" ht="13.5" hidden="1" thickBot="1">
      <c r="A61" s="3139" t="s">
        <v>2225</v>
      </c>
      <c r="B61" s="3139"/>
      <c r="C61" s="3139"/>
      <c r="D61" s="3139"/>
      <c r="E61" s="3139"/>
      <c r="F61" s="2483"/>
      <c r="G61" s="2483"/>
      <c r="H61" s="2491"/>
      <c r="I61" s="138"/>
      <c r="J61" s="1811">
        <f>J59+1</f>
        <v>6</v>
      </c>
      <c r="K61" s="3076" t="s">
        <v>2226</v>
      </c>
      <c r="L61" s="3076"/>
      <c r="M61" s="1763"/>
      <c r="N61" s="1764">
        <f ca="1">ROUND(N59*10000/'数据-汇总表'!E3,0)</f>
        <v>7165</v>
      </c>
      <c r="O61" s="2492"/>
    </row>
    <row r="62" spans="1:35" ht="12.75" hidden="1">
      <c r="A62" s="3096" t="s">
        <v>2227</v>
      </c>
      <c r="B62" s="3097"/>
      <c r="C62" s="1803"/>
      <c r="D62" s="1803" t="s">
        <v>2228</v>
      </c>
      <c r="E62" s="192" t="s">
        <v>2229</v>
      </c>
      <c r="F62" s="2483"/>
      <c r="G62" s="2483"/>
      <c r="H62" s="2491"/>
      <c r="I62" s="138"/>
    </row>
    <row r="63" spans="1:35" ht="12.75" hidden="1">
      <c r="A63" s="203" t="s">
        <v>775</v>
      </c>
      <c r="B63" s="193" t="s">
        <v>2230</v>
      </c>
      <c r="C63" s="194">
        <f ca="1">ROUND((C64+C65)/(1+'数据-取费表'!C42),0)</f>
        <v>1966</v>
      </c>
      <c r="D63" s="195"/>
      <c r="E63" s="196"/>
      <c r="F63" s="2483"/>
      <c r="G63" s="2483"/>
      <c r="H63" s="2491"/>
      <c r="I63" s="138"/>
      <c r="J63" s="3061" t="s">
        <v>2231</v>
      </c>
      <c r="K63" s="2493" t="s">
        <v>2232</v>
      </c>
      <c r="L63" s="1751">
        <f ca="1">IF(M49&gt;10000,M49*0.5%,IF(AND(M49&gt;1000,M49&lt;=10000),M49*1%,IF(AND(M49&gt;100,M49&lt;=1000),M49*3%,IF(AND(M49&gt;10,M49&lt;=100),M49*5%,M49*8%))))</f>
        <v>20.64</v>
      </c>
      <c r="M63" s="24">
        <f ca="1">ROUND(L63,1)</f>
        <v>20.6</v>
      </c>
      <c r="Z63" s="2417"/>
      <c r="AI63" s="2418"/>
    </row>
    <row r="64" spans="1:35" ht="14.25" hidden="1" customHeight="1">
      <c r="A64" s="197" t="s">
        <v>770</v>
      </c>
      <c r="B64" s="198" t="s">
        <v>2233</v>
      </c>
      <c r="C64" s="199">
        <f ca="1">D45</f>
        <v>2064</v>
      </c>
      <c r="D64" s="200" t="s">
        <v>32</v>
      </c>
      <c r="E64" s="201"/>
      <c r="F64" s="2483"/>
      <c r="G64" s="2483"/>
      <c r="H64" s="2491"/>
      <c r="I64" s="138"/>
      <c r="J64" s="3061"/>
      <c r="K64" s="2493" t="s">
        <v>2234</v>
      </c>
      <c r="L64" s="1751">
        <f ca="1">IF(M49&gt;2000,M49*0.5%,IF(AND(M49&gt;1000,M49&lt;=2000),M49*0.6%,IF(AND(M49&gt;500,M49&lt;=1000),M49*0.7%,IF(AND(M49&gt;200,M49&lt;=500),M49*0.8%,IF(AND(M49&gt;100,M49&lt;=200),M49*0.9%,IF(AND(M49&gt;50,M49&lt;=100),M49*1%,IF(AND(M49&gt;20,M49&lt;=50),M49*1.5%,IF(AND(M49&gt;10,M49&lt;=20),M49*2%,IF(AND(M49&gt;1,M49&lt;=10),M49*2.5%)))))))))</f>
        <v>10.32</v>
      </c>
      <c r="M64" s="24">
        <f t="shared" ref="M64:M65" ca="1" si="1">ROUND(L64,1)</f>
        <v>10.3</v>
      </c>
      <c r="N64" s="138" t="s">
        <v>2235</v>
      </c>
      <c r="Z64" s="2417"/>
      <c r="AI64" s="2418"/>
    </row>
    <row r="65" spans="1:35" ht="14.25" hidden="1" customHeight="1">
      <c r="A65" s="197" t="s">
        <v>771</v>
      </c>
      <c r="B65" s="198" t="s">
        <v>2236</v>
      </c>
      <c r="C65" s="202"/>
      <c r="D65" s="200"/>
      <c r="E65" s="201"/>
      <c r="F65" s="2483"/>
      <c r="G65" s="2483"/>
      <c r="H65" s="2491"/>
      <c r="I65" s="138"/>
      <c r="J65" s="3061"/>
      <c r="K65" s="2493" t="s">
        <v>2237</v>
      </c>
      <c r="L65" s="1751">
        <f ca="1">IF(M49&gt;1000,M49*0.1%,IF(AND(M49&gt;500,M49&lt;=1000),M49*0.5%,IF(AND(M49&gt;50,M49&lt;=500),M49*1%,IF(AND(M49&gt;1,M49&lt;=50),M49*1.5%))))</f>
        <v>2.0640000000000001</v>
      </c>
      <c r="M65" s="24">
        <f t="shared" ca="1" si="1"/>
        <v>2.1</v>
      </c>
      <c r="N65" s="138" t="s">
        <v>2235</v>
      </c>
      <c r="Z65" s="2417"/>
      <c r="AI65" s="2418"/>
    </row>
    <row r="66" spans="1:35" ht="14.25" hidden="1" customHeight="1">
      <c r="A66" s="203" t="s">
        <v>772</v>
      </c>
      <c r="B66" s="204" t="s">
        <v>2238</v>
      </c>
      <c r="C66" s="205"/>
      <c r="D66" s="206" t="s">
        <v>32</v>
      </c>
      <c r="E66" s="1775" t="s">
        <v>1371</v>
      </c>
      <c r="F66" s="2483"/>
      <c r="G66" s="2483"/>
      <c r="H66" s="2491"/>
      <c r="I66" s="138"/>
      <c r="J66" s="3061"/>
      <c r="K66" s="2493" t="s">
        <v>2239</v>
      </c>
      <c r="L66" s="1751">
        <f ca="1">M49*0.5%</f>
        <v>10.32</v>
      </c>
      <c r="M66" s="24">
        <f ca="1">IF(L66&gt;0.5,0.5,ROUND(L66,0))</f>
        <v>0.5</v>
      </c>
      <c r="N66" s="138" t="s">
        <v>2240</v>
      </c>
      <c r="Z66" s="2417"/>
      <c r="AI66" s="2418"/>
    </row>
    <row r="67" spans="1:35" ht="14.25" hidden="1" customHeight="1">
      <c r="A67" s="203" t="s">
        <v>773</v>
      </c>
      <c r="B67" s="204" t="s">
        <v>2241</v>
      </c>
      <c r="C67" s="207">
        <f ca="1">C63-C66</f>
        <v>1966</v>
      </c>
      <c r="D67" s="200" t="s">
        <v>32</v>
      </c>
      <c r="E67" s="201"/>
      <c r="F67" s="2483"/>
      <c r="G67" s="2483"/>
      <c r="H67" s="2491"/>
      <c r="I67" s="138"/>
      <c r="J67" s="3061"/>
      <c r="K67" s="2493" t="s">
        <v>2242</v>
      </c>
      <c r="L67" s="1751">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7"/>
      <c r="AI67" s="2418"/>
    </row>
    <row r="68" spans="1:35" ht="14.25" hidden="1" customHeight="1" thickBot="1">
      <c r="A68" s="208" t="s">
        <v>774</v>
      </c>
      <c r="B68" s="209" t="s">
        <v>2243</v>
      </c>
      <c r="C68" s="210">
        <f ca="1">IF(C67&lt;=0,0,ROUND(C67*D68,0))</f>
        <v>108</v>
      </c>
      <c r="D68" s="211">
        <f>'数据-取费表'!B41</f>
        <v>5.5000000000000007E-2</v>
      </c>
      <c r="E68" s="212"/>
      <c r="F68" s="2483"/>
      <c r="G68" s="2483"/>
      <c r="H68" s="2491"/>
      <c r="I68" s="138"/>
      <c r="J68" s="3061"/>
      <c r="K68" s="2493" t="s">
        <v>2244</v>
      </c>
      <c r="L68" s="1751">
        <f ca="1">IF(M49&gt;10000,M49*0.5%,IF(AND(M49&gt;5000,M49&lt;=10000),M49*1%,IF(AND(M49&gt;1000,M49&lt;=5000),M49*2%,IF(AND(M49&gt;200,M49&lt;=1000),M49*3%,M49*5%))))</f>
        <v>41.28</v>
      </c>
      <c r="M68" s="24">
        <f ca="1">ROUND(L68,1)</f>
        <v>41.3</v>
      </c>
      <c r="Z68" s="2417"/>
      <c r="AI68" s="2418"/>
    </row>
    <row r="69" spans="1:35" s="2440" customFormat="1" ht="16.5" hidden="1" customHeight="1">
      <c r="A69" s="2494"/>
      <c r="B69" s="2495"/>
      <c r="C69" s="2496"/>
      <c r="D69" s="2497"/>
      <c r="E69" s="2498"/>
      <c r="F69" s="2162"/>
      <c r="G69" s="2162"/>
      <c r="H69" s="2161"/>
      <c r="I69" s="2412"/>
      <c r="J69" s="3061"/>
      <c r="K69" s="2493" t="s">
        <v>2245</v>
      </c>
      <c r="L69" s="2499"/>
      <c r="M69" s="24">
        <f ca="1">ROUND(SUM(M63:M68),0)</f>
        <v>77</v>
      </c>
      <c r="N69" s="1752">
        <f ca="1">M69/M49</f>
        <v>3.7306201550387594E-2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hidden="1" thickBot="1">
      <c r="A70" s="3105" t="s">
        <v>2246</v>
      </c>
      <c r="B70" s="3106"/>
      <c r="C70" s="3106"/>
      <c r="D70" s="3106"/>
      <c r="E70" s="3106"/>
      <c r="F70" s="3106"/>
      <c r="G70" s="3106"/>
      <c r="H70" s="3106"/>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hidden="1">
      <c r="A71" s="3096" t="s">
        <v>2227</v>
      </c>
      <c r="B71" s="3097"/>
      <c r="C71" s="1803"/>
      <c r="D71" s="1803" t="s">
        <v>2228</v>
      </c>
      <c r="E71" s="213" t="s">
        <v>2229</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hidden="1">
      <c r="A72" s="203" t="s">
        <v>775</v>
      </c>
      <c r="B72" s="204" t="s">
        <v>2247</v>
      </c>
      <c r="C72" s="207">
        <f ca="1">ROUND(D45/(1+'数据-取费表'!C42),0)</f>
        <v>1966</v>
      </c>
      <c r="D72" s="200" t="s">
        <v>32</v>
      </c>
      <c r="E72" s="1802"/>
      <c r="F72" s="1796"/>
      <c r="G72" s="1796"/>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hidden="1">
      <c r="A73" s="203" t="s">
        <v>772</v>
      </c>
      <c r="B73" s="173" t="s">
        <v>2248</v>
      </c>
      <c r="C73" s="207">
        <f ca="1">C74+C78</f>
        <v>10</v>
      </c>
      <c r="D73" s="200" t="s">
        <v>32</v>
      </c>
      <c r="E73" s="1802"/>
      <c r="F73" s="1796"/>
      <c r="G73" s="1796"/>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hidden="1">
      <c r="A74" s="217" t="s">
        <v>770</v>
      </c>
      <c r="B74" s="198" t="s">
        <v>2249</v>
      </c>
      <c r="C74" s="200">
        <f>ROUND(IF(G77="2016年5月1日后购买",C75/(1+'数据-取费表'!C42)+C76+C77,C75+C76+C77),0)</f>
        <v>0</v>
      </c>
      <c r="D74" s="200" t="s">
        <v>32</v>
      </c>
      <c r="E74" s="1802"/>
      <c r="F74" s="1796"/>
      <c r="G74" s="1796"/>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hidden="1">
      <c r="A75" s="217" t="s">
        <v>776</v>
      </c>
      <c r="B75" s="198" t="s">
        <v>2250</v>
      </c>
      <c r="C75" s="218"/>
      <c r="D75" s="200" t="s">
        <v>32</v>
      </c>
      <c r="E75" s="219" t="s">
        <v>2251</v>
      </c>
      <c r="F75" s="2505" t="s">
        <v>2252</v>
      </c>
      <c r="G75" s="219" t="s">
        <v>2253</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hidden="1" customHeight="1">
      <c r="A76" s="217" t="s">
        <v>777</v>
      </c>
      <c r="B76" s="221" t="s">
        <v>2254</v>
      </c>
      <c r="C76" s="200">
        <f>IF(F75="购房发票",ROUND(C75*H75*D76,0),0)</f>
        <v>0</v>
      </c>
      <c r="D76" s="222">
        <v>0.05</v>
      </c>
      <c r="E76" s="3102" t="s">
        <v>2255</v>
      </c>
      <c r="F76" s="3101"/>
      <c r="G76" s="3101"/>
      <c r="H76" s="3104"/>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hidden="1" customHeight="1">
      <c r="A77" s="217" t="s">
        <v>778</v>
      </c>
      <c r="B77" s="198" t="s">
        <v>2256</v>
      </c>
      <c r="C77" s="200">
        <f>ROUND(IF(G77="个人住宅",0,IF(G77="2016年5月1日前购买",C75*D77,C75*D77/(1+'数据-取费表'!C42))),0)</f>
        <v>0</v>
      </c>
      <c r="D77" s="223">
        <f>'数据-取费表'!B48+'数据-取费表'!B49</f>
        <v>3.0499999999999999E-2</v>
      </c>
      <c r="E77" s="15" t="s">
        <v>2257</v>
      </c>
      <c r="F77" s="224"/>
      <c r="G77" s="2507" t="s">
        <v>2258</v>
      </c>
      <c r="H77" s="1807"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hidden="1" customHeight="1">
      <c r="A78" s="217" t="s">
        <v>771</v>
      </c>
      <c r="B78" s="198" t="s">
        <v>2259</v>
      </c>
      <c r="C78" s="225">
        <f ca="1">ROUND(D45*D78/(1+'数据-取费表'!C42),0)</f>
        <v>10</v>
      </c>
      <c r="D78" s="226">
        <f>'数据-取费表'!B43</f>
        <v>5.000000000000001E-3</v>
      </c>
      <c r="E78" s="3093" t="s">
        <v>2260</v>
      </c>
      <c r="F78" s="3094"/>
      <c r="G78" s="3094"/>
      <c r="H78" s="3095"/>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hidden="1">
      <c r="A79" s="2509" t="s">
        <v>779</v>
      </c>
      <c r="B79" s="204" t="s">
        <v>2261</v>
      </c>
      <c r="C79" s="207">
        <f ca="1">C72-C73</f>
        <v>1956</v>
      </c>
      <c r="D79" s="200" t="s">
        <v>32</v>
      </c>
      <c r="E79" s="1802"/>
      <c r="F79" s="1796"/>
      <c r="G79" s="1796"/>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hidden="1">
      <c r="A80" s="2509" t="s">
        <v>780</v>
      </c>
      <c r="B80" s="204" t="s">
        <v>2262</v>
      </c>
      <c r="C80" s="227">
        <f ca="1">IF(C79&lt;=0,0,C79/C73)</f>
        <v>195.6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hidden="1" thickBot="1">
      <c r="A81" s="2510" t="s">
        <v>781</v>
      </c>
      <c r="B81" s="209" t="s">
        <v>2263</v>
      </c>
      <c r="C81" s="228">
        <f ca="1">ROUND(IF(C79&lt;=0,0,IF(C80&gt;=200%,C79*60%-C73*35%,IF(C80&gt;=100%,C79*50%-C73*15%,IF(C80&gt;=50%,C79*40%-C73*5%,IF(C80&lt;50%,C79*30%,0))))),0)</f>
        <v>1170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hidden="1"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hidden="1" thickBot="1">
      <c r="A83" s="3105" t="s">
        <v>2264</v>
      </c>
      <c r="B83" s="3106"/>
      <c r="C83" s="3106"/>
      <c r="D83" s="3106"/>
      <c r="E83" s="3106"/>
      <c r="F83" s="3106"/>
      <c r="G83" s="3106"/>
      <c r="H83" s="3106"/>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hidden="1">
      <c r="A84" s="3096" t="s">
        <v>2227</v>
      </c>
      <c r="B84" s="3097"/>
      <c r="C84" s="1803"/>
      <c r="D84" s="1803" t="s">
        <v>2228</v>
      </c>
      <c r="E84" s="213" t="s">
        <v>2229</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hidden="1">
      <c r="A85" s="203" t="s">
        <v>775</v>
      </c>
      <c r="B85" s="204" t="s">
        <v>2247</v>
      </c>
      <c r="C85" s="207">
        <f ca="1">ROUND(D45/(1+'数据-取费表'!C42),0)</f>
        <v>1966</v>
      </c>
      <c r="D85" s="200" t="s">
        <v>32</v>
      </c>
      <c r="E85" s="1802"/>
      <c r="F85" s="1796"/>
      <c r="G85" s="1796"/>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hidden="1">
      <c r="A86" s="203" t="s">
        <v>772</v>
      </c>
      <c r="B86" s="173" t="s">
        <v>2248</v>
      </c>
      <c r="C86" s="207">
        <f ca="1">IF(H88="仅含出让金",C87+C90+C91+C92+C93+C94,C87+C91+C92+C93+C94)</f>
        <v>10</v>
      </c>
      <c r="D86" s="235"/>
      <c r="E86" s="1802"/>
      <c r="F86" s="1796"/>
      <c r="G86" s="1796"/>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hidden="1">
      <c r="A87" s="217" t="s">
        <v>770</v>
      </c>
      <c r="B87" s="198" t="s">
        <v>2265</v>
      </c>
      <c r="C87" s="225">
        <f>C88+C89</f>
        <v>0</v>
      </c>
      <c r="D87" s="226"/>
      <c r="E87" s="1798"/>
      <c r="F87" s="1799"/>
      <c r="G87" s="1799"/>
      <c r="H87" s="1801"/>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hidden="1">
      <c r="A88" s="217" t="s">
        <v>776</v>
      </c>
      <c r="B88" s="198" t="s">
        <v>2266</v>
      </c>
      <c r="C88" s="236"/>
      <c r="D88" s="226"/>
      <c r="E88" s="237" t="s">
        <v>2267</v>
      </c>
      <c r="F88" s="1799"/>
      <c r="G88" s="238" t="s">
        <v>2268</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hidden="1">
      <c r="A89" s="217" t="s">
        <v>777</v>
      </c>
      <c r="B89" s="198" t="s">
        <v>2256</v>
      </c>
      <c r="C89" s="225">
        <f>ROUND(C88*D89,0)</f>
        <v>0</v>
      </c>
      <c r="D89" s="226">
        <f>'数据-取费表'!B48+'数据-取费表'!B49</f>
        <v>3.0499999999999999E-2</v>
      </c>
      <c r="E89" s="237" t="s">
        <v>2269</v>
      </c>
      <c r="F89" s="1799"/>
      <c r="G89" s="1799"/>
      <c r="H89" s="1801"/>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hidden="1">
      <c r="A90" s="217" t="s">
        <v>771</v>
      </c>
      <c r="B90" s="198" t="s">
        <v>2270</v>
      </c>
      <c r="C90" s="236"/>
      <c r="D90" s="226"/>
      <c r="E90" s="237" t="str">
        <f>IF(H88="-","土地取得成本中已包含该笔费用"," ")</f>
        <v xml:space="preserve"> </v>
      </c>
      <c r="F90" s="1799"/>
      <c r="G90" s="1799"/>
      <c r="H90" s="1801"/>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hidden="1" customHeight="1">
      <c r="A91" s="217" t="s">
        <v>2271</v>
      </c>
      <c r="B91" s="198" t="s">
        <v>2272</v>
      </c>
      <c r="C91" s="225">
        <f>IF(H91="——",成本法!C33,I91)</f>
        <v>0</v>
      </c>
      <c r="D91" s="226"/>
      <c r="E91" s="3093" t="s">
        <v>2273</v>
      </c>
      <c r="F91" s="3094"/>
      <c r="G91" s="3094"/>
      <c r="H91" s="2512" t="s">
        <v>2274</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hidden="1" customHeight="1">
      <c r="A92" s="217" t="s">
        <v>2275</v>
      </c>
      <c r="B92" s="198" t="s">
        <v>2276</v>
      </c>
      <c r="C92" s="225">
        <f>ROUND((C87+C90+C91)*D92,0)</f>
        <v>0</v>
      </c>
      <c r="D92" s="226">
        <v>0.1</v>
      </c>
      <c r="E92" s="3093" t="s">
        <v>2277</v>
      </c>
      <c r="F92" s="3094"/>
      <c r="G92" s="3094"/>
      <c r="H92" s="3095"/>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hidden="1" customHeight="1">
      <c r="A93" s="217" t="s">
        <v>2278</v>
      </c>
      <c r="B93" s="198" t="s">
        <v>2259</v>
      </c>
      <c r="C93" s="225">
        <f ca="1">ROUND(D45*D93/(1+'数据-取费表'!C42),0)</f>
        <v>10</v>
      </c>
      <c r="D93" s="226">
        <f>'数据-取费表'!B43</f>
        <v>5.000000000000001E-3</v>
      </c>
      <c r="E93" s="3093" t="s">
        <v>2260</v>
      </c>
      <c r="F93" s="3094"/>
      <c r="G93" s="3094"/>
      <c r="H93" s="3095"/>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hidden="1" customHeight="1">
      <c r="A94" s="217" t="s">
        <v>2279</v>
      </c>
      <c r="B94" s="198" t="s">
        <v>2280</v>
      </c>
      <c r="C94" s="236">
        <f>ROUND((C87+C90+C91)*D94,0)</f>
        <v>0</v>
      </c>
      <c r="D94" s="226">
        <v>0.2</v>
      </c>
      <c r="E94" s="3141" t="s">
        <v>2281</v>
      </c>
      <c r="F94" s="3142"/>
      <c r="G94" s="3142"/>
      <c r="H94" s="3143"/>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hidden="1">
      <c r="A95" s="2509" t="s">
        <v>779</v>
      </c>
      <c r="B95" s="204" t="s">
        <v>2261</v>
      </c>
      <c r="C95" s="207">
        <f ca="1">ROUND(C85-C86,0)</f>
        <v>1956</v>
      </c>
      <c r="D95" s="200" t="s">
        <v>32</v>
      </c>
      <c r="E95" s="1802"/>
      <c r="F95" s="1796"/>
      <c r="G95" s="1796"/>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hidden="1">
      <c r="A96" s="2509" t="s">
        <v>780</v>
      </c>
      <c r="B96" s="204" t="s">
        <v>2262</v>
      </c>
      <c r="C96" s="227">
        <f ca="1">IF(C95&lt;=0,0,C95/C86)</f>
        <v>195.6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hidden="1" thickBot="1">
      <c r="A97" s="2510" t="s">
        <v>781</v>
      </c>
      <c r="B97" s="209" t="s">
        <v>2263</v>
      </c>
      <c r="C97" s="228">
        <f ca="1">ROUND(IF(C95&lt;=0,0,IF(C96&gt;=200%,C95*60%-C86*35%,IF(C96&gt;=100%,C95*50%-C86*15%,IF(C96&gt;=50%,C95*40%-C86*5%,IF(C96&lt;50%,C95*30%,0))))),0)</f>
        <v>1170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hidden="1" customHeight="1">
      <c r="A98" s="2490"/>
      <c r="B98" s="2412"/>
      <c r="C98" s="2412"/>
      <c r="D98" s="2412"/>
      <c r="E98" s="2162"/>
      <c r="F98" s="2162"/>
      <c r="G98" s="2162"/>
      <c r="H98" s="2161"/>
      <c r="I98" s="138"/>
    </row>
    <row r="99" spans="1:35" ht="21.75" customHeight="1" thickBot="1">
      <c r="A99" s="2468" t="s">
        <v>2282</v>
      </c>
      <c r="B99" s="2412"/>
      <c r="C99" s="2412"/>
      <c r="D99" s="2412"/>
      <c r="E99" s="2162"/>
      <c r="F99" s="2162"/>
      <c r="G99" s="2162"/>
      <c r="H99" s="2161"/>
      <c r="I99" s="138"/>
    </row>
    <row r="100" spans="1:35" ht="18.75" customHeight="1">
      <c r="A100" s="3045" t="s">
        <v>2283</v>
      </c>
      <c r="B100" s="3046"/>
      <c r="C100" s="3046"/>
      <c r="D100" s="3077"/>
      <c r="E100" s="3046" t="s">
        <v>2284</v>
      </c>
      <c r="F100" s="3046"/>
      <c r="G100" s="3046"/>
      <c r="H100" s="3077"/>
      <c r="I100" s="138"/>
    </row>
    <row r="101" spans="1:35" ht="18.75" customHeight="1">
      <c r="A101" s="3085" t="s">
        <v>2285</v>
      </c>
      <c r="B101" s="3086"/>
      <c r="C101" s="736" t="str">
        <f>C4</f>
        <v>比较法-工业</v>
      </c>
      <c r="D101" s="737" t="str">
        <f>D4</f>
        <v>收益法</v>
      </c>
      <c r="E101" s="3057" t="s">
        <v>2286</v>
      </c>
      <c r="F101" s="3058"/>
      <c r="G101" s="2514" t="s">
        <v>2287</v>
      </c>
      <c r="H101" s="1047">
        <f ca="1">H118</f>
        <v>2064</v>
      </c>
      <c r="I101" s="138"/>
    </row>
    <row r="102" spans="1:35" ht="18.75" customHeight="1">
      <c r="A102" s="3087" t="s">
        <v>2288</v>
      </c>
      <c r="B102" s="2514" t="s">
        <v>2287</v>
      </c>
      <c r="C102" s="736">
        <f ca="1">C19</f>
        <v>2612</v>
      </c>
      <c r="D102" s="737">
        <f ca="1">D19</f>
        <v>1699</v>
      </c>
      <c r="E102" s="3057"/>
      <c r="F102" s="3058"/>
      <c r="G102" s="2514" t="s">
        <v>2289</v>
      </c>
      <c r="H102" s="371">
        <f ca="1">I118</f>
        <v>16560</v>
      </c>
      <c r="I102" s="138"/>
    </row>
    <row r="103" spans="1:35" ht="42.75" customHeight="1">
      <c r="A103" s="3087"/>
      <c r="B103" s="2514" t="s">
        <v>2289</v>
      </c>
      <c r="C103" s="738">
        <f ca="1">C20</f>
        <v>20953</v>
      </c>
      <c r="D103" s="739">
        <f ca="1">D20</f>
        <v>13631</v>
      </c>
      <c r="E103" s="3051" t="s">
        <v>2290</v>
      </c>
      <c r="F103" s="3052"/>
      <c r="G103" s="2515" t="s">
        <v>2291</v>
      </c>
      <c r="H103" s="1047">
        <f>IF(D36="正常操作",H104+H105+H106,H105+H106)</f>
        <v>0</v>
      </c>
      <c r="I103" s="138"/>
    </row>
    <row r="104" spans="1:35" ht="18.75" customHeight="1">
      <c r="A104" s="3087" t="s">
        <v>2292</v>
      </c>
      <c r="B104" s="2516" t="s">
        <v>2287</v>
      </c>
      <c r="C104" s="740">
        <f ca="1">H118</f>
        <v>2064</v>
      </c>
      <c r="D104" s="741"/>
      <c r="E104" s="2263" t="s">
        <v>2293</v>
      </c>
      <c r="F104" s="2254"/>
      <c r="G104" s="2515" t="s">
        <v>2291</v>
      </c>
      <c r="H104" s="1048">
        <f>IF(D36="同一抵押权人同一抵押物续贷",C36&amp;"（未扣减，详见特别提示）",C36)</f>
        <v>0</v>
      </c>
      <c r="I104" s="138"/>
    </row>
    <row r="105" spans="1:35" ht="18.75" customHeight="1" thickBot="1">
      <c r="A105" s="3099"/>
      <c r="B105" s="2517" t="s">
        <v>2289</v>
      </c>
      <c r="C105" s="742">
        <f ca="1">I118</f>
        <v>16560</v>
      </c>
      <c r="D105" s="743"/>
      <c r="E105" s="2263" t="s">
        <v>2294</v>
      </c>
      <c r="F105" s="2254"/>
      <c r="G105" s="2515" t="s">
        <v>2291</v>
      </c>
      <c r="H105" s="1048">
        <f>C37</f>
        <v>0</v>
      </c>
      <c r="I105" s="138"/>
    </row>
    <row r="106" spans="1:35" ht="18.75" customHeight="1">
      <c r="A106" s="2412" t="s">
        <v>2295</v>
      </c>
      <c r="B106" s="2412"/>
      <c r="C106" s="2412"/>
      <c r="D106" s="2412"/>
      <c r="E106" s="2518" t="s">
        <v>2296</v>
      </c>
      <c r="F106" s="2254"/>
      <c r="G106" s="2515" t="s">
        <v>2291</v>
      </c>
      <c r="H106" s="1048">
        <f>C38</f>
        <v>0</v>
      </c>
      <c r="I106" s="138"/>
    </row>
    <row r="107" spans="1:35" ht="18.75" customHeight="1">
      <c r="A107" s="138"/>
      <c r="B107" s="138"/>
      <c r="C107" s="138"/>
      <c r="D107" s="138"/>
      <c r="E107" s="3088" t="str">
        <f>IF(项目基本情况!E8="已注销","——","3.房地产抵押价值")</f>
        <v>3.房地产抵押价值</v>
      </c>
      <c r="F107" s="3058"/>
      <c r="G107" s="2514" t="s">
        <v>2287</v>
      </c>
      <c r="H107" s="1047">
        <f ca="1">IF(E107="——","——",H101-H103)</f>
        <v>2064</v>
      </c>
      <c r="I107" s="138"/>
    </row>
    <row r="108" spans="1:35" ht="18.75" customHeight="1" thickBot="1">
      <c r="A108" s="138"/>
      <c r="B108" s="138"/>
      <c r="C108" s="138"/>
      <c r="D108" s="138"/>
      <c r="E108" s="3088"/>
      <c r="F108" s="3058"/>
      <c r="G108" s="2514" t="s">
        <v>2289</v>
      </c>
      <c r="H108" s="371">
        <f ca="1">ROUND(H107*10000/'数据-汇总表'!E3,0)</f>
        <v>16560</v>
      </c>
      <c r="I108" s="138"/>
    </row>
    <row r="109" spans="1:35" ht="18.75" hidden="1" customHeight="1">
      <c r="A109" s="138"/>
      <c r="B109" s="138"/>
      <c r="C109" s="138"/>
      <c r="D109" s="138"/>
      <c r="E109" s="3088" t="str">
        <f>IF(项目基本情况!E8="已注销及未注销","4.抵押担保权已注销时的房地产抵押价值",IF(项目基本情况!E8="已注销","3.抵押担保权已注销时的房地产抵押价值","——"))</f>
        <v>——</v>
      </c>
      <c r="F109" s="3058"/>
      <c r="G109" s="2514" t="s">
        <v>2287</v>
      </c>
      <c r="H109" s="348" t="str">
        <f>IF(E109="——","——",H101-H105-H106)</f>
        <v>——</v>
      </c>
      <c r="I109" s="138"/>
    </row>
    <row r="110" spans="1:35" ht="18.75" hidden="1" customHeight="1">
      <c r="A110" s="138"/>
      <c r="B110" s="138"/>
      <c r="C110" s="138"/>
      <c r="D110" s="138"/>
      <c r="E110" s="3088"/>
      <c r="F110" s="3058"/>
      <c r="G110" s="2514" t="s">
        <v>2289</v>
      </c>
      <c r="H110" s="371" t="str">
        <f>IF(H109="——","——",ROUND(H109*10000/'数据-汇总表'!E3,0))</f>
        <v>——</v>
      </c>
      <c r="I110" s="138"/>
    </row>
    <row r="111" spans="1:35" ht="18.75" hidden="1" customHeight="1">
      <c r="A111" s="138"/>
      <c r="B111" s="138"/>
      <c r="C111" s="138"/>
      <c r="D111" s="138"/>
      <c r="E111" s="3089" t="str">
        <f>IF(项目基本情况!E9="抵押净值",IF(OR(项目基本情况!E8="已注销",项目基本情况!E8="房地产抵押价值"),"4.抵押净值","5.抵押净值"),"——")</f>
        <v>——</v>
      </c>
      <c r="F111" s="3090"/>
      <c r="G111" s="2514" t="s">
        <v>2287</v>
      </c>
      <c r="H111" s="1047" t="str">
        <f>IF(E111="——","——",N59)</f>
        <v>——</v>
      </c>
      <c r="I111" s="138"/>
    </row>
    <row r="112" spans="1:35" ht="18.75" hidden="1" customHeight="1" thickBot="1">
      <c r="A112" s="138"/>
      <c r="B112" s="138"/>
      <c r="C112" s="138"/>
      <c r="D112" s="138"/>
      <c r="E112" s="3091"/>
      <c r="F112" s="3092"/>
      <c r="G112" s="2519" t="s">
        <v>2289</v>
      </c>
      <c r="H112" s="790" t="str">
        <f>IF(E111="——","——",N61)</f>
        <v>——</v>
      </c>
      <c r="I112" s="138"/>
    </row>
    <row r="113" spans="1:11" ht="18.75" customHeight="1">
      <c r="A113" s="138"/>
      <c r="B113" s="138"/>
      <c r="C113" s="138"/>
      <c r="D113" s="138"/>
      <c r="E113" s="3100" t="s">
        <v>2295</v>
      </c>
      <c r="F113" s="3100"/>
      <c r="G113" s="3100"/>
      <c r="H113" s="3100"/>
      <c r="I113" s="138"/>
    </row>
    <row r="114" spans="1:11" ht="3.75" customHeight="1">
      <c r="A114" s="2412"/>
      <c r="B114" s="2412"/>
      <c r="C114" s="2412"/>
      <c r="D114" s="2412"/>
      <c r="E114" s="2490"/>
      <c r="F114" s="2490"/>
      <c r="G114" s="2490"/>
      <c r="H114" s="2490"/>
      <c r="I114" s="2412"/>
    </row>
    <row r="115" spans="1:11" ht="18.75" hidden="1" customHeight="1">
      <c r="A115" s="3113" t="s">
        <v>2297</v>
      </c>
      <c r="B115" s="3114"/>
      <c r="C115" s="3114"/>
      <c r="D115" s="3114"/>
      <c r="E115" s="3114"/>
      <c r="F115" s="3114"/>
      <c r="G115" s="3114"/>
      <c r="H115" s="3114"/>
      <c r="I115" s="3115"/>
    </row>
    <row r="116" spans="1:11" ht="27" hidden="1" customHeight="1">
      <c r="A116" s="3024" t="s">
        <v>2298</v>
      </c>
      <c r="B116" s="3067" t="s">
        <v>3085</v>
      </c>
      <c r="C116" s="3067" t="s">
        <v>3140</v>
      </c>
      <c r="D116" s="3073" t="s">
        <v>2299</v>
      </c>
      <c r="E116" s="3074"/>
      <c r="F116" s="3109" t="s">
        <v>2300</v>
      </c>
      <c r="G116" s="3109"/>
      <c r="H116" s="3024" t="s">
        <v>2301</v>
      </c>
      <c r="I116" s="3024"/>
    </row>
    <row r="117" spans="1:11" ht="18.75" hidden="1" customHeight="1">
      <c r="A117" s="3024"/>
      <c r="B117" s="3068"/>
      <c r="C117" s="3068"/>
      <c r="D117" s="1797" t="s">
        <v>2302</v>
      </c>
      <c r="E117" s="1797" t="s">
        <v>2303</v>
      </c>
      <c r="F117" s="1797" t="s">
        <v>2302</v>
      </c>
      <c r="G117" s="1797" t="s">
        <v>2304</v>
      </c>
      <c r="H117" s="1797" t="s">
        <v>2302</v>
      </c>
      <c r="I117" s="1797" t="s">
        <v>2304</v>
      </c>
    </row>
    <row r="118" spans="1:11" ht="24.75" hidden="1" customHeight="1">
      <c r="A118" s="2520" t="str">
        <f>项目基本情况!S2</f>
        <v>北京市昌平区超前路37号院20号楼1至4层101号房地产</v>
      </c>
      <c r="B118" s="1797">
        <f>M18</f>
        <v>1246.4000000000001</v>
      </c>
      <c r="C118" s="1797">
        <f>M19</f>
        <v>0</v>
      </c>
      <c r="D118" s="1797" t="e">
        <f ca="1">ROUND(IF(D32="总价",C34,E118*B118/10000),0)</f>
        <v>#REF!</v>
      </c>
      <c r="E118" s="1797" t="e">
        <f ca="1">ROUND(IF(C33="自定义",IF(D32="楼面单价",C34,D118*10000/B118),I118-G118),0)</f>
        <v>#REF!</v>
      </c>
      <c r="F118" s="1797" t="e">
        <f ca="1">ROUND(IF(D32="总价",C35,G118*B118/10000),0)</f>
        <v>#REF!</v>
      </c>
      <c r="G118" s="1797" t="e">
        <f ca="1">ROUND(IF(D32="楼面单价",C35,F118*10000/B118),0)</f>
        <v>#REF!</v>
      </c>
      <c r="H118" s="1797">
        <f ca="1">ROUND(IF(D32="总价",C32,I118*B118/10000),0)</f>
        <v>2064</v>
      </c>
      <c r="I118" s="1797">
        <f ca="1">ROUND(IF(D32="楼面单价",C32,H118*10000/B118),0)</f>
        <v>16560</v>
      </c>
    </row>
    <row r="119" spans="1:11" ht="18.75" hidden="1" customHeight="1">
      <c r="A119" s="3024" t="s">
        <v>2305</v>
      </c>
      <c r="B119" s="3024"/>
      <c r="C119" s="3024"/>
      <c r="D119" s="3069" t="e">
        <f ca="1">NUMBERSTRING(INT(D118*10000),2)&amp;"元整"</f>
        <v>#REF!</v>
      </c>
      <c r="E119" s="3070"/>
      <c r="F119" s="3069" t="e">
        <f ca="1">NUMBERSTRING(INT(F118*10000),2)&amp;"元整"</f>
        <v>#REF!</v>
      </c>
      <c r="G119" s="3070"/>
      <c r="H119" s="3069" t="str">
        <f ca="1">NUMBERSTRING(INT(H118*10000),2)&amp;"元整"</f>
        <v>贰仟零陆拾肆万元整</v>
      </c>
      <c r="I119" s="3070"/>
    </row>
    <row r="120" spans="1:11" ht="18.75" hidden="1" customHeight="1">
      <c r="A120" s="3064" t="str">
        <f>IF(项目基本情况!B9="房地产市场价值","",MID(E103,3,LEN(E103)-2))</f>
        <v>估价师知悉的法定优先受偿款</v>
      </c>
      <c r="B120" s="3065"/>
      <c r="C120" s="3066"/>
      <c r="D120" s="3064">
        <f>H103</f>
        <v>0</v>
      </c>
      <c r="E120" s="3065"/>
      <c r="F120" s="3065"/>
      <c r="G120" s="3065"/>
      <c r="H120" s="3065"/>
      <c r="I120" s="3066"/>
      <c r="K120" s="2417" t="str">
        <f>IF(D120=0,"故，本次评估不存在"&amp;A120,"故，本次评估"&amp;A120&amp;"为人民币"&amp;D120&amp;"万元整。")</f>
        <v>故，本次评估不存在估价师知悉的法定优先受偿款</v>
      </c>
    </row>
    <row r="121" spans="1:11" ht="18.75" hidden="1" customHeight="1">
      <c r="A121" s="3110" t="s">
        <v>2305</v>
      </c>
      <c r="B121" s="3111"/>
      <c r="C121" s="3112"/>
      <c r="D121" s="3069" t="str">
        <f>IF(D120=0,"零元整",NUMBERSTRING(INT(D120*10000),2)&amp;"元整")</f>
        <v>零元整</v>
      </c>
      <c r="E121" s="3071"/>
      <c r="F121" s="3071"/>
      <c r="G121" s="3071"/>
      <c r="H121" s="3071"/>
      <c r="I121" s="3070"/>
    </row>
    <row r="122" spans="1:11" ht="18.75" hidden="1" customHeight="1">
      <c r="A122" s="3075" t="str">
        <f>IF(项目基本情况!B9="房地产市场价值","",MID(E107,3,LEN(E107)-2))</f>
        <v>房地产抵押价值</v>
      </c>
      <c r="B122" s="3075"/>
      <c r="C122" s="3075"/>
      <c r="D122" s="3064">
        <f ca="1">H107</f>
        <v>2064</v>
      </c>
      <c r="E122" s="3065"/>
      <c r="F122" s="3065"/>
      <c r="G122" s="3065"/>
      <c r="H122" s="3065"/>
      <c r="I122" s="3066"/>
    </row>
    <row r="123" spans="1:11" ht="18.75" hidden="1" customHeight="1">
      <c r="A123" s="3024" t="s">
        <v>2305</v>
      </c>
      <c r="B123" s="3024"/>
      <c r="C123" s="3024"/>
      <c r="D123" s="3069" t="str">
        <f ca="1">NUMBERSTRING(INT(D122*10000),2)&amp;"元整"</f>
        <v>贰仟零陆拾肆万元整</v>
      </c>
      <c r="E123" s="3071"/>
      <c r="F123" s="3071"/>
      <c r="G123" s="3071"/>
      <c r="H123" s="3071"/>
      <c r="I123" s="3070"/>
    </row>
    <row r="124" spans="1:11" ht="18.75" hidden="1" customHeight="1">
      <c r="A124" s="3075" t="str">
        <f>IF(项目基本情况!B9="房地产市场价值","",MID(E109,3,LEN(E109)-2))</f>
        <v/>
      </c>
      <c r="B124" s="3075"/>
      <c r="C124" s="3075"/>
      <c r="D124" s="3064" t="str">
        <f>H109</f>
        <v>——</v>
      </c>
      <c r="E124" s="3065"/>
      <c r="F124" s="3065"/>
      <c r="G124" s="3065"/>
      <c r="H124" s="3065"/>
      <c r="I124" s="3066"/>
    </row>
    <row r="125" spans="1:11" ht="18.75" hidden="1" customHeight="1">
      <c r="A125" s="3024" t="s">
        <v>2305</v>
      </c>
      <c r="B125" s="3024"/>
      <c r="C125" s="3024"/>
      <c r="D125" s="3069" t="e">
        <f>NUMBERSTRING(INT(D124*10000),2)&amp;"元整"</f>
        <v>#VALUE!</v>
      </c>
      <c r="E125" s="3071"/>
      <c r="F125" s="3071"/>
      <c r="G125" s="3071"/>
      <c r="H125" s="3071"/>
      <c r="I125" s="3070"/>
    </row>
    <row r="126" spans="1:11" ht="18.75" hidden="1" customHeight="1">
      <c r="A126" s="3075" t="str">
        <f>IF(项目基本情况!B9="房地产市场价值","",MID(E111,3,LEN(E111)-2))</f>
        <v/>
      </c>
      <c r="B126" s="3075"/>
      <c r="C126" s="3075"/>
      <c r="D126" s="3064" t="str">
        <f>H111</f>
        <v>——</v>
      </c>
      <c r="E126" s="3065"/>
      <c r="F126" s="3065"/>
      <c r="G126" s="3065"/>
      <c r="H126" s="3065"/>
      <c r="I126" s="3066"/>
    </row>
    <row r="127" spans="1:11" ht="18.75" hidden="1" customHeight="1">
      <c r="A127" s="3024" t="s">
        <v>2305</v>
      </c>
      <c r="B127" s="3024"/>
      <c r="C127" s="3024"/>
      <c r="D127" s="3069" t="e">
        <f>NUMBERSTRING(INT(D126*10000),2)&amp;"元整"</f>
        <v>#VALUE!</v>
      </c>
      <c r="E127" s="3071"/>
      <c r="F127" s="3071"/>
      <c r="G127" s="3071"/>
      <c r="H127" s="3071"/>
      <c r="I127" s="3070"/>
    </row>
    <row r="128" spans="1:11" ht="21.75" hidden="1" customHeight="1">
      <c r="A128" s="3072" t="s">
        <v>2306</v>
      </c>
      <c r="B128" s="3072"/>
      <c r="C128" s="3072"/>
      <c r="D128" s="3072"/>
      <c r="E128" s="3072"/>
      <c r="F128" s="3072"/>
      <c r="G128" s="3072"/>
      <c r="H128" s="3072"/>
      <c r="I128" s="3072"/>
    </row>
    <row r="129" spans="1:35" ht="21.75" hidden="1" customHeight="1">
      <c r="A129" s="2521" t="s">
        <v>2307</v>
      </c>
      <c r="B129" s="2522"/>
      <c r="C129" s="2523" t="s">
        <v>2308</v>
      </c>
      <c r="D129" s="2524"/>
      <c r="E129" s="2524"/>
      <c r="F129" s="2524"/>
      <c r="G129" s="2524"/>
      <c r="H129" s="2525"/>
      <c r="I129" s="2526"/>
    </row>
    <row r="130" spans="1:35" ht="21.75" hidden="1" customHeight="1">
      <c r="A130" s="2527">
        <v>1</v>
      </c>
      <c r="B130" s="2528"/>
      <c r="C130" s="2528"/>
      <c r="D130" s="2529"/>
      <c r="E130" s="2529"/>
      <c r="F130" s="2529"/>
      <c r="G130" s="2529"/>
      <c r="H130" s="2530"/>
      <c r="I130" s="2531"/>
    </row>
    <row r="131" spans="1:35" ht="21.75" hidden="1" customHeight="1">
      <c r="A131" s="2527">
        <v>2</v>
      </c>
      <c r="B131" s="2528"/>
      <c r="C131" s="2528"/>
      <c r="D131" s="2529"/>
      <c r="E131" s="2529"/>
      <c r="F131" s="2529"/>
      <c r="G131" s="2529"/>
      <c r="H131" s="2530"/>
      <c r="I131" s="2531"/>
    </row>
    <row r="132" spans="1:35" ht="21.75" hidden="1" customHeight="1">
      <c r="A132" s="2527">
        <v>3</v>
      </c>
      <c r="B132" s="2528"/>
      <c r="C132" s="2528"/>
      <c r="D132" s="2529"/>
      <c r="E132" s="2529"/>
      <c r="F132" s="2529"/>
      <c r="G132" s="2529"/>
      <c r="H132" s="2530"/>
      <c r="I132" s="2531"/>
    </row>
    <row r="133" spans="1:35" ht="21.75" hidden="1" customHeight="1">
      <c r="A133" s="2532"/>
      <c r="B133" s="2533"/>
      <c r="C133" s="2533"/>
      <c r="D133" s="2534"/>
      <c r="E133" s="2534"/>
      <c r="F133" s="2534"/>
      <c r="G133" s="2534"/>
      <c r="H133" s="2535"/>
      <c r="I133" s="2536"/>
    </row>
    <row r="134" spans="1:35" ht="21.75" hidden="1" customHeight="1">
      <c r="A134" s="2528"/>
      <c r="B134" s="2528"/>
      <c r="C134" s="2528"/>
      <c r="D134" s="2529"/>
      <c r="E134" s="2529"/>
      <c r="F134" s="2529"/>
      <c r="G134" s="2529"/>
      <c r="H134" s="2530"/>
      <c r="I134" s="795"/>
    </row>
    <row r="135" spans="1:35" ht="21.75" hidden="1" customHeight="1">
      <c r="A135" s="795"/>
      <c r="B135" s="795"/>
      <c r="C135" s="795"/>
      <c r="D135" s="795"/>
      <c r="E135" s="795"/>
      <c r="F135" s="2537" t="s">
        <v>2309</v>
      </c>
      <c r="G135" s="2538"/>
      <c r="H135" s="2538"/>
      <c r="I135" s="2539" t="s">
        <v>2310</v>
      </c>
    </row>
    <row r="136" spans="1:35" ht="21.75" hidden="1" customHeight="1">
      <c r="A136" s="795"/>
      <c r="B136" s="2540" t="s">
        <v>2311</v>
      </c>
      <c r="C136" s="795"/>
      <c r="D136" s="795"/>
      <c r="E136" s="795"/>
      <c r="F136" s="795"/>
      <c r="G136" s="795"/>
      <c r="H136" s="795"/>
      <c r="I136" s="795"/>
    </row>
    <row r="137" spans="1:35" ht="21.75" hidden="1" customHeight="1">
      <c r="A137" s="795"/>
      <c r="B137" s="795"/>
      <c r="C137" s="795"/>
      <c r="D137" s="795"/>
      <c r="E137" s="795"/>
      <c r="F137" s="795"/>
      <c r="G137" s="795"/>
      <c r="H137" s="795"/>
      <c r="I137" s="795"/>
    </row>
    <row r="138" spans="1:35" ht="21.75" hidden="1" customHeight="1">
      <c r="A138" s="795"/>
      <c r="B138" s="2538"/>
      <c r="C138" s="2538"/>
      <c r="D138" s="2538"/>
      <c r="E138" s="2538"/>
      <c r="F138" s="2538"/>
      <c r="G138" s="2538"/>
      <c r="H138" s="2538"/>
      <c r="I138" s="2539" t="s">
        <v>2312</v>
      </c>
    </row>
    <row r="139" spans="1:35" ht="21.75" hidden="1" customHeight="1">
      <c r="A139" s="795"/>
      <c r="B139" s="2540" t="s">
        <v>2313</v>
      </c>
      <c r="C139" s="795"/>
      <c r="D139" s="795"/>
      <c r="E139" s="795"/>
      <c r="F139" s="795"/>
      <c r="G139" s="795"/>
      <c r="H139" s="795"/>
      <c r="I139" s="795"/>
    </row>
    <row r="140" spans="1:35" ht="21.75" hidden="1" customHeight="1">
      <c r="A140" s="795"/>
      <c r="B140" s="2540"/>
      <c r="C140" s="795"/>
      <c r="D140" s="795"/>
      <c r="E140" s="795"/>
      <c r="F140" s="795"/>
      <c r="G140" s="795"/>
      <c r="H140" s="795"/>
      <c r="I140" s="795"/>
    </row>
    <row r="141" spans="1:35" ht="21.75" hidden="1" customHeight="1">
      <c r="A141" s="795"/>
      <c r="B141" s="2538"/>
      <c r="C141" s="2538"/>
      <c r="D141" s="2538"/>
      <c r="E141" s="2538"/>
      <c r="F141" s="2538"/>
      <c r="G141" s="2538"/>
      <c r="H141" s="2538"/>
      <c r="I141" s="2539" t="s">
        <v>2312</v>
      </c>
    </row>
    <row r="142" spans="1:35" ht="21.75" hidden="1" customHeight="1">
      <c r="A142" s="795"/>
      <c r="B142" s="2540"/>
      <c r="C142" s="2541"/>
      <c r="D142" s="2542"/>
      <c r="E142" s="2542"/>
      <c r="F142" s="2336"/>
      <c r="G142" s="795"/>
      <c r="H142" s="795"/>
      <c r="I142" s="795"/>
    </row>
    <row r="143" spans="1:35" s="139" customFormat="1" ht="21.75" customHeight="1">
      <c r="A143" s="795"/>
      <c r="B143" s="2540"/>
      <c r="C143" s="2541"/>
      <c r="D143" s="2542"/>
      <c r="E143" s="2542"/>
      <c r="F143" s="2336"/>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0" sqref="D30"/>
    </sheetView>
  </sheetViews>
  <sheetFormatPr defaultColWidth="12" defaultRowHeight="12.75"/>
  <cols>
    <col min="1" max="1" width="9.75" style="2792" customWidth="1"/>
    <col min="2" max="2" width="19.25" style="2897" customWidth="1"/>
    <col min="3" max="4" width="12" style="2716"/>
    <col min="5" max="5" width="14.625" style="2716" customWidth="1"/>
    <col min="6" max="8" width="12" style="2716"/>
    <col min="9" max="9" width="12.25" style="2716" bestFit="1" customWidth="1"/>
    <col min="10" max="10" width="12" style="2716"/>
    <col min="11" max="11" width="8.125" style="2784" customWidth="1"/>
    <col min="12" max="12" width="12" style="2716"/>
    <col min="13" max="13" width="8.5" style="2716" customWidth="1"/>
    <col min="14" max="14" width="9.75" style="2716" customWidth="1"/>
    <col min="15" max="25" width="12" style="2716"/>
    <col min="26" max="26" width="9.375" style="2792" customWidth="1"/>
    <col min="27" max="32" width="9.375" style="1374" customWidth="1"/>
    <col min="33" max="36" width="9.375" style="2792" customWidth="1"/>
    <col min="37" max="38" width="9.375" style="2716" customWidth="1"/>
    <col min="39" max="16384" width="12" style="2716"/>
  </cols>
  <sheetData>
    <row r="1" spans="1:36" ht="28.5">
      <c r="A1" s="240" t="s">
        <v>2792</v>
      </c>
      <c r="B1" s="241"/>
      <c r="C1" s="245" t="s">
        <v>2793</v>
      </c>
      <c r="D1" s="388">
        <f>SUM(D29:D30,D33:D39)</f>
        <v>1246.4000000000001</v>
      </c>
      <c r="E1" s="2713"/>
      <c r="F1" s="2713"/>
      <c r="G1" s="2713"/>
      <c r="H1" s="2713"/>
      <c r="I1" s="2713"/>
      <c r="J1" s="2713"/>
      <c r="K1" s="1372"/>
      <c r="L1" s="2714" t="s">
        <v>2794</v>
      </c>
      <c r="M1" s="1082">
        <f>SUMPRODUCT((区片价!B5:B9=I2)*(区片价!C3:F3=E2)*(区片价!C5:F9))</f>
        <v>0</v>
      </c>
      <c r="N1" s="1085">
        <f>SUMPRODUCT((因素修正幅度!B5:B9=I2)*(因素修正幅度!C3:F3=E2)*(因素修正幅度!C5:F9))</f>
        <v>0</v>
      </c>
      <c r="O1" s="2715"/>
      <c r="P1" s="2715"/>
      <c r="Q1" s="1372"/>
      <c r="R1" s="1604" t="s">
        <v>2795</v>
      </c>
      <c r="S1" s="1604" t="s">
        <v>2796</v>
      </c>
      <c r="T1" s="1604" t="s">
        <v>2797</v>
      </c>
      <c r="U1" s="1604" t="s">
        <v>2798</v>
      </c>
      <c r="V1" s="1604" t="s">
        <v>2799</v>
      </c>
      <c r="W1" s="1608"/>
      <c r="X1" s="1608"/>
      <c r="Y1" s="1608"/>
      <c r="Z1" s="1608"/>
      <c r="AA1" s="1608"/>
      <c r="AB1" s="1608"/>
      <c r="AC1" s="1609"/>
      <c r="AD1" s="1610"/>
      <c r="AE1" s="1610"/>
      <c r="AF1" s="1610"/>
      <c r="AG1" s="1610"/>
      <c r="AH1" s="1610"/>
      <c r="AI1" s="1610"/>
      <c r="AJ1" s="1611"/>
    </row>
    <row r="2" spans="1:36" ht="15.75">
      <c r="A2" s="245" t="s">
        <v>2800</v>
      </c>
      <c r="B2" s="248" t="e">
        <f ca="1">C26</f>
        <v>#DIV/0!</v>
      </c>
      <c r="C2" s="2717" t="s">
        <v>2801</v>
      </c>
      <c r="D2" s="2718" t="s">
        <v>2802</v>
      </c>
      <c r="E2" s="2719" t="s">
        <v>6</v>
      </c>
      <c r="F2" s="2718" t="s">
        <v>2803</v>
      </c>
      <c r="G2" s="2720" t="str">
        <f>IF(E2="商业",项目基本情况!B37,IF(E2="办公",项目基本情况!C37,IF(E2="住宅",项目基本情况!D37,项目基本情况!E37)))</f>
        <v>七级</v>
      </c>
      <c r="H2" s="2718" t="s">
        <v>2804</v>
      </c>
      <c r="I2" s="2720" t="str">
        <f>IF(E2="商业",项目基本情况!B38,IF(E2="办公",项目基本情况!C38,IF(E2="住宅",项目基本情况!D38,项目基本情况!E38)))</f>
        <v>Ⅶ-昌平园北Ⅰ</v>
      </c>
      <c r="J2" s="2721"/>
      <c r="K2" s="1372"/>
      <c r="L2" s="2722" t="s">
        <v>2805</v>
      </c>
      <c r="M2" s="1083">
        <f>SUMPRODUCT((区片价!B10:B28=I2)*(区片价!C3:F3=E2)*(区片价!C10:F28))</f>
        <v>0</v>
      </c>
      <c r="N2" s="1085">
        <f>SUMPRODUCT((因素修正幅度!B10:B28=I2)*(因素修正幅度!C3:F3=E2)*(因素修正幅度!C10:F28))</f>
        <v>0</v>
      </c>
      <c r="O2" s="1372"/>
      <c r="P2" s="1372"/>
      <c r="Q2" s="1372"/>
      <c r="R2" s="1604">
        <v>1</v>
      </c>
      <c r="S2" s="1604" t="e">
        <f>ROUND(IF(G3&gt;1,IF(R2&lt;7,SUMPRODUCT((B93:B98=R2)*(C92:N92=G2)*(C93:N98)),SUMIF(C92:N92,G2,C100:N100)),IF(R2&lt;7,SUMPRODUCT((B102:B107=R2)*(C92:N92=G2)*(C102:N107)),SUMIF(C92:N92,G2,C109:N109))),4)</f>
        <v>#DIV/0!</v>
      </c>
      <c r="T2" s="1604" t="e">
        <f ca="1">ROUND($C$5*$C$18*$C$19*$C$20*S2*$C$24,0)</f>
        <v>#DIV/0!</v>
      </c>
      <c r="U2" s="1605"/>
      <c r="V2" s="1604" t="e">
        <f ca="1">ROUND(T2*U2/10000,0)</f>
        <v>#DIV/0!</v>
      </c>
      <c r="W2" s="1608"/>
      <c r="X2" s="1608"/>
      <c r="Y2" s="1608"/>
      <c r="Z2" s="1608"/>
      <c r="AA2" s="1608"/>
      <c r="AB2" s="1608"/>
      <c r="AC2" s="1609"/>
      <c r="AD2" s="1610"/>
      <c r="AE2" s="1610"/>
      <c r="AF2" s="1610"/>
      <c r="AG2" s="1610"/>
      <c r="AH2" s="1610"/>
      <c r="AI2" s="1610"/>
      <c r="AJ2" s="1611"/>
    </row>
    <row r="3" spans="1:36" ht="15.75">
      <c r="A3" s="247" t="s">
        <v>2806</v>
      </c>
      <c r="B3" s="248" t="e">
        <f ca="1">ROUND(B2*10000/D1,0)</f>
        <v>#DIV/0!</v>
      </c>
      <c r="C3" s="2717" t="s">
        <v>2807</v>
      </c>
      <c r="D3" s="2718" t="s">
        <v>2808</v>
      </c>
      <c r="E3" s="2723" t="s">
        <v>3066</v>
      </c>
      <c r="F3" s="2724" t="s">
        <v>2809</v>
      </c>
      <c r="G3" s="916" t="e">
        <f>IF(F3="宗地容积率",'数据-汇总表'!I4,IF(F3="估价对象容积率",'数据-汇总表'!I6,'数据-汇总表'!I7))</f>
        <v>#DIV/0!</v>
      </c>
      <c r="H3" s="198" t="s">
        <v>2810</v>
      </c>
      <c r="I3" s="947"/>
      <c r="J3" s="2721" t="s">
        <v>2811</v>
      </c>
      <c r="K3" s="1372"/>
      <c r="L3" s="2722" t="s">
        <v>2812</v>
      </c>
      <c r="M3" s="1083">
        <f>SUMPRODUCT((区片价!B29:B48=I2)*(区片价!C3:F3=E2)*(区片价!C29:F48))</f>
        <v>0</v>
      </c>
      <c r="N3" s="1085">
        <f>SUMPRODUCT((因素修正幅度!B29:B48=I2)*(因素修正幅度!C3:F3=E2)*(因素修正幅度!C29:F48))</f>
        <v>0</v>
      </c>
      <c r="O3" s="1372"/>
      <c r="P3" s="1372"/>
      <c r="Q3" s="1372"/>
      <c r="R3" s="1604">
        <v>2</v>
      </c>
      <c r="S3" s="1604" t="e">
        <f>ROUND(IF(G3&gt;1,IF(R3&lt;7,SUMPRODUCT((B93:B98=R3)*(C92:N92=G2)*(C93:N98)),SUMIF(C92:N92,G2,C100:N100)),IF(R3&lt;7,SUMPRODUCT((B102:B107=R3)*(C92:N92=G2)*(C102:N107)),SUMIF(C92:N92,G2,C109:N109))),4)</f>
        <v>#DIV/0!</v>
      </c>
      <c r="T3" s="1604" t="e">
        <f t="shared" ref="T3:T16" ca="1" si="0">ROUND($C$5*$C$18*$C$19*$C$20*S3*$C$24,0)</f>
        <v>#DIV/0!</v>
      </c>
      <c r="U3" s="1605"/>
      <c r="V3" s="1604" t="e">
        <f t="shared" ref="V3:V16" ca="1" si="1">ROUND(T3*U3/10000,0)</f>
        <v>#DIV/0!</v>
      </c>
      <c r="W3" s="1608"/>
      <c r="X3" s="1608"/>
      <c r="Y3" s="1608"/>
      <c r="Z3" s="1608"/>
      <c r="AA3" s="1608"/>
      <c r="AB3" s="1608"/>
      <c r="AC3" s="1609"/>
      <c r="AD3" s="1610"/>
      <c r="AE3" s="1610"/>
      <c r="AF3" s="1610"/>
      <c r="AG3" s="1610"/>
      <c r="AH3" s="1610"/>
      <c r="AI3" s="1610"/>
      <c r="AJ3" s="1611"/>
    </row>
    <row r="4" spans="1:36" ht="15.75">
      <c r="A4" s="3158"/>
      <c r="B4" s="3159"/>
      <c r="C4" s="3159"/>
      <c r="D4" s="3160"/>
      <c r="E4" s="3160"/>
      <c r="F4" s="3160"/>
      <c r="G4" s="3160"/>
      <c r="H4" s="3160"/>
      <c r="I4" s="3160"/>
      <c r="J4" s="3161"/>
      <c r="K4" s="1372"/>
      <c r="L4" s="2722" t="s">
        <v>2813</v>
      </c>
      <c r="M4" s="1083">
        <f>SUMPRODUCT((区片价!B49:B75=I2)*(区片价!C3:F3=E2)*(区片价!C49:F75))</f>
        <v>0</v>
      </c>
      <c r="N4" s="1085">
        <f>SUMPRODUCT((因素修正幅度!B49:B75=I2)*(因素修正幅度!C3:F3=E2)*(因素修正幅度!C49:F75))</f>
        <v>0</v>
      </c>
      <c r="O4" s="1372"/>
      <c r="P4" s="1372"/>
      <c r="Q4" s="1372"/>
      <c r="R4" s="1604">
        <v>3</v>
      </c>
      <c r="S4" s="1604" t="e">
        <f>ROUND(IF(G3&gt;1,IF(R4&lt;7,SUMPRODUCT((B93:B98=R4)*(C92:N92=G2)*(C93:N98)),SUMIF(C92:N92,G2,C100:N100)),IF(R4&lt;7,SUMPRODUCT((B102:B107=R4)*(C92:N92=G2)*(C102:N107)),SUMIF(C92:N92,G2,C109:N109))),4)</f>
        <v>#DIV/0!</v>
      </c>
      <c r="T4" s="1604" t="e">
        <f t="shared" ca="1" si="0"/>
        <v>#DIV/0!</v>
      </c>
      <c r="U4" s="1605"/>
      <c r="V4" s="1604" t="e">
        <f t="shared" ca="1" si="1"/>
        <v>#DIV/0!</v>
      </c>
      <c r="W4" s="1608"/>
      <c r="X4" s="1608"/>
      <c r="Y4" s="1608"/>
      <c r="Z4" s="1608"/>
      <c r="AA4" s="1608"/>
      <c r="AB4" s="1608"/>
      <c r="AC4" s="1609"/>
      <c r="AD4" s="1610"/>
      <c r="AE4" s="1610"/>
      <c r="AF4" s="1610"/>
      <c r="AG4" s="1610"/>
      <c r="AH4" s="1610"/>
      <c r="AI4" s="1610"/>
      <c r="AJ4" s="1611"/>
    </row>
    <row r="5" spans="1:36" s="2734" customFormat="1" ht="15.75" thickBot="1">
      <c r="A5" s="2725" t="s">
        <v>807</v>
      </c>
      <c r="B5" s="2726" t="s">
        <v>2814</v>
      </c>
      <c r="C5" s="917">
        <f>ROUND(IF(E2="商业",IF(F16="增加",C6*C7+C16,C6*C7-C16),IF(E2="住宅",IF(F16="增加",C6*C12+C16,C6*C12-C16),IF(F16="增加",C6+C16,C6-C16))),0)</f>
        <v>1465</v>
      </c>
      <c r="D5" s="1789">
        <f>ROUND(IF(E2="商业",IF(F16="增加",C6+C16,C6-C16)),0)</f>
        <v>0</v>
      </c>
      <c r="E5" s="2727"/>
      <c r="F5" s="2727"/>
      <c r="G5" s="2728"/>
      <c r="H5" s="2728"/>
      <c r="I5" s="2728"/>
      <c r="J5" s="2729"/>
      <c r="K5" s="2730"/>
      <c r="L5" s="2722" t="s">
        <v>2815</v>
      </c>
      <c r="M5" s="1083">
        <f>SUMPRODUCT((区片价!B76:B109=I2)*(区片价!C3:F3=E2)*(区片价!C76:F109))</f>
        <v>0</v>
      </c>
      <c r="N5" s="1085">
        <f>SUMPRODUCT((因素修正幅度!B76:B109=I2)*(因素修正幅度!C3:F3=E2)*(因素修正幅度!C76:F109))</f>
        <v>0</v>
      </c>
      <c r="O5" s="1372"/>
      <c r="P5" s="1372"/>
      <c r="Q5" s="1372"/>
      <c r="R5" s="1604">
        <v>4</v>
      </c>
      <c r="S5" s="1604" t="e">
        <f>ROUND(IF(G3&gt;1,IF(R5&lt;7,SUMPRODUCT((B93:B98=R5)*(C92:N92=G2)*(C93:N98)),SUMIF(C92:N92,G2,C100:N100)),IF(R5&lt;7,SUMPRODUCT((B102:B107=R5)*(C92:N92=G2)*(C102:N107)),SUMIF(C92:N92,G2,C109:N109))),4)</f>
        <v>#DIV/0!</v>
      </c>
      <c r="T5" s="1604" t="e">
        <f t="shared" ca="1" si="0"/>
        <v>#DIV/0!</v>
      </c>
      <c r="U5" s="1605"/>
      <c r="V5" s="1604" t="e">
        <f t="shared" ca="1" si="1"/>
        <v>#DIV/0!</v>
      </c>
      <c r="W5" s="1608"/>
      <c r="X5" s="1608"/>
      <c r="Y5" s="1608"/>
      <c r="Z5" s="1608"/>
      <c r="AA5" s="1608"/>
      <c r="AB5" s="1608"/>
      <c r="AC5" s="2731"/>
      <c r="AD5" s="2732"/>
      <c r="AE5" s="2732"/>
      <c r="AF5" s="2732"/>
      <c r="AG5" s="2732"/>
      <c r="AH5" s="2732"/>
      <c r="AI5" s="2732"/>
      <c r="AJ5" s="2733"/>
    </row>
    <row r="6" spans="1:36" ht="15.75" thickBot="1">
      <c r="A6" s="2735" t="s">
        <v>2816</v>
      </c>
      <c r="B6" s="2736" t="s">
        <v>2817</v>
      </c>
      <c r="C6" s="918">
        <f>SUMIF(L1:L12,G2,M1:M12)</f>
        <v>1540</v>
      </c>
      <c r="D6" s="2737" t="s">
        <v>2818</v>
      </c>
      <c r="E6" s="2738"/>
      <c r="F6" s="2738"/>
      <c r="G6" s="2739"/>
      <c r="H6" s="2739"/>
      <c r="I6" s="2739"/>
      <c r="J6" s="2740"/>
      <c r="K6" s="1844"/>
      <c r="L6" s="2722" t="s">
        <v>2819</v>
      </c>
      <c r="M6" s="1083">
        <f>SUMPRODUCT((区片价!B110:B157=I2)*(区片价!C3:F3=E2)*(区片价!C110:F157))</f>
        <v>0</v>
      </c>
      <c r="N6" s="1085">
        <f>SUMPRODUCT((因素修正幅度!B110:B157=I2)*(因素修正幅度!C3:F3=E2)*(因素修正幅度!C110:F157))</f>
        <v>0</v>
      </c>
      <c r="O6" s="1372"/>
      <c r="P6" s="1372"/>
      <c r="Q6" s="1372"/>
      <c r="R6" s="1604">
        <v>5</v>
      </c>
      <c r="S6" s="1604" t="e">
        <f>ROUND(IF(G3&gt;1,IF(R6&lt;7,SUMPRODUCT((B93:B98=R6)*(C92:N92=G2)*(C93:N98)),SUMIF(C92:N92,G2,C100:N100)),IF(R6&lt;7,SUMPRODUCT((B102:B107=R6)*(C92:N92=G2)*(C102:N107)),SUMIF(C92:N92,G2,C109:N109))),4)</f>
        <v>#DIV/0!</v>
      </c>
      <c r="T6" s="1604" t="e">
        <f t="shared" ca="1" si="0"/>
        <v>#DIV/0!</v>
      </c>
      <c r="U6" s="1605"/>
      <c r="V6" s="1604" t="e">
        <f t="shared" ca="1" si="1"/>
        <v>#DIV/0!</v>
      </c>
      <c r="W6" s="1608"/>
      <c r="X6" s="1608"/>
      <c r="Y6" s="1608"/>
      <c r="Z6" s="1608"/>
      <c r="AA6" s="1608"/>
      <c r="AB6" s="1608"/>
      <c r="AC6" s="2731"/>
      <c r="AD6" s="2732"/>
      <c r="AE6" s="2732"/>
      <c r="AF6" s="2732"/>
      <c r="AG6" s="2732"/>
      <c r="AH6" s="2732"/>
      <c r="AI6" s="2732"/>
      <c r="AJ6" s="2733"/>
    </row>
    <row r="7" spans="1:36" ht="24">
      <c r="A7" s="3144" t="str">
        <f>IF(E2="商业",IF(C8="不临58条商业街","",2),"")</f>
        <v/>
      </c>
      <c r="B7" s="2741" t="s">
        <v>2820</v>
      </c>
      <c r="C7" s="919">
        <f>IF(C8="不临58条商业街",1,ROUND(1+(1.6*E8+1.2*E9+0.8*E10+0.4*E11)*C9,4))</f>
        <v>1</v>
      </c>
      <c r="D7" s="2742" t="s">
        <v>2821</v>
      </c>
      <c r="E7" s="948"/>
      <c r="F7" s="2743"/>
      <c r="G7" s="2744"/>
      <c r="H7" s="2744"/>
      <c r="I7" s="2744"/>
      <c r="J7" s="2745"/>
      <c r="K7" s="1844"/>
      <c r="L7" s="2722" t="s">
        <v>2822</v>
      </c>
      <c r="M7" s="1083">
        <f>SUMPRODUCT((区片价!B158:B205=I2)*(区片价!C3:F3=E2)*(区片价!C158:F205))</f>
        <v>1540</v>
      </c>
      <c r="N7" s="1085">
        <f>SUMPRODUCT((因素修正幅度!B158:B205=I2)*(因素修正幅度!C3:F3=E2)*(因素修正幅度!C158:F205))</f>
        <v>0.05</v>
      </c>
      <c r="O7" s="1372"/>
      <c r="P7" s="1372"/>
      <c r="Q7" s="1372"/>
      <c r="R7" s="1604">
        <v>6</v>
      </c>
      <c r="S7" s="1604" t="e">
        <f>ROUND(IF(G3&gt;1,IF(R7&lt;7,SUMPRODUCT((B93:B98=R7)*(C92:N92=G2)*(C93:N98)),SUMIF(C92:N92,G2,C100:N100)),IF(R7&lt;7,SUMPRODUCT((B102:B107=R7)*(C92:N92=G2)*(C102:N107)),SUMIF(C92:N92,G2,C109:N109))),4)</f>
        <v>#DIV/0!</v>
      </c>
      <c r="T7" s="1604" t="e">
        <f t="shared" ca="1" si="0"/>
        <v>#DIV/0!</v>
      </c>
      <c r="U7" s="1605"/>
      <c r="V7" s="1604" t="e">
        <f t="shared" ca="1" si="1"/>
        <v>#DIV/0!</v>
      </c>
      <c r="W7" s="1818" t="s">
        <v>2823</v>
      </c>
      <c r="X7" s="1606" t="str">
        <f>G2</f>
        <v>七级</v>
      </c>
      <c r="Y7" s="1606" t="s">
        <v>2824</v>
      </c>
      <c r="Z7" s="1607" t="e">
        <f>G3</f>
        <v>#DIV/0!</v>
      </c>
      <c r="AA7" s="1608"/>
      <c r="AB7" s="1608"/>
      <c r="AC7" s="1609"/>
      <c r="AD7" s="1610"/>
      <c r="AE7" s="1610"/>
      <c r="AF7" s="1610"/>
      <c r="AG7" s="1610"/>
      <c r="AH7" s="1610"/>
      <c r="AI7" s="1610"/>
      <c r="AJ7" s="1611"/>
    </row>
    <row r="8" spans="1:36" ht="25.5">
      <c r="A8" s="3145"/>
      <c r="B8" s="198" t="s">
        <v>2825</v>
      </c>
      <c r="C8" s="2746" t="s">
        <v>3067</v>
      </c>
      <c r="D8" s="920" t="s">
        <v>139</v>
      </c>
      <c r="E8" s="921" t="e">
        <f>ROUND(C11/E7,4)</f>
        <v>#DIV/0!</v>
      </c>
      <c r="F8" s="2747" t="s">
        <v>2826</v>
      </c>
      <c r="G8" s="2748"/>
      <c r="H8" s="2748"/>
      <c r="I8" s="2748"/>
      <c r="J8" s="2749"/>
      <c r="K8" s="1372"/>
      <c r="L8" s="2722" t="s">
        <v>2827</v>
      </c>
      <c r="M8" s="1083">
        <f>SUMPRODUCT((区片价!B206:B244=I2)*(区片价!C3:F3=E2)*(区片价!C206:F244))</f>
        <v>0</v>
      </c>
      <c r="N8" s="1085">
        <f>SUMPRODUCT((因素修正幅度!B206:B244=I2)*(因素修正幅度!C3:F3=E2)*(因素修正幅度!C206:F244))</f>
        <v>0</v>
      </c>
      <c r="O8" s="1372"/>
      <c r="P8" s="1372"/>
      <c r="Q8" s="1372"/>
      <c r="R8" s="1604">
        <v>7</v>
      </c>
      <c r="S8" s="1605"/>
      <c r="T8" s="1604">
        <f t="shared" ca="1" si="0"/>
        <v>0</v>
      </c>
      <c r="U8" s="1605"/>
      <c r="V8" s="1604">
        <f t="shared" ca="1" si="1"/>
        <v>0</v>
      </c>
      <c r="W8" s="3155" t="s">
        <v>2828</v>
      </c>
      <c r="X8" s="3156"/>
      <c r="Y8" s="1612" t="s">
        <v>2829</v>
      </c>
      <c r="Z8" s="1612" t="s">
        <v>2830</v>
      </c>
      <c r="AA8" s="1612" t="s">
        <v>2831</v>
      </c>
      <c r="AB8" s="1612" t="s">
        <v>2832</v>
      </c>
      <c r="AC8" s="1612" t="s">
        <v>2833</v>
      </c>
      <c r="AD8" s="1612" t="s">
        <v>2834</v>
      </c>
      <c r="AE8" s="1612" t="s">
        <v>2835</v>
      </c>
      <c r="AF8" s="1612" t="s">
        <v>2836</v>
      </c>
      <c r="AG8" s="1612" t="s">
        <v>2837</v>
      </c>
      <c r="AH8" s="1612" t="s">
        <v>2838</v>
      </c>
      <c r="AI8" s="1612" t="s">
        <v>2839</v>
      </c>
      <c r="AJ8" s="1612" t="s">
        <v>2840</v>
      </c>
    </row>
    <row r="9" spans="1:36" ht="15">
      <c r="A9" s="3145"/>
      <c r="B9" s="198" t="s">
        <v>2841</v>
      </c>
      <c r="C9" s="922">
        <f>SUMIF(修正!C59:C119,C8,修正!E59:E119)</f>
        <v>0</v>
      </c>
      <c r="D9" s="200" t="s">
        <v>140</v>
      </c>
      <c r="E9" s="200" t="e">
        <f>ROUND(C11/E7,4)</f>
        <v>#DIV/0!</v>
      </c>
      <c r="F9" s="2747" t="s">
        <v>2842</v>
      </c>
      <c r="G9" s="2748"/>
      <c r="H9" s="2748"/>
      <c r="I9" s="2748"/>
      <c r="J9" s="2749"/>
      <c r="K9" s="1372"/>
      <c r="L9" s="2722" t="s">
        <v>2843</v>
      </c>
      <c r="M9" s="1083">
        <f>SUMPRODUCT((区片价!B245:B289=I2)*(区片价!C3:F3=E2)*(区片价!C245:F289))</f>
        <v>0</v>
      </c>
      <c r="N9" s="1085">
        <f>SUMPRODUCT((因素修正幅度!B245:B289=I2)*(因素修正幅度!C3:F3=E2)*(因素修正幅度!C245:F289))</f>
        <v>0</v>
      </c>
      <c r="O9" s="1372"/>
      <c r="P9" s="1372"/>
      <c r="Q9" s="1372"/>
      <c r="R9" s="1604">
        <v>8</v>
      </c>
      <c r="S9" s="1605"/>
      <c r="T9" s="1604">
        <f t="shared" ca="1" si="0"/>
        <v>0</v>
      </c>
      <c r="U9" s="1605"/>
      <c r="V9" s="1604">
        <f t="shared" ca="1" si="1"/>
        <v>0</v>
      </c>
      <c r="W9" s="3157" t="s">
        <v>2844</v>
      </c>
      <c r="X9" s="1613" t="s">
        <v>2845</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145"/>
      <c r="B10" s="198" t="s">
        <v>2846</v>
      </c>
      <c r="C10" s="200">
        <f>SUMIF(修正!C59:C119,C8,修正!F59:F119)</f>
        <v>0</v>
      </c>
      <c r="D10" s="200" t="s">
        <v>141</v>
      </c>
      <c r="E10" s="200" t="e">
        <f>ROUND(C11/E7,4)</f>
        <v>#DIV/0!</v>
      </c>
      <c r="F10" s="2747" t="s">
        <v>2847</v>
      </c>
      <c r="G10" s="2748"/>
      <c r="H10" s="2748"/>
      <c r="I10" s="2748"/>
      <c r="J10" s="2749"/>
      <c r="K10" s="1372"/>
      <c r="L10" s="2722" t="s">
        <v>2848</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f t="shared" ca="1" si="0"/>
        <v>0</v>
      </c>
      <c r="U10" s="1605"/>
      <c r="V10" s="1604">
        <f t="shared" ca="1" si="1"/>
        <v>0</v>
      </c>
      <c r="W10" s="3157"/>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145"/>
      <c r="B11" s="2750" t="s">
        <v>2849</v>
      </c>
      <c r="C11" s="923">
        <f>C10/4</f>
        <v>0</v>
      </c>
      <c r="D11" s="923" t="s">
        <v>142</v>
      </c>
      <c r="E11" s="923" t="e">
        <f>ROUND(C11/E7,4)</f>
        <v>#DIV/0!</v>
      </c>
      <c r="F11" s="2751" t="s">
        <v>2850</v>
      </c>
      <c r="G11" s="2752"/>
      <c r="H11" s="2752"/>
      <c r="I11" s="2752"/>
      <c r="J11" s="2753"/>
      <c r="K11" s="1372"/>
      <c r="L11" s="2722" t="s">
        <v>2851</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f t="shared" ca="1" si="0"/>
        <v>0</v>
      </c>
      <c r="U11" s="1605"/>
      <c r="V11" s="1604">
        <f t="shared" ca="1" si="1"/>
        <v>0</v>
      </c>
      <c r="W11" s="3157" t="s">
        <v>2852</v>
      </c>
      <c r="X11" s="1616" t="s">
        <v>2853</v>
      </c>
      <c r="Y11" s="1617" t="e">
        <f>$G$3</f>
        <v>#DIV/0!</v>
      </c>
      <c r="Z11" s="1617" t="e">
        <f t="shared" ref="Z11:AJ11" si="3">$G$3</f>
        <v>#DIV/0!</v>
      </c>
      <c r="AA11" s="1617" t="e">
        <f t="shared" si="3"/>
        <v>#DIV/0!</v>
      </c>
      <c r="AB11" s="1617" t="e">
        <f t="shared" si="3"/>
        <v>#DIV/0!</v>
      </c>
      <c r="AC11" s="1617" t="e">
        <f t="shared" si="3"/>
        <v>#DIV/0!</v>
      </c>
      <c r="AD11" s="1617" t="e">
        <f t="shared" si="3"/>
        <v>#DIV/0!</v>
      </c>
      <c r="AE11" s="1617" t="e">
        <f t="shared" si="3"/>
        <v>#DIV/0!</v>
      </c>
      <c r="AF11" s="1617" t="e">
        <f t="shared" si="3"/>
        <v>#DIV/0!</v>
      </c>
      <c r="AG11" s="1617" t="e">
        <f t="shared" si="3"/>
        <v>#DIV/0!</v>
      </c>
      <c r="AH11" s="1617" t="e">
        <f t="shared" si="3"/>
        <v>#DIV/0!</v>
      </c>
      <c r="AI11" s="1617" t="e">
        <f t="shared" si="3"/>
        <v>#DIV/0!</v>
      </c>
      <c r="AJ11" s="1617" t="e">
        <f t="shared" si="3"/>
        <v>#DIV/0!</v>
      </c>
    </row>
    <row r="12" spans="1:36" ht="25.5" thickBot="1">
      <c r="A12" s="3144" t="s">
        <v>2854</v>
      </c>
      <c r="B12" s="2754" t="s">
        <v>2855</v>
      </c>
      <c r="C12" s="919">
        <f>ROUND(C15*D15*E15*F15*G15*H15*I15*J15,4)</f>
        <v>1</v>
      </c>
      <c r="D12" s="2755" t="s">
        <v>2856</v>
      </c>
      <c r="E12" s="2756"/>
      <c r="F12" s="2756"/>
      <c r="G12" s="2757"/>
      <c r="H12" s="2757"/>
      <c r="I12" s="2757"/>
      <c r="J12" s="2758"/>
      <c r="K12" s="1372"/>
      <c r="L12" s="2759" t="s">
        <v>2857</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f t="shared" ca="1" si="0"/>
        <v>0</v>
      </c>
      <c r="U12" s="1605"/>
      <c r="V12" s="1604">
        <f t="shared" ca="1" si="1"/>
        <v>0</v>
      </c>
      <c r="W12" s="3157"/>
      <c r="X12" s="1618" t="s">
        <v>2858</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162"/>
      <c r="B13" s="2760" t="s">
        <v>2859</v>
      </c>
      <c r="C13" s="2761" t="s">
        <v>2860</v>
      </c>
      <c r="D13" s="1810" t="s">
        <v>2861</v>
      </c>
      <c r="E13" s="1810" t="s">
        <v>2862</v>
      </c>
      <c r="F13" s="30" t="s">
        <v>2863</v>
      </c>
      <c r="G13" s="2762" t="s">
        <v>2864</v>
      </c>
      <c r="H13" s="2762" t="s">
        <v>2864</v>
      </c>
      <c r="I13" s="2762" t="s">
        <v>2864</v>
      </c>
      <c r="J13" s="2763" t="s">
        <v>2864</v>
      </c>
      <c r="K13" s="1372"/>
      <c r="L13" s="1372"/>
      <c r="M13" s="1372"/>
      <c r="N13" s="1372"/>
      <c r="O13" s="1372"/>
      <c r="P13" s="1372"/>
      <c r="Q13" s="1372"/>
      <c r="R13" s="1604">
        <v>12</v>
      </c>
      <c r="S13" s="1605"/>
      <c r="T13" s="1604">
        <f t="shared" ca="1" si="0"/>
        <v>0</v>
      </c>
      <c r="U13" s="1605"/>
      <c r="V13" s="1604">
        <f t="shared" ca="1" si="1"/>
        <v>0</v>
      </c>
      <c r="W13" s="3157"/>
      <c r="X13" s="1618"/>
      <c r="Y13" s="1615" t="e">
        <f>(-0.163*(Y12^2)-0.59*Y12+7617)*(10^(-4))/Y11</f>
        <v>#DIV/0!</v>
      </c>
      <c r="Z13" s="1615" t="e">
        <f t="shared" ref="Z13:AJ13" si="5">(-0.163*(Z12^2)-0.59*Z12+7617)*(10^(-4))/Z11</f>
        <v>#DIV/0!</v>
      </c>
      <c r="AA13" s="1615" t="e">
        <f t="shared" si="5"/>
        <v>#DIV/0!</v>
      </c>
      <c r="AB13" s="1615" t="e">
        <f t="shared" si="5"/>
        <v>#DIV/0!</v>
      </c>
      <c r="AC13" s="1615" t="e">
        <f t="shared" si="5"/>
        <v>#DIV/0!</v>
      </c>
      <c r="AD13" s="1615" t="e">
        <f t="shared" si="5"/>
        <v>#DIV/0!</v>
      </c>
      <c r="AE13" s="1615" t="e">
        <f t="shared" si="5"/>
        <v>#DIV/0!</v>
      </c>
      <c r="AF13" s="1615" t="e">
        <f t="shared" si="5"/>
        <v>#DIV/0!</v>
      </c>
      <c r="AG13" s="1615" t="e">
        <f t="shared" si="5"/>
        <v>#DIV/0!</v>
      </c>
      <c r="AH13" s="1615" t="e">
        <f t="shared" si="5"/>
        <v>#DIV/0!</v>
      </c>
      <c r="AI13" s="1615" t="e">
        <f t="shared" si="5"/>
        <v>#DIV/0!</v>
      </c>
      <c r="AJ13" s="1615" t="e">
        <f t="shared" si="5"/>
        <v>#DIV/0!</v>
      </c>
    </row>
    <row r="14" spans="1:36" ht="15">
      <c r="A14" s="3162"/>
      <c r="B14" s="2764"/>
      <c r="C14" s="2765"/>
      <c r="D14" s="2766"/>
      <c r="E14" s="2766"/>
      <c r="F14" s="2767"/>
      <c r="G14" s="2768" t="s">
        <v>2865</v>
      </c>
      <c r="H14" s="2769"/>
      <c r="I14" s="2770"/>
      <c r="J14" s="2771"/>
      <c r="K14" s="1372"/>
      <c r="L14" s="1372"/>
      <c r="M14" s="1372"/>
      <c r="N14" s="1372"/>
      <c r="O14" s="1372"/>
      <c r="P14" s="1372"/>
      <c r="Q14" s="1372"/>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163"/>
      <c r="B15" s="2772" t="s">
        <v>2866</v>
      </c>
      <c r="C15" s="229">
        <f>IF(C14="有",1.1,1)</f>
        <v>1</v>
      </c>
      <c r="D15" s="229">
        <f>IF(D14="有",1.1,1)</f>
        <v>1</v>
      </c>
      <c r="E15" s="229">
        <f>IF(E14="有",1.1,1)</f>
        <v>1</v>
      </c>
      <c r="F15" s="229">
        <f>IF(F14="500米范围内",1.2,IF(F14="500-1000米",1.1,1))</f>
        <v>1</v>
      </c>
      <c r="G15" s="949">
        <v>1</v>
      </c>
      <c r="H15" s="949">
        <v>1</v>
      </c>
      <c r="I15" s="949">
        <v>1</v>
      </c>
      <c r="J15" s="950">
        <v>1</v>
      </c>
      <c r="K15" s="1372"/>
      <c r="L15" s="2773" t="s">
        <v>2802</v>
      </c>
      <c r="M15" s="920" t="s">
        <v>2867</v>
      </c>
      <c r="N15" s="920" t="s">
        <v>2868</v>
      </c>
      <c r="O15" s="920" t="s">
        <v>2869</v>
      </c>
      <c r="P15" s="2774" t="s">
        <v>2870</v>
      </c>
      <c r="Q15" s="1372"/>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144" t="s">
        <v>2871</v>
      </c>
      <c r="B16" s="2741" t="s">
        <v>2872</v>
      </c>
      <c r="C16" s="1803">
        <f>ROUND(SUM(G17:J17)/C17,0)</f>
        <v>75</v>
      </c>
      <c r="D16" s="2775" t="s">
        <v>2873</v>
      </c>
      <c r="E16" s="2776" t="s">
        <v>3068</v>
      </c>
      <c r="F16" s="2777" t="s">
        <v>3069</v>
      </c>
      <c r="G16" s="2958" t="s">
        <v>3070</v>
      </c>
      <c r="H16" s="2958" t="s">
        <v>3071</v>
      </c>
      <c r="I16" s="2778"/>
      <c r="J16" s="2779"/>
      <c r="K16" s="1372"/>
      <c r="L16" s="2780" t="s">
        <v>2874</v>
      </c>
      <c r="M16" s="922">
        <v>0.25</v>
      </c>
      <c r="N16" s="922">
        <v>0.2</v>
      </c>
      <c r="O16" s="922">
        <v>0.15</v>
      </c>
      <c r="P16" s="1371">
        <v>0.1</v>
      </c>
      <c r="Q16" s="1372"/>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145"/>
      <c r="B17" s="2781" t="s">
        <v>2875</v>
      </c>
      <c r="C17" s="924">
        <f>SUMPRODUCT((修正!A2:A5=E2)*(修正!B1:M1=G2)*(修正!B2:M5))</f>
        <v>1.2</v>
      </c>
      <c r="D17" s="2782" t="s">
        <v>2876</v>
      </c>
      <c r="E17" s="923" t="str">
        <f>IF(OR(G2="八级",G2="九级",G2="十级",G2="十一级",G2="十二级"),"五通一平","七通一平")</f>
        <v>七通一平</v>
      </c>
      <c r="F17" s="924" t="s">
        <v>2877</v>
      </c>
      <c r="G17" s="924">
        <f>SUMPRODUCT((七通一平=G16)*(修正!B1:M1=G2)*(修正!B6:M14))</f>
        <v>50</v>
      </c>
      <c r="H17" s="924">
        <f>SUMPRODUCT((七通一平=H16)*(修正!B1:M1=G2)*(修正!B6:M14))</f>
        <v>40</v>
      </c>
      <c r="I17" s="924">
        <f>SUMPRODUCT((七通一平=I16)*(修正!B1:M1=G2)*(修正!B6:M14))</f>
        <v>0</v>
      </c>
      <c r="J17" s="925">
        <f>SUMPRODUCT((七通一平=J16)*(修正!B1:M1=G2)*(修正!B6:M14))</f>
        <v>0</v>
      </c>
      <c r="K17" s="1372"/>
      <c r="L17" s="2783" t="s">
        <v>2878</v>
      </c>
      <c r="M17" s="211">
        <f ca="1">ROUND($E$20*(1+M16),3)</f>
        <v>5.3999999999999999E-2</v>
      </c>
      <c r="N17" s="211">
        <f ca="1">ROUND($E$20*(1+N16),3)</f>
        <v>5.1999999999999998E-2</v>
      </c>
      <c r="O17" s="211">
        <f ca="1">ROUND($E$20*(1+O16),3)</f>
        <v>0.05</v>
      </c>
      <c r="P17" s="1375">
        <f ca="1">ROUND($E$20*(1+P16),3)</f>
        <v>4.8000000000000001E-2</v>
      </c>
      <c r="Q17" s="1372"/>
      <c r="R17" s="1372"/>
      <c r="S17" s="1372"/>
      <c r="T17" s="1372"/>
      <c r="U17" s="1372"/>
      <c r="V17" s="1372"/>
      <c r="W17" s="1372"/>
      <c r="X17" s="1372"/>
      <c r="Y17" s="1372"/>
      <c r="Z17" s="1373"/>
      <c r="AE17" s="2784"/>
      <c r="AF17" s="2784"/>
      <c r="AG17" s="2716"/>
      <c r="AH17" s="2716"/>
      <c r="AI17" s="2716"/>
      <c r="AJ17" s="2716"/>
    </row>
    <row r="18" spans="1:37" s="2734" customFormat="1" ht="15.75" thickBot="1">
      <c r="A18" s="2785" t="s">
        <v>808</v>
      </c>
      <c r="B18" s="2786" t="s">
        <v>2879</v>
      </c>
      <c r="C18" s="926">
        <f>SUMIF(修正!C18:C39,E3,修正!E18:E39)</f>
        <v>0.8</v>
      </c>
      <c r="D18" s="2787"/>
      <c r="E18" s="2788"/>
      <c r="F18" s="2789"/>
      <c r="G18" s="2790"/>
      <c r="H18" s="2790"/>
      <c r="I18" s="2790"/>
      <c r="J18" s="2791"/>
      <c r="K18" s="1379"/>
      <c r="O18" s="1377"/>
      <c r="P18" s="1377"/>
      <c r="Q18" s="1378"/>
      <c r="R18" s="1378"/>
      <c r="S18" s="1378"/>
      <c r="T18" s="1373"/>
      <c r="U18" s="1373"/>
      <c r="V18" s="1373"/>
      <c r="W18" s="1372"/>
      <c r="X18" s="1372"/>
      <c r="Y18" s="1372"/>
      <c r="Z18" s="1379"/>
      <c r="AA18" s="1380"/>
      <c r="AB18" s="1380"/>
      <c r="AC18" s="1380"/>
      <c r="AD18" s="1380"/>
      <c r="AE18" s="1374"/>
      <c r="AF18" s="1374"/>
      <c r="AG18" s="2792"/>
      <c r="AH18" s="2792"/>
      <c r="AI18" s="2792"/>
    </row>
    <row r="19" spans="1:37" s="2734" customFormat="1" ht="29.25" thickBot="1">
      <c r="A19" s="2785" t="s">
        <v>809</v>
      </c>
      <c r="B19" s="2786" t="s">
        <v>2880</v>
      </c>
      <c r="C19" s="927">
        <f>ROUND(IF(H19="按公示增长率计算",SUMPRODUCT((地价!A3:A21=YEAR(G19)&amp;"-"&amp;ROUNDUP(MONTH(G19)/3,0))*(地价!X2:AB2=E2)*(地价!X3:AB21)),IF(H19="地价指数",M20/M19,(1+I19)^O19)),4)</f>
        <v>1.2309000000000001</v>
      </c>
      <c r="D19" s="2793" t="s">
        <v>2881</v>
      </c>
      <c r="E19" s="928">
        <v>41640</v>
      </c>
      <c r="F19" s="2793" t="s">
        <v>2882</v>
      </c>
      <c r="G19" s="929">
        <f>'数据-取费表'!B2</f>
        <v>43165</v>
      </c>
      <c r="H19" s="2794" t="s">
        <v>3072</v>
      </c>
      <c r="I19" s="930" t="str">
        <f>IF(H19="季度增幅（自定义）",SUMIF(N21:N24,E2,O21:O24),"")</f>
        <v/>
      </c>
      <c r="J19" s="2791"/>
      <c r="K19" s="1379"/>
      <c r="L19" s="2795" t="s">
        <v>2883</v>
      </c>
      <c r="M19" s="1736">
        <f>ROUND(SUMIF(地价!B2:F2,E2,地价!B21:F21),0)</f>
        <v>230</v>
      </c>
      <c r="N19" s="2796" t="s">
        <v>2884</v>
      </c>
      <c r="O19" s="931">
        <f>ROUNDDOWN(DATEDIF(E19,G19,"M")/3,0)</f>
        <v>16</v>
      </c>
      <c r="P19" s="1376"/>
      <c r="Q19" s="1378"/>
      <c r="R19" s="1378"/>
      <c r="S19" s="1378"/>
      <c r="T19" s="1373"/>
      <c r="U19" s="1373"/>
      <c r="V19" s="1373"/>
      <c r="W19" s="1372"/>
      <c r="X19" s="1372"/>
      <c r="Y19" s="1372"/>
      <c r="Z19" s="1379"/>
      <c r="AA19" s="1380"/>
      <c r="AB19" s="1380"/>
      <c r="AC19" s="1380"/>
      <c r="AD19" s="1380"/>
      <c r="AE19" s="1380"/>
      <c r="AF19" s="2797"/>
      <c r="AG19" s="2798"/>
      <c r="AH19" s="2792"/>
      <c r="AI19" s="2799"/>
      <c r="AJ19" s="2799"/>
      <c r="AK19" s="2799"/>
    </row>
    <row r="20" spans="1:37" s="2734" customFormat="1" ht="27.75" thickBot="1">
      <c r="A20" s="2800" t="s">
        <v>810</v>
      </c>
      <c r="B20" s="2801" t="s">
        <v>2885</v>
      </c>
      <c r="C20" s="932">
        <f ca="1">ROUND(POWER(1+G20,J20-I20)*(POWER(1+G20,I20)-1)/(POWER(1+G20,J20)-1),4)</f>
        <v>0.95899999999999996</v>
      </c>
      <c r="D20" s="2802" t="s">
        <v>2886</v>
      </c>
      <c r="E20" s="1770">
        <f ca="1">存贷款利率!D4/100</f>
        <v>4.3499999999999997E-2</v>
      </c>
      <c r="F20" s="2802" t="s">
        <v>2878</v>
      </c>
      <c r="G20" s="937">
        <f ca="1">SUMIF(M15:P15,E2,M17:P17)</f>
        <v>4.8000000000000001E-2</v>
      </c>
      <c r="H20" s="2802" t="s">
        <v>2887</v>
      </c>
      <c r="I20" s="938">
        <f>SUMIF('数据-取费表'!C6:C15,E2,'数据-取费表'!F6:F15)/COUNTIF('数据-取费表'!C6:C15,E2)</f>
        <v>43.03</v>
      </c>
      <c r="J20" s="939">
        <f>IF(E2="住宅",70,IF(E2="商业",40,50))</f>
        <v>50</v>
      </c>
      <c r="K20" s="1379"/>
      <c r="L20" s="2803" t="s">
        <v>2888</v>
      </c>
      <c r="M20" s="1737">
        <f>ROUND(SUMPRODUCT((地价!A4:A21=YEAR(G19)&amp;"-"&amp;ROUNDUP(MONTH(G19)/3,0))*(地价!B2:F2=E2)*(地价!B4:F21)),0)</f>
        <v>283</v>
      </c>
      <c r="N20" s="2804" t="s">
        <v>2889</v>
      </c>
      <c r="O20" s="2805" t="s">
        <v>2890</v>
      </c>
      <c r="P20" s="2806" t="s">
        <v>2891</v>
      </c>
      <c r="R20" s="1378"/>
      <c r="S20" s="1378"/>
      <c r="T20" s="1373"/>
      <c r="U20" s="1373"/>
      <c r="V20" s="1373"/>
      <c r="W20" s="1372"/>
      <c r="X20" s="1372"/>
      <c r="Y20" s="1372"/>
      <c r="Z20" s="1379"/>
      <c r="AA20" s="1380"/>
      <c r="AB20" s="1380"/>
      <c r="AC20" s="1380"/>
      <c r="AD20" s="1380"/>
      <c r="AE20" s="1380"/>
      <c r="AF20" s="1380"/>
    </row>
    <row r="21" spans="1:37" s="2734" customFormat="1" ht="15">
      <c r="A21" s="2807" t="s">
        <v>811</v>
      </c>
      <c r="B21" s="2959" t="s">
        <v>3073</v>
      </c>
      <c r="C21" s="940" t="e">
        <f>IF(B21="容积率修正",IF(G3&lt;=10,D22,J22),C23)</f>
        <v>#DIV/0!</v>
      </c>
      <c r="D21" s="2808"/>
      <c r="E21" s="2808"/>
      <c r="F21" s="2808"/>
      <c r="G21" s="2808"/>
      <c r="H21" s="2808"/>
      <c r="I21" s="2808"/>
      <c r="J21" s="2809"/>
      <c r="K21" s="1379"/>
      <c r="N21" s="2810" t="s">
        <v>2892</v>
      </c>
      <c r="O21" s="1563"/>
      <c r="P21" s="1564">
        <f>SUMPRODUCT((地价!A3:A21=YEAR(G19)&amp;"-"&amp;ROUNDUP(MONTH(G19)/3,0))*(地价!AD2:AH2=N21)*(地价!AD3:AH21))</f>
        <v>1.55E-2</v>
      </c>
      <c r="R21" s="1378"/>
      <c r="S21" s="1378"/>
      <c r="T21" s="1373"/>
      <c r="U21" s="1373"/>
      <c r="V21" s="1373"/>
      <c r="W21" s="1372"/>
      <c r="X21" s="1372"/>
      <c r="Y21" s="1372"/>
      <c r="Z21" s="1379"/>
      <c r="AA21" s="1380"/>
      <c r="AB21" s="1380"/>
      <c r="AC21" s="1380"/>
      <c r="AD21" s="1380"/>
      <c r="AE21" s="1380"/>
      <c r="AF21" s="1380"/>
    </row>
    <row r="22" spans="1:37" s="2734" customFormat="1" ht="14.25">
      <c r="A22" s="2660" t="s">
        <v>2893</v>
      </c>
      <c r="B22" s="2811" t="s">
        <v>2894</v>
      </c>
      <c r="C22" s="1812" t="s">
        <v>2895</v>
      </c>
      <c r="D22" s="1812" t="e">
        <f>IF(E22=G22,F22,IF(G3&lt;=10,ROUND(F22+(H22-F22)*(G3-E22)/(G22-E22),4),"——"))</f>
        <v>#DIV/0!</v>
      </c>
      <c r="E22" s="916" t="e">
        <f>ROUNDDOWN(G3,1)</f>
        <v>#DIV/0!</v>
      </c>
      <c r="F22" s="1812"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12"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2" t="s">
        <v>155</v>
      </c>
      <c r="J22" s="941" t="e">
        <f>IF(G3&gt;10,D113,"——")</f>
        <v>#DIV/0!</v>
      </c>
      <c r="K22" s="1379"/>
      <c r="N22" s="2810" t="s">
        <v>2896</v>
      </c>
      <c r="O22" s="1563"/>
      <c r="P22" s="1564">
        <f>SUMPRODUCT((地价!A3:A21=YEAR(G19)&amp;"-"&amp;ROUNDUP(MONTH(G19)/3,0))*(地价!AD2:AH2=N22)*(地价!AD3:AH21))</f>
        <v>1.55E-2</v>
      </c>
      <c r="R22" s="1378"/>
      <c r="S22" s="1378"/>
      <c r="T22" s="1373"/>
      <c r="U22" s="1373"/>
      <c r="V22" s="1373"/>
      <c r="W22" s="1372"/>
      <c r="X22" s="1372"/>
      <c r="Y22" s="1372"/>
      <c r="Z22" s="1379"/>
      <c r="AA22" s="1380"/>
      <c r="AB22" s="1380"/>
      <c r="AC22" s="1380"/>
      <c r="AD22" s="1380"/>
      <c r="AE22" s="1380"/>
      <c r="AF22" s="1380"/>
    </row>
    <row r="23" spans="1:37" ht="27.75" thickBot="1">
      <c r="A23" s="2660" t="s">
        <v>2897</v>
      </c>
      <c r="B23" s="2812" t="s">
        <v>2898</v>
      </c>
      <c r="C23" s="1016" t="e">
        <f>ROUND(IF(G3&gt;1,IF(I3&lt;7,SUMPRODUCT((B93:B98=I3)*(C92:N92=G2)*(C93:N98)),SUMIF(C92:N92,G2,C100:N100)),IF(I3&lt;7,SUMPRODUCT((B102:B107=I3)*(C92:N92=G2)*(C102:N107)),SUMIF(C92:N92,G2,C109:N109))),4)</f>
        <v>#DIV/0!</v>
      </c>
      <c r="D23" s="2769"/>
      <c r="E23" s="2769"/>
      <c r="F23" s="2813"/>
      <c r="G23" s="2814"/>
      <c r="H23" s="2815"/>
      <c r="I23" s="2816"/>
      <c r="J23" s="2817"/>
      <c r="K23" s="1372"/>
      <c r="N23" s="2810" t="s">
        <v>2899</v>
      </c>
      <c r="O23" s="1563"/>
      <c r="P23" s="1564">
        <f>SUMPRODUCT((地价!A3:A21=YEAR(G19)&amp;"-"&amp;ROUNDUP(MONTH(G19)/3,0))*(地价!AD2:AH2=N23)*(地价!AD3:AH21))</f>
        <v>2.5499999999999998E-2</v>
      </c>
      <c r="R23" s="1378"/>
      <c r="S23" s="1378"/>
      <c r="T23" s="1373"/>
      <c r="U23" s="1373"/>
      <c r="V23" s="1373"/>
      <c r="W23" s="1372"/>
      <c r="X23" s="1372"/>
      <c r="Y23" s="1372"/>
      <c r="Z23" s="1379"/>
      <c r="AA23" s="1380"/>
      <c r="AB23" s="1380"/>
      <c r="AC23" s="1380"/>
      <c r="AD23" s="1380"/>
      <c r="AK23" s="2792"/>
    </row>
    <row r="24" spans="1:37" s="2734" customFormat="1" ht="15.75" thickBot="1">
      <c r="A24" s="2800" t="s">
        <v>812</v>
      </c>
      <c r="B24" s="2786" t="s">
        <v>2900</v>
      </c>
      <c r="C24" s="927">
        <f>SUMIF(A45:A88,E2,B45:B88)</f>
        <v>1</v>
      </c>
      <c r="D24" s="2789"/>
      <c r="E24" s="2818"/>
      <c r="F24" s="2818"/>
      <c r="G24" s="2818"/>
      <c r="H24" s="2818"/>
      <c r="I24" s="2818"/>
      <c r="J24" s="2819"/>
      <c r="K24" s="1379"/>
      <c r="N24" s="2820" t="s">
        <v>2901</v>
      </c>
      <c r="O24" s="1565"/>
      <c r="P24" s="1566">
        <f>SUMPRODUCT((地价!A3:A21=YEAR(G19)&amp;"-"&amp;ROUNDUP(MONTH(G19)/3,0))*(地价!AD2:AH2=N24)*(地价!AD3:AH21))</f>
        <v>1.3100000000000001E-2</v>
      </c>
      <c r="R24" s="1378"/>
      <c r="S24" s="1378"/>
      <c r="T24" s="1373"/>
      <c r="U24" s="1373"/>
      <c r="V24" s="1373"/>
      <c r="W24" s="1372"/>
      <c r="X24" s="1372"/>
      <c r="Y24" s="1372"/>
      <c r="Z24" s="1379"/>
      <c r="AA24" s="1380"/>
      <c r="AB24" s="1380"/>
      <c r="AC24" s="1380"/>
      <c r="AD24" s="1380"/>
      <c r="AE24" s="1380"/>
      <c r="AF24" s="1380"/>
    </row>
    <row r="25" spans="1:37" ht="15.75" thickBot="1">
      <c r="A25" s="2800" t="s">
        <v>813</v>
      </c>
      <c r="B25" s="2821" t="s">
        <v>2902</v>
      </c>
      <c r="C25" s="933"/>
      <c r="D25" s="2744"/>
      <c r="E25" s="2744"/>
      <c r="F25" s="2822"/>
      <c r="G25" s="2744"/>
      <c r="H25" s="2744"/>
      <c r="I25" s="2744"/>
      <c r="J25" s="2745"/>
      <c r="K25" s="1372"/>
      <c r="N25" s="2823" t="s">
        <v>2903</v>
      </c>
      <c r="O25" s="1567"/>
      <c r="P25" s="1566">
        <f>SUMPRODUCT((地价!A3:A21=YEAR(G19)&amp;"-"&amp;ROUNDUP(MONTH(G19)/3,0))*(地价!AD2:AH2=N25)*(地价!AD3:AH21))</f>
        <v>2.3E-2</v>
      </c>
      <c r="R25" s="1378"/>
      <c r="S25" s="1378"/>
      <c r="T25" s="1373"/>
      <c r="U25" s="1373"/>
      <c r="V25" s="1373"/>
      <c r="W25" s="1372"/>
      <c r="X25" s="1372"/>
      <c r="Y25" s="1372"/>
      <c r="Z25" s="1379"/>
      <c r="AA25" s="1380"/>
      <c r="AB25" s="1380"/>
      <c r="AC25" s="1380"/>
      <c r="AD25" s="1380"/>
    </row>
    <row r="26" spans="1:37" ht="15">
      <c r="A26" s="2824"/>
      <c r="B26" s="2811" t="s">
        <v>2904</v>
      </c>
      <c r="C26" s="206" t="e">
        <f ca="1">E29+SUM(E33:E39)</f>
        <v>#DIV/0!</v>
      </c>
      <c r="D26" s="2825"/>
      <c r="E26" s="2769"/>
      <c r="F26" s="2826"/>
      <c r="G26" s="2769"/>
      <c r="H26" s="2769"/>
      <c r="I26" s="2769"/>
      <c r="J26" s="2827"/>
      <c r="K26" s="1372"/>
      <c r="R26" s="1378"/>
      <c r="S26" s="1378"/>
      <c r="T26" s="1373"/>
      <c r="U26" s="1373"/>
      <c r="V26" s="1373"/>
      <c r="W26" s="1372"/>
      <c r="X26" s="1372"/>
      <c r="Y26" s="1372"/>
      <c r="Z26" s="1379"/>
      <c r="AA26" s="1380"/>
      <c r="AB26" s="1380"/>
      <c r="AC26" s="1380"/>
      <c r="AD26" s="1380"/>
    </row>
    <row r="27" spans="1:37" ht="15.75" thickBot="1">
      <c r="A27" s="2824"/>
      <c r="B27" s="2828" t="s">
        <v>2905</v>
      </c>
      <c r="C27" s="934" t="e">
        <f ca="1">E30+SUM(I33:I39)</f>
        <v>#DIV/0!</v>
      </c>
      <c r="D27" s="2829"/>
      <c r="E27" s="2830"/>
      <c r="F27" s="2831"/>
      <c r="G27" s="2830"/>
      <c r="H27" s="2830"/>
      <c r="I27" s="2830"/>
      <c r="J27" s="2832"/>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33"/>
      <c r="B28" s="2834" t="s">
        <v>2906</v>
      </c>
      <c r="C28" s="2835" t="s">
        <v>2907</v>
      </c>
      <c r="D28" s="2835" t="s">
        <v>2908</v>
      </c>
      <c r="E28" s="2836" t="s">
        <v>2909</v>
      </c>
      <c r="F28" s="2837"/>
      <c r="G28" s="2757"/>
      <c r="H28" s="2757"/>
      <c r="I28" s="2757"/>
      <c r="J28" s="2758"/>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38"/>
      <c r="B29" s="2839" t="s">
        <v>2910</v>
      </c>
      <c r="C29" s="206" t="e">
        <f ca="1">ROUND(C5*C18*C19*C20*C21*C24,0)</f>
        <v>#DIV/0!</v>
      </c>
      <c r="D29" s="2840">
        <f>'数据-汇总表'!E3</f>
        <v>1246.4000000000001</v>
      </c>
      <c r="E29" s="945" t="e">
        <f ca="1">ROUND(C29*D29/10000,0)</f>
        <v>#DIV/0!</v>
      </c>
      <c r="F29" s="2841" t="s">
        <v>2911</v>
      </c>
      <c r="G29" s="2842"/>
      <c r="H29" s="2842"/>
      <c r="I29" s="2842"/>
      <c r="J29" s="2843"/>
      <c r="K29" s="1372"/>
      <c r="L29" s="1372"/>
      <c r="M29" s="1372"/>
      <c r="N29" s="1372"/>
      <c r="O29" s="1377"/>
      <c r="P29" s="1377"/>
      <c r="Q29" s="1378"/>
      <c r="R29" s="1378"/>
      <c r="S29" s="1378"/>
      <c r="T29" s="1373"/>
      <c r="U29" s="1373"/>
      <c r="V29" s="1373"/>
      <c r="W29" s="1372"/>
      <c r="X29" s="1372"/>
      <c r="Y29" s="1372"/>
      <c r="Z29" s="1379"/>
      <c r="AA29" s="1380"/>
      <c r="AB29" s="1380"/>
      <c r="AC29" s="1380"/>
      <c r="AD29" s="1380"/>
      <c r="AE29" s="2784"/>
      <c r="AF29" s="2784"/>
      <c r="AG29" s="2716"/>
      <c r="AH29" s="2716"/>
      <c r="AI29" s="2716"/>
      <c r="AJ29" s="2716"/>
    </row>
    <row r="30" spans="1:37" ht="25.5" thickBot="1">
      <c r="A30" s="2844"/>
      <c r="B30" s="2845" t="s">
        <v>2912</v>
      </c>
      <c r="C30" s="229" t="e">
        <f ca="1">ROUND(IF(E2="工业",C29*M39,C29*M38),0)</f>
        <v>#DIV/0!</v>
      </c>
      <c r="D30" s="2846"/>
      <c r="E30" s="945" t="e">
        <f ca="1">ROUND(C30*D30/10000,0)</f>
        <v>#DIV/0!</v>
      </c>
      <c r="F30" s="2847" t="s">
        <v>2913</v>
      </c>
      <c r="G30" s="2848"/>
      <c r="H30" s="2848"/>
      <c r="I30" s="2848"/>
      <c r="J30" s="2849"/>
      <c r="K30" s="1372"/>
      <c r="L30" s="1372"/>
      <c r="M30" s="1372"/>
      <c r="N30" s="1372"/>
      <c r="O30" s="1377"/>
      <c r="P30" s="1377"/>
      <c r="Q30" s="1378"/>
      <c r="R30" s="1378"/>
      <c r="S30" s="1378"/>
      <c r="T30" s="1373"/>
      <c r="U30" s="1373"/>
      <c r="V30" s="1373"/>
      <c r="W30" s="1372"/>
      <c r="X30" s="1372"/>
      <c r="Y30" s="1372"/>
      <c r="Z30" s="1379"/>
      <c r="AA30" s="1380"/>
      <c r="AB30" s="1380"/>
      <c r="AC30" s="1380"/>
      <c r="AD30" s="1380"/>
      <c r="AE30" s="2784"/>
      <c r="AF30" s="2784"/>
      <c r="AG30" s="2716"/>
      <c r="AH30" s="2716"/>
      <c r="AI30" s="2716"/>
      <c r="AJ30" s="2716"/>
    </row>
    <row r="31" spans="1:37" ht="14.25">
      <c r="A31" s="2850"/>
      <c r="B31" s="2851" t="s">
        <v>2914</v>
      </c>
      <c r="C31" s="2852" t="s">
        <v>2915</v>
      </c>
      <c r="D31" s="2757"/>
      <c r="E31" s="2852"/>
      <c r="F31" s="2852"/>
      <c r="G31" s="2755" t="s">
        <v>2916</v>
      </c>
      <c r="H31" s="2757"/>
      <c r="I31" s="2853"/>
      <c r="J31" s="2758"/>
      <c r="K31" s="1372"/>
      <c r="L31" s="1372"/>
      <c r="M31" s="1372"/>
      <c r="N31" s="1372"/>
      <c r="O31" s="1377"/>
      <c r="P31" s="1377"/>
      <c r="Q31" s="1378"/>
      <c r="R31" s="1378"/>
      <c r="S31" s="1378"/>
      <c r="T31" s="1373"/>
      <c r="U31" s="1373"/>
      <c r="V31" s="1373"/>
      <c r="W31" s="1372"/>
      <c r="X31" s="1372"/>
      <c r="Y31" s="1372"/>
      <c r="Z31" s="1379"/>
      <c r="AA31" s="1380"/>
      <c r="AB31" s="1380"/>
      <c r="AC31" s="1380"/>
      <c r="AD31" s="1380"/>
      <c r="AE31" s="2784"/>
      <c r="AF31" s="2784"/>
      <c r="AG31" s="2716"/>
      <c r="AH31" s="2716"/>
      <c r="AI31" s="2716"/>
      <c r="AJ31" s="2716"/>
    </row>
    <row r="32" spans="1:37" ht="24">
      <c r="A32" s="2838"/>
      <c r="B32" s="2854"/>
      <c r="C32" s="501" t="s">
        <v>2907</v>
      </c>
      <c r="D32" s="498" t="s">
        <v>2908</v>
      </c>
      <c r="E32" s="498" t="s">
        <v>2909</v>
      </c>
      <c r="F32" s="388" t="s">
        <v>2917</v>
      </c>
      <c r="G32" s="2855" t="s">
        <v>2907</v>
      </c>
      <c r="H32" s="2855" t="s">
        <v>2908</v>
      </c>
      <c r="I32" s="2855" t="s">
        <v>2909</v>
      </c>
      <c r="J32" s="287"/>
      <c r="K32" s="1372"/>
      <c r="L32" s="1372"/>
      <c r="M32" s="1372"/>
      <c r="N32" s="1372"/>
      <c r="O32" s="1377"/>
      <c r="P32" s="1377"/>
      <c r="Q32" s="1378"/>
      <c r="R32" s="1378"/>
      <c r="S32" s="1378"/>
      <c r="T32" s="1373"/>
      <c r="U32" s="1373"/>
      <c r="V32" s="1373"/>
      <c r="W32" s="1372"/>
      <c r="X32" s="1372"/>
      <c r="Y32" s="1372"/>
      <c r="Z32" s="1379"/>
      <c r="AA32" s="1380"/>
      <c r="AB32" s="1380"/>
      <c r="AC32" s="1380"/>
      <c r="AD32" s="1380"/>
      <c r="AE32" s="2784"/>
      <c r="AF32" s="2784"/>
      <c r="AG32" s="2716"/>
      <c r="AH32" s="2716"/>
      <c r="AI32" s="2716"/>
      <c r="AJ32" s="2716"/>
    </row>
    <row r="33" spans="1:37" ht="36" customHeight="1">
      <c r="A33" s="3152" t="s">
        <v>2918</v>
      </c>
      <c r="B33" s="2856" t="s">
        <v>2919</v>
      </c>
      <c r="C33" s="206">
        <f ca="1">ROUND(D5*C19*C20*C24*F33,0)</f>
        <v>0</v>
      </c>
      <c r="D33" s="2840"/>
      <c r="E33" s="200">
        <f ca="1">ROUND(C33*D33/10000,0)</f>
        <v>0</v>
      </c>
      <c r="F33" s="200">
        <f>SUMIF(修正!A45:A56,G2,修正!B45:B56)</f>
        <v>0.7</v>
      </c>
      <c r="G33" s="200">
        <f t="shared" ref="G33:G39" ca="1" si="6">ROUND(IF(E2="工业",C33*$M$39,C33*$M$38),0)</f>
        <v>0</v>
      </c>
      <c r="H33" s="200">
        <f>D33</f>
        <v>0</v>
      </c>
      <c r="I33" s="200">
        <f ca="1">ROUND(G33*H33/10000,0)</f>
        <v>0</v>
      </c>
      <c r="J33" s="2857"/>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153"/>
      <c r="B34" s="2761" t="s">
        <v>2920</v>
      </c>
      <c r="C34" s="206">
        <f ca="1">ROUND(D5*C19*C20*C24*F34,0)</f>
        <v>0</v>
      </c>
      <c r="D34" s="2840"/>
      <c r="E34" s="200">
        <f t="shared" ref="E34:E39" ca="1" si="7">ROUND(C34*D34/10000,0)</f>
        <v>0</v>
      </c>
      <c r="F34" s="200">
        <f>SUMIF(修正!A45:A56,G2,修正!C45:C56)</f>
        <v>0.4</v>
      </c>
      <c r="G34" s="200">
        <f t="shared" ca="1" si="6"/>
        <v>0</v>
      </c>
      <c r="H34" s="200">
        <f t="shared" ref="H34:H39" si="8">D34</f>
        <v>0</v>
      </c>
      <c r="I34" s="200">
        <f t="shared" ref="I34:I39" ca="1" si="9">ROUND(G34*H34/10000,0)</f>
        <v>0</v>
      </c>
      <c r="J34" s="2857"/>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153"/>
      <c r="B35" s="2761" t="s">
        <v>2921</v>
      </c>
      <c r="C35" s="206">
        <f ca="1">ROUND(D5*C19*C20*C24*F35,0)</f>
        <v>0</v>
      </c>
      <c r="D35" s="2840"/>
      <c r="E35" s="200">
        <f t="shared" ca="1" si="7"/>
        <v>0</v>
      </c>
      <c r="F35" s="200">
        <f>SUMIF(修正!A45:A56,G2,修正!D45:D56)</f>
        <v>0.28000000000000003</v>
      </c>
      <c r="G35" s="200">
        <f t="shared" ca="1" si="6"/>
        <v>0</v>
      </c>
      <c r="H35" s="200">
        <f t="shared" si="8"/>
        <v>0</v>
      </c>
      <c r="I35" s="200">
        <f t="shared" ca="1" si="9"/>
        <v>0</v>
      </c>
      <c r="J35" s="2857"/>
      <c r="K35" s="1372"/>
      <c r="L35" s="1372"/>
      <c r="M35" s="1372"/>
      <c r="N35" s="1372"/>
      <c r="O35" s="1372"/>
      <c r="P35" s="1372"/>
      <c r="Q35" s="1372"/>
      <c r="R35" s="1372"/>
      <c r="S35" s="1372"/>
      <c r="T35" s="1372"/>
      <c r="U35" s="1372"/>
      <c r="V35" s="1372"/>
      <c r="W35" s="1372"/>
      <c r="X35" s="1372"/>
      <c r="Y35" s="1372"/>
      <c r="Z35" s="1373"/>
    </row>
    <row r="36" spans="1:37" ht="13.5" thickBot="1">
      <c r="A36" s="3154"/>
      <c r="B36" s="2761" t="s">
        <v>2922</v>
      </c>
      <c r="C36" s="206">
        <f ca="1">ROUND(D5*C19*C20*C24*F36,0)</f>
        <v>0</v>
      </c>
      <c r="D36" s="2840"/>
      <c r="E36" s="200">
        <f t="shared" ca="1" si="7"/>
        <v>0</v>
      </c>
      <c r="F36" s="200">
        <f>SUMIF(修正!A45:A56,G2,修正!E45:E56)</f>
        <v>0.25</v>
      </c>
      <c r="G36" s="200">
        <f t="shared" ca="1" si="6"/>
        <v>0</v>
      </c>
      <c r="H36" s="200">
        <f t="shared" si="8"/>
        <v>0</v>
      </c>
      <c r="I36" s="200">
        <f t="shared" ca="1" si="9"/>
        <v>0</v>
      </c>
      <c r="J36" s="2857"/>
      <c r="K36" s="1372"/>
      <c r="L36" s="2715"/>
      <c r="M36" s="2715"/>
      <c r="N36" s="1372"/>
      <c r="O36" s="1372"/>
      <c r="P36" s="1372"/>
      <c r="Q36" s="1372"/>
      <c r="R36" s="1372"/>
      <c r="S36" s="1372"/>
      <c r="T36" s="1372"/>
      <c r="U36" s="1372"/>
      <c r="V36" s="1372"/>
      <c r="W36" s="1372"/>
      <c r="X36" s="1372"/>
      <c r="Y36" s="1372"/>
      <c r="Z36" s="1373"/>
    </row>
    <row r="37" spans="1:37">
      <c r="A37" s="2858"/>
      <c r="B37" s="2761" t="s">
        <v>2923</v>
      </c>
      <c r="C37" s="200">
        <f ca="1">ROUND(C5*C19*C20*C24*F37,0)</f>
        <v>432</v>
      </c>
      <c r="D37" s="2840"/>
      <c r="E37" s="200">
        <f t="shared" ca="1" si="7"/>
        <v>0</v>
      </c>
      <c r="F37" s="206">
        <f>SUMIF(修正!A45:A56,G2,修正!F45:F56)</f>
        <v>0.25</v>
      </c>
      <c r="G37" s="200">
        <f t="shared" ca="1" si="6"/>
        <v>108</v>
      </c>
      <c r="H37" s="200">
        <f t="shared" si="8"/>
        <v>0</v>
      </c>
      <c r="I37" s="200">
        <f t="shared" ca="1" si="9"/>
        <v>0</v>
      </c>
      <c r="J37" s="2857"/>
      <c r="K37" s="1372"/>
      <c r="L37" s="2859" t="s">
        <v>2924</v>
      </c>
      <c r="M37" s="2860"/>
      <c r="N37" s="1372"/>
      <c r="O37" s="1372"/>
      <c r="P37" s="1372"/>
      <c r="Q37" s="1372"/>
      <c r="R37" s="1372"/>
      <c r="S37" s="1372"/>
      <c r="T37" s="1372"/>
      <c r="U37" s="1372"/>
      <c r="V37" s="1372"/>
      <c r="W37" s="1372"/>
      <c r="X37" s="1372"/>
      <c r="Y37" s="1372"/>
      <c r="Z37" s="1373"/>
    </row>
    <row r="38" spans="1:37">
      <c r="A38" s="2858"/>
      <c r="B38" s="2761" t="s">
        <v>2925</v>
      </c>
      <c r="C38" s="200">
        <f ca="1">ROUND(C5*C19*C20*C24*F38,0)</f>
        <v>432</v>
      </c>
      <c r="D38" s="2840"/>
      <c r="E38" s="200">
        <f t="shared" ca="1" si="7"/>
        <v>0</v>
      </c>
      <c r="F38" s="206">
        <f>SUMIF(修正!A45:A56,G2,修正!G45:G56)</f>
        <v>0.25</v>
      </c>
      <c r="G38" s="200">
        <f t="shared" ca="1" si="6"/>
        <v>108</v>
      </c>
      <c r="H38" s="200">
        <f t="shared" si="8"/>
        <v>0</v>
      </c>
      <c r="I38" s="200">
        <f t="shared" ca="1" si="9"/>
        <v>0</v>
      </c>
      <c r="J38" s="2857"/>
      <c r="K38" s="1372"/>
      <c r="L38" s="1889" t="s">
        <v>2926</v>
      </c>
      <c r="M38" s="2861">
        <v>0.25</v>
      </c>
      <c r="N38" s="1372"/>
      <c r="O38" s="1372"/>
      <c r="P38" s="1372"/>
      <c r="Q38" s="1372"/>
      <c r="R38" s="1372"/>
      <c r="S38" s="1372"/>
      <c r="T38" s="1372"/>
      <c r="U38" s="1372"/>
      <c r="V38" s="1372"/>
      <c r="W38" s="1372"/>
      <c r="X38" s="1372"/>
      <c r="Y38" s="1372"/>
      <c r="Z38" s="1373"/>
    </row>
    <row r="39" spans="1:37" ht="13.5" thickBot="1">
      <c r="A39" s="2844"/>
      <c r="B39" s="2862" t="s">
        <v>2927</v>
      </c>
      <c r="C39" s="229">
        <f ca="1">ROUND(C5*C19*C20*C24*F39,0)</f>
        <v>346</v>
      </c>
      <c r="D39" s="2846"/>
      <c r="E39" s="229">
        <f t="shared" ca="1" si="7"/>
        <v>0</v>
      </c>
      <c r="F39" s="935">
        <f>SUMIF(修正!A45:A56,G2,修正!H45:H56)</f>
        <v>0.2</v>
      </c>
      <c r="G39" s="229" t="e">
        <f t="shared" si="6"/>
        <v>#DIV/0!</v>
      </c>
      <c r="H39" s="229">
        <f t="shared" si="8"/>
        <v>0</v>
      </c>
      <c r="I39" s="229" t="e">
        <f t="shared" si="9"/>
        <v>#DIV/0!</v>
      </c>
      <c r="J39" s="2863"/>
      <c r="K39" s="1372"/>
      <c r="L39" s="2864" t="s">
        <v>2870</v>
      </c>
      <c r="M39" s="2865">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66"/>
      <c r="Z41" s="1373"/>
      <c r="AA41" s="1373"/>
      <c r="AB41" s="1373"/>
      <c r="AC41" s="1373"/>
      <c r="AD41" s="1373"/>
      <c r="AE41" s="1373"/>
      <c r="AF41" s="1373"/>
      <c r="AG41" s="1373"/>
      <c r="AH41" s="1373"/>
      <c r="AI41" s="1373"/>
      <c r="AJ41" s="1373"/>
    </row>
    <row r="42" spans="1:37" s="1372" customFormat="1">
      <c r="A42" s="1373"/>
      <c r="B42" s="2866"/>
      <c r="Z42" s="1373"/>
      <c r="AA42" s="1373"/>
      <c r="AB42" s="1373"/>
      <c r="AC42" s="1373"/>
      <c r="AD42" s="1373"/>
      <c r="AE42" s="1373"/>
      <c r="AF42" s="1373"/>
      <c r="AG42" s="1373"/>
      <c r="AH42" s="1373"/>
      <c r="AI42" s="1373"/>
      <c r="AJ42" s="1373"/>
    </row>
    <row r="43" spans="1:37" s="1372" customFormat="1">
      <c r="A43" s="1373"/>
      <c r="B43" s="2866"/>
      <c r="Z43" s="1373"/>
      <c r="AA43" s="1373"/>
      <c r="AB43" s="1373"/>
      <c r="AC43" s="1373"/>
      <c r="AD43" s="1373"/>
      <c r="AE43" s="1373"/>
      <c r="AF43" s="1373"/>
      <c r="AG43" s="1373"/>
      <c r="AH43" s="1373"/>
      <c r="AI43" s="1373"/>
      <c r="AJ43" s="1373"/>
    </row>
    <row r="44" spans="1:37" s="1372" customFormat="1">
      <c r="A44" s="1373"/>
      <c r="B44" s="2866"/>
      <c r="Z44" s="1373"/>
      <c r="AA44" s="1373"/>
      <c r="AB44" s="1373"/>
      <c r="AC44" s="1373"/>
      <c r="AD44" s="1373"/>
      <c r="AE44" s="1373"/>
      <c r="AF44" s="1373"/>
      <c r="AG44" s="1373"/>
      <c r="AH44" s="1373"/>
      <c r="AI44" s="1373"/>
      <c r="AJ44" s="1373"/>
    </row>
    <row r="45" spans="1:37" s="1372" customFormat="1" ht="15.75" thickBot="1">
      <c r="A45" s="2867" t="s">
        <v>2928</v>
      </c>
      <c r="B45" s="2868"/>
      <c r="C45" s="7"/>
      <c r="D45" s="7"/>
      <c r="E45" s="7"/>
      <c r="F45" s="6"/>
      <c r="G45" s="6"/>
      <c r="H45" s="6"/>
      <c r="I45" s="7"/>
      <c r="J45" s="7"/>
      <c r="K45" s="7"/>
      <c r="L45" s="7"/>
      <c r="M45" s="7"/>
      <c r="N45" s="2784"/>
      <c r="Z45" s="1373"/>
      <c r="AA45" s="1373"/>
      <c r="AB45" s="1373"/>
      <c r="AC45" s="1373"/>
      <c r="AD45" s="1373"/>
      <c r="AE45" s="1373"/>
      <c r="AF45" s="1373"/>
      <c r="AG45" s="1373"/>
      <c r="AH45" s="1373"/>
      <c r="AI45" s="1373"/>
      <c r="AJ45" s="1373"/>
    </row>
    <row r="46" spans="1:37" s="1372" customFormat="1" ht="15">
      <c r="A46" s="2869" t="s">
        <v>2929</v>
      </c>
      <c r="B46" s="2870">
        <f>1+E48</f>
        <v>1</v>
      </c>
      <c r="C46" s="2871"/>
      <c r="D46" s="814"/>
      <c r="E46" s="815"/>
      <c r="F46" s="2872"/>
      <c r="G46" s="6"/>
      <c r="H46" s="7"/>
      <c r="I46" s="7"/>
      <c r="J46" s="7"/>
      <c r="K46" s="7"/>
      <c r="L46" s="7"/>
      <c r="M46" s="7"/>
      <c r="N46" s="2784"/>
      <c r="Z46" s="1373"/>
      <c r="AA46" s="1373"/>
      <c r="AB46" s="1373"/>
      <c r="AC46" s="1373"/>
      <c r="AD46" s="1373"/>
      <c r="AE46" s="1373"/>
      <c r="AF46" s="1373"/>
      <c r="AG46" s="1373"/>
      <c r="AH46" s="1373"/>
      <c r="AI46" s="1373"/>
      <c r="AJ46" s="1373"/>
    </row>
    <row r="47" spans="1:37" s="1372" customFormat="1" ht="24.75">
      <c r="A47" s="2873" t="s">
        <v>2930</v>
      </c>
      <c r="B47" s="1811" t="s">
        <v>2931</v>
      </c>
      <c r="C47" s="1811" t="s">
        <v>2932</v>
      </c>
      <c r="D47" s="1811" t="s">
        <v>2933</v>
      </c>
      <c r="E47" s="819" t="s">
        <v>2934</v>
      </c>
      <c r="F47" s="2874" t="s">
        <v>2935</v>
      </c>
      <c r="G47" s="1811" t="s">
        <v>754</v>
      </c>
      <c r="H47" s="2875" t="s">
        <v>2936</v>
      </c>
      <c r="I47" s="1811" t="s">
        <v>2937</v>
      </c>
      <c r="J47" s="603" t="s">
        <v>2585</v>
      </c>
      <c r="K47" s="603" t="s">
        <v>2586</v>
      </c>
      <c r="L47" s="603" t="s">
        <v>2587</v>
      </c>
      <c r="M47" s="603" t="s">
        <v>2588</v>
      </c>
      <c r="N47" s="603" t="s">
        <v>2589</v>
      </c>
      <c r="AA47" s="1373"/>
      <c r="AB47" s="1373"/>
      <c r="AC47" s="1373"/>
      <c r="AD47" s="1373"/>
      <c r="AE47" s="1373"/>
      <c r="AF47" s="1373"/>
      <c r="AG47" s="1373"/>
      <c r="AH47" s="1373"/>
      <c r="AI47" s="1373"/>
      <c r="AJ47" s="1373"/>
      <c r="AK47" s="1373"/>
    </row>
    <row r="48" spans="1:37" s="1372" customFormat="1" ht="24.75">
      <c r="A48" s="2873" t="s">
        <v>2938</v>
      </c>
      <c r="B48" s="2876">
        <f>估价对象房地状况!C4</f>
        <v>0</v>
      </c>
      <c r="C48" s="2766"/>
      <c r="D48" s="1288">
        <f t="shared" ref="D48:D56" si="10">SUMIF($J$47:$N$47,C48,J48:N48)</f>
        <v>0</v>
      </c>
      <c r="E48" s="821">
        <f>ROUND(SUM(D48:D56),4)</f>
        <v>0</v>
      </c>
      <c r="F48" s="2497" t="str">
        <f>IF(E2="商业",SUMIF(L1:L12,G2,N1:N12),"——")</f>
        <v>——</v>
      </c>
      <c r="G48" s="1286"/>
      <c r="H48" s="1290" t="str">
        <f t="shared" ref="H48:H56" si="11">IFERROR(ROUNDDOWN($F$48*I48/2,4),"——")</f>
        <v>——</v>
      </c>
      <c r="I48" s="820">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14.25">
      <c r="A49" s="2873" t="s">
        <v>2939</v>
      </c>
      <c r="B49" s="2877">
        <f>估价对象房地状况!C18</f>
        <v>0</v>
      </c>
      <c r="C49" s="2766"/>
      <c r="D49" s="1288">
        <f t="shared" si="10"/>
        <v>0</v>
      </c>
      <c r="E49" s="822"/>
      <c r="F49" s="2497"/>
      <c r="G49" s="1286"/>
      <c r="H49" s="1290" t="str">
        <f t="shared" si="11"/>
        <v>——</v>
      </c>
      <c r="I49" s="820">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73" t="s">
        <v>2940</v>
      </c>
      <c r="B50" s="2877">
        <f>估价对象房地状况!C19</f>
        <v>0</v>
      </c>
      <c r="C50" s="2766"/>
      <c r="D50" s="1288">
        <f t="shared" si="10"/>
        <v>0</v>
      </c>
      <c r="E50" s="822"/>
      <c r="F50" s="2497"/>
      <c r="G50" s="1286"/>
      <c r="H50" s="1290" t="str">
        <f t="shared" si="11"/>
        <v>——</v>
      </c>
      <c r="I50" s="820">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73" t="s">
        <v>2941</v>
      </c>
      <c r="B51" s="2878" t="s">
        <v>2942</v>
      </c>
      <c r="C51" s="2766"/>
      <c r="D51" s="1288">
        <f t="shared" si="10"/>
        <v>0</v>
      </c>
      <c r="E51" s="822"/>
      <c r="F51" s="2497"/>
      <c r="G51" s="1286"/>
      <c r="H51" s="1290" t="str">
        <f t="shared" si="11"/>
        <v>——</v>
      </c>
      <c r="I51" s="820">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73" t="s">
        <v>2943</v>
      </c>
      <c r="B52" s="2877">
        <f>估价对象房地状况!C24</f>
        <v>0</v>
      </c>
      <c r="C52" s="2766"/>
      <c r="D52" s="1288">
        <f t="shared" si="10"/>
        <v>0</v>
      </c>
      <c r="E52" s="822"/>
      <c r="F52" s="2497"/>
      <c r="G52" s="1286"/>
      <c r="H52" s="1290" t="str">
        <f t="shared" si="11"/>
        <v>——</v>
      </c>
      <c r="I52" s="820">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73" t="s">
        <v>2944</v>
      </c>
      <c r="B53" s="2879" t="s">
        <v>2945</v>
      </c>
      <c r="C53" s="2766"/>
      <c r="D53" s="1288">
        <f t="shared" si="10"/>
        <v>0</v>
      </c>
      <c r="E53" s="822"/>
      <c r="F53" s="2497"/>
      <c r="G53" s="1286"/>
      <c r="H53" s="1290" t="str">
        <f t="shared" si="11"/>
        <v>——</v>
      </c>
      <c r="I53" s="820">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4">
      <c r="A54" s="2880" t="s">
        <v>2946</v>
      </c>
      <c r="B54" s="1727">
        <f>估价对象房地状况!C21</f>
        <v>0</v>
      </c>
      <c r="C54" s="2766"/>
      <c r="D54" s="1288">
        <f t="shared" si="10"/>
        <v>0</v>
      </c>
      <c r="E54" s="822"/>
      <c r="F54" s="2497"/>
      <c r="G54" s="1286"/>
      <c r="H54" s="1290" t="str">
        <f t="shared" si="11"/>
        <v>——</v>
      </c>
      <c r="I54" s="820">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4">
      <c r="A55" s="2880" t="s">
        <v>2947</v>
      </c>
      <c r="B55" s="2877">
        <f>估价对象房地状况!C22</f>
        <v>0</v>
      </c>
      <c r="C55" s="2766"/>
      <c r="D55" s="1288">
        <f t="shared" si="10"/>
        <v>0</v>
      </c>
      <c r="E55" s="822"/>
      <c r="F55" s="2497"/>
      <c r="G55" s="1286"/>
      <c r="H55" s="1290" t="str">
        <f t="shared" si="11"/>
        <v>——</v>
      </c>
      <c r="I55" s="820">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24.75" thickBot="1">
      <c r="A56" s="2881" t="s">
        <v>2948</v>
      </c>
      <c r="B56" s="2882">
        <f>估价对象房地状况!C20</f>
        <v>0</v>
      </c>
      <c r="C56" s="2766"/>
      <c r="D56" s="1288">
        <f t="shared" si="10"/>
        <v>0</v>
      </c>
      <c r="E56" s="825"/>
      <c r="F56" s="2497"/>
      <c r="G56" s="1286"/>
      <c r="H56" s="1290" t="str">
        <f t="shared" si="11"/>
        <v>——</v>
      </c>
      <c r="I56" s="824">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69" t="s">
        <v>2949</v>
      </c>
      <c r="B57" s="2870">
        <f>1+E59</f>
        <v>1</v>
      </c>
      <c r="C57" s="814"/>
      <c r="D57" s="814"/>
      <c r="E57" s="815"/>
      <c r="F57" s="2872"/>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73" t="s">
        <v>2930</v>
      </c>
      <c r="B58" s="1811"/>
      <c r="C58" s="1811" t="s">
        <v>2932</v>
      </c>
      <c r="D58" s="1811" t="s">
        <v>2933</v>
      </c>
      <c r="E58" s="819" t="s">
        <v>2934</v>
      </c>
      <c r="F58" s="2874" t="s">
        <v>2950</v>
      </c>
      <c r="G58" s="1811" t="s">
        <v>754</v>
      </c>
      <c r="H58" s="2875" t="s">
        <v>2936</v>
      </c>
      <c r="I58" s="1811" t="s">
        <v>2937</v>
      </c>
      <c r="J58" s="603" t="s">
        <v>2585</v>
      </c>
      <c r="K58" s="603" t="s">
        <v>2586</v>
      </c>
      <c r="L58" s="603" t="s">
        <v>2587</v>
      </c>
      <c r="M58" s="603" t="s">
        <v>2588</v>
      </c>
      <c r="N58" s="603" t="s">
        <v>2589</v>
      </c>
      <c r="AA58" s="1373"/>
      <c r="AB58" s="1373"/>
      <c r="AC58" s="1373"/>
      <c r="AD58" s="1373"/>
      <c r="AE58" s="1373"/>
      <c r="AF58" s="1373"/>
      <c r="AG58" s="1373"/>
      <c r="AH58" s="1373"/>
      <c r="AI58" s="1373"/>
      <c r="AJ58" s="1373"/>
      <c r="AK58" s="1373"/>
    </row>
    <row r="59" spans="1:37" s="1372" customFormat="1" ht="24">
      <c r="A59" s="2873" t="s">
        <v>2951</v>
      </c>
      <c r="B59" s="2876">
        <f>估价对象房地状况!C17</f>
        <v>0</v>
      </c>
      <c r="C59" s="2766"/>
      <c r="D59" s="1288">
        <f t="shared" ref="D59:D67" si="15">SUMIF($J$58:$N$58,C59,J59:N59)</f>
        <v>0</v>
      </c>
      <c r="E59" s="821">
        <f>ROUND(SUM(D59:D67),4)</f>
        <v>0</v>
      </c>
      <c r="F59" s="2497" t="str">
        <f>IF(E2="办公",SUMIF(L1:L12,G2,N1:N12),"——")</f>
        <v>——</v>
      </c>
      <c r="G59" s="1286"/>
      <c r="H59" s="1290" t="str">
        <f t="shared" ref="H59:H67" si="16">IFERROR(ROUNDDOWN($F$59*I59/2,4),"——")</f>
        <v>——</v>
      </c>
      <c r="I59" s="820">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14.25">
      <c r="A60" s="2873" t="s">
        <v>2939</v>
      </c>
      <c r="B60" s="2877">
        <f>估价对象房地状况!C18</f>
        <v>0</v>
      </c>
      <c r="C60" s="2766"/>
      <c r="D60" s="1288">
        <f t="shared" si="15"/>
        <v>0</v>
      </c>
      <c r="E60" s="822"/>
      <c r="F60" s="2497"/>
      <c r="G60" s="1286"/>
      <c r="H60" s="1290" t="str">
        <f t="shared" si="16"/>
        <v>——</v>
      </c>
      <c r="I60" s="820">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73" t="s">
        <v>2940</v>
      </c>
      <c r="B61" s="2877">
        <f>估价对象房地状况!C19</f>
        <v>0</v>
      </c>
      <c r="C61" s="2766"/>
      <c r="D61" s="1288">
        <f t="shared" si="15"/>
        <v>0</v>
      </c>
      <c r="E61" s="822"/>
      <c r="F61" s="2497"/>
      <c r="G61" s="1286"/>
      <c r="H61" s="1290" t="str">
        <f t="shared" si="16"/>
        <v>——</v>
      </c>
      <c r="I61" s="820">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73" t="s">
        <v>2941</v>
      </c>
      <c r="B62" s="2878" t="s">
        <v>2942</v>
      </c>
      <c r="C62" s="2766"/>
      <c r="D62" s="1288">
        <f t="shared" si="15"/>
        <v>0</v>
      </c>
      <c r="E62" s="822"/>
      <c r="F62" s="2497"/>
      <c r="G62" s="1286"/>
      <c r="H62" s="1290" t="str">
        <f t="shared" si="16"/>
        <v>——</v>
      </c>
      <c r="I62" s="820">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73" t="s">
        <v>2943</v>
      </c>
      <c r="B63" s="2877">
        <f>估价对象房地状况!C24</f>
        <v>0</v>
      </c>
      <c r="C63" s="2766"/>
      <c r="D63" s="1288">
        <f t="shared" si="15"/>
        <v>0</v>
      </c>
      <c r="E63" s="822"/>
      <c r="F63" s="2497"/>
      <c r="G63" s="1286"/>
      <c r="H63" s="1290" t="str">
        <f t="shared" si="16"/>
        <v>——</v>
      </c>
      <c r="I63" s="820">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73" t="s">
        <v>2944</v>
      </c>
      <c r="B64" s="2879" t="s">
        <v>2945</v>
      </c>
      <c r="C64" s="2766"/>
      <c r="D64" s="1288">
        <f t="shared" si="15"/>
        <v>0</v>
      </c>
      <c r="E64" s="822"/>
      <c r="F64" s="2497"/>
      <c r="G64" s="1286"/>
      <c r="H64" s="1290" t="str">
        <f t="shared" si="16"/>
        <v>——</v>
      </c>
      <c r="I64" s="820">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4">
      <c r="A65" s="2873" t="s">
        <v>2946</v>
      </c>
      <c r="B65" s="1727">
        <f>估价对象房地状况!C21</f>
        <v>0</v>
      </c>
      <c r="C65" s="2766"/>
      <c r="D65" s="1288">
        <f t="shared" si="15"/>
        <v>0</v>
      </c>
      <c r="E65" s="822"/>
      <c r="F65" s="2497"/>
      <c r="G65" s="1286"/>
      <c r="H65" s="1290" t="str">
        <f t="shared" si="16"/>
        <v>——</v>
      </c>
      <c r="I65" s="820">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4">
      <c r="A66" s="2873" t="s">
        <v>2947</v>
      </c>
      <c r="B66" s="1727">
        <f>估价对象房地状况!C22</f>
        <v>0</v>
      </c>
      <c r="C66" s="2766"/>
      <c r="D66" s="1288">
        <f t="shared" si="15"/>
        <v>0</v>
      </c>
      <c r="E66" s="822"/>
      <c r="F66" s="2497"/>
      <c r="G66" s="1286"/>
      <c r="H66" s="1290" t="str">
        <f t="shared" si="16"/>
        <v>——</v>
      </c>
      <c r="I66" s="820">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24.75" thickBot="1">
      <c r="A67" s="2881" t="s">
        <v>2948</v>
      </c>
      <c r="B67" s="2883">
        <f>估价对象房地状况!C20</f>
        <v>0</v>
      </c>
      <c r="C67" s="2766"/>
      <c r="D67" s="1288">
        <f t="shared" si="15"/>
        <v>0</v>
      </c>
      <c r="E67" s="825"/>
      <c r="F67" s="2497"/>
      <c r="G67" s="1286"/>
      <c r="H67" s="1290" t="str">
        <f t="shared" si="16"/>
        <v>——</v>
      </c>
      <c r="I67" s="824">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69" t="s">
        <v>2952</v>
      </c>
      <c r="B68" s="2870">
        <f>1+E70</f>
        <v>1</v>
      </c>
      <c r="C68" s="814"/>
      <c r="D68" s="814"/>
      <c r="E68" s="815"/>
      <c r="F68" s="2872"/>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73" t="s">
        <v>2930</v>
      </c>
      <c r="B69" s="1811"/>
      <c r="C69" s="1811" t="s">
        <v>2932</v>
      </c>
      <c r="D69" s="1811" t="s">
        <v>2933</v>
      </c>
      <c r="E69" s="819" t="s">
        <v>2934</v>
      </c>
      <c r="F69" s="2874" t="s">
        <v>2950</v>
      </c>
      <c r="G69" s="1811" t="s">
        <v>754</v>
      </c>
      <c r="H69" s="2875" t="s">
        <v>2936</v>
      </c>
      <c r="I69" s="1811" t="s">
        <v>2937</v>
      </c>
      <c r="J69" s="603" t="s">
        <v>2585</v>
      </c>
      <c r="K69" s="603" t="s">
        <v>2586</v>
      </c>
      <c r="L69" s="603" t="s">
        <v>2587</v>
      </c>
      <c r="M69" s="603" t="s">
        <v>2588</v>
      </c>
      <c r="N69" s="603" t="s">
        <v>2589</v>
      </c>
      <c r="AA69" s="1373"/>
      <c r="AB69" s="1373"/>
      <c r="AC69" s="1373"/>
      <c r="AD69" s="1373"/>
      <c r="AE69" s="1373"/>
      <c r="AF69" s="1373"/>
      <c r="AG69" s="1373"/>
      <c r="AH69" s="1373"/>
      <c r="AI69" s="1373"/>
      <c r="AJ69" s="1373"/>
      <c r="AK69" s="1373"/>
    </row>
    <row r="70" spans="1:37" s="1372" customFormat="1" ht="24">
      <c r="A70" s="2873" t="s">
        <v>2953</v>
      </c>
      <c r="B70" s="2876">
        <f>估价对象房地状况!C15</f>
        <v>0</v>
      </c>
      <c r="C70" s="2766"/>
      <c r="D70" s="1288">
        <f t="shared" ref="D70:D78" si="20">SUMIF($J$69:$N$69,C70,J70:N70)</f>
        <v>0</v>
      </c>
      <c r="E70" s="821">
        <f>ROUND(SUM(D70:D78),4)</f>
        <v>0</v>
      </c>
      <c r="F70" s="2497" t="str">
        <f>IF(E2="住宅",SUMIF(L1:L12,G2,N1:N12),"——")</f>
        <v>——</v>
      </c>
      <c r="G70" s="1286"/>
      <c r="H70" s="1290" t="str">
        <f t="shared" ref="H70:H78" si="21">IFERROR(ROUNDDOWN($F$70*I70/2,4),"——")</f>
        <v>——</v>
      </c>
      <c r="I70" s="820">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14.25">
      <c r="A71" s="2873" t="s">
        <v>2939</v>
      </c>
      <c r="B71" s="2877">
        <f>估价对象房地状况!C18</f>
        <v>0</v>
      </c>
      <c r="C71" s="2766"/>
      <c r="D71" s="1288">
        <f t="shared" si="20"/>
        <v>0</v>
      </c>
      <c r="E71" s="826"/>
      <c r="F71" s="2497"/>
      <c r="G71" s="1286"/>
      <c r="H71" s="1290" t="str">
        <f t="shared" si="21"/>
        <v>——</v>
      </c>
      <c r="I71" s="820">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73" t="s">
        <v>2940</v>
      </c>
      <c r="B72" s="2877">
        <f>估价对象房地状况!C19</f>
        <v>0</v>
      </c>
      <c r="C72" s="2766"/>
      <c r="D72" s="1288">
        <f t="shared" si="20"/>
        <v>0</v>
      </c>
      <c r="E72" s="826"/>
      <c r="F72" s="2497"/>
      <c r="G72" s="1286"/>
      <c r="H72" s="1290" t="str">
        <f t="shared" si="21"/>
        <v>——</v>
      </c>
      <c r="I72" s="820">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73" t="s">
        <v>2954</v>
      </c>
      <c r="B73" s="2877">
        <f>估价对象房地状况!C24</f>
        <v>0</v>
      </c>
      <c r="C73" s="2766"/>
      <c r="D73" s="1288">
        <f t="shared" si="20"/>
        <v>0</v>
      </c>
      <c r="E73" s="826"/>
      <c r="F73" s="2497"/>
      <c r="G73" s="1286"/>
      <c r="H73" s="1290" t="str">
        <f t="shared" si="21"/>
        <v>——</v>
      </c>
      <c r="I73" s="820">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4">
      <c r="A74" s="2873" t="s">
        <v>2946</v>
      </c>
      <c r="B74" s="1727">
        <f>估价对象房地状况!C21</f>
        <v>0</v>
      </c>
      <c r="C74" s="2766"/>
      <c r="D74" s="1288">
        <f t="shared" si="20"/>
        <v>0</v>
      </c>
      <c r="E74" s="826"/>
      <c r="F74" s="2497"/>
      <c r="G74" s="1286"/>
      <c r="H74" s="1290" t="str">
        <f t="shared" si="21"/>
        <v>——</v>
      </c>
      <c r="I74" s="820">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4">
      <c r="A75" s="2873" t="s">
        <v>2947</v>
      </c>
      <c r="B75" s="1727">
        <f>估价对象房地状况!C22</f>
        <v>0</v>
      </c>
      <c r="C75" s="2766"/>
      <c r="D75" s="1288">
        <f t="shared" si="20"/>
        <v>0</v>
      </c>
      <c r="E75" s="826"/>
      <c r="F75" s="2497"/>
      <c r="G75" s="1286"/>
      <c r="H75" s="1290" t="str">
        <f t="shared" si="21"/>
        <v>——</v>
      </c>
      <c r="I75" s="820">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15" customFormat="1" ht="24">
      <c r="A76" s="2873" t="s">
        <v>2944</v>
      </c>
      <c r="B76" s="2879" t="s">
        <v>2945</v>
      </c>
      <c r="C76" s="2766"/>
      <c r="D76" s="1288">
        <f t="shared" si="20"/>
        <v>0</v>
      </c>
      <c r="E76" s="826"/>
      <c r="F76" s="2497"/>
      <c r="G76" s="1286"/>
      <c r="H76" s="1290" t="str">
        <f t="shared" si="21"/>
        <v>——</v>
      </c>
      <c r="I76" s="820">
        <v>0.05</v>
      </c>
      <c r="J76" s="1287">
        <f t="shared" si="22"/>
        <v>0</v>
      </c>
      <c r="K76" s="1287">
        <f t="shared" si="23"/>
        <v>0</v>
      </c>
      <c r="L76" s="1287">
        <v>0</v>
      </c>
      <c r="M76" s="1287">
        <f t="shared" si="24"/>
        <v>0</v>
      </c>
      <c r="N76" s="1287">
        <f t="shared" si="24"/>
        <v>0</v>
      </c>
      <c r="AA76" s="2884"/>
      <c r="AB76" s="1373"/>
      <c r="AC76" s="1373"/>
      <c r="AD76" s="1373"/>
      <c r="AE76" s="1373"/>
      <c r="AF76" s="1373"/>
      <c r="AG76" s="1373"/>
      <c r="AH76" s="2884"/>
      <c r="AI76" s="2884"/>
      <c r="AJ76" s="2884"/>
      <c r="AK76" s="2884"/>
    </row>
    <row r="77" spans="1:37" ht="24">
      <c r="A77" s="2873" t="s">
        <v>2948</v>
      </c>
      <c r="B77" s="2876">
        <f>估价对象房地状况!C20</f>
        <v>0</v>
      </c>
      <c r="C77" s="2766"/>
      <c r="D77" s="1288">
        <f t="shared" si="20"/>
        <v>0</v>
      </c>
      <c r="E77" s="826"/>
      <c r="F77" s="2497"/>
      <c r="G77" s="1286"/>
      <c r="H77" s="1290" t="str">
        <f t="shared" si="21"/>
        <v>——</v>
      </c>
      <c r="I77" s="820">
        <v>0.15</v>
      </c>
      <c r="J77" s="1287">
        <f t="shared" si="22"/>
        <v>0</v>
      </c>
      <c r="K77" s="1287">
        <f t="shared" si="23"/>
        <v>0</v>
      </c>
      <c r="L77" s="1287">
        <v>0</v>
      </c>
      <c r="M77" s="1287">
        <f t="shared" si="24"/>
        <v>0</v>
      </c>
      <c r="N77" s="1287">
        <f t="shared" si="24"/>
        <v>0</v>
      </c>
      <c r="Z77" s="2716"/>
      <c r="AA77" s="2792"/>
      <c r="AG77" s="1374"/>
      <c r="AK77" s="2792"/>
    </row>
    <row r="78" spans="1:37" ht="24.75" thickBot="1">
      <c r="A78" s="2881" t="s">
        <v>2955</v>
      </c>
      <c r="B78" s="2885"/>
      <c r="C78" s="2766"/>
      <c r="D78" s="1288">
        <f t="shared" si="20"/>
        <v>0</v>
      </c>
      <c r="E78" s="827"/>
      <c r="F78" s="2497"/>
      <c r="G78" s="1286"/>
      <c r="H78" s="1290" t="str">
        <f t="shared" si="21"/>
        <v>——</v>
      </c>
      <c r="I78" s="824">
        <v>0.04</v>
      </c>
      <c r="J78" s="1287">
        <f t="shared" si="22"/>
        <v>0</v>
      </c>
      <c r="K78" s="1287">
        <f t="shared" si="23"/>
        <v>0</v>
      </c>
      <c r="L78" s="1287">
        <v>0</v>
      </c>
      <c r="M78" s="1287">
        <f t="shared" si="24"/>
        <v>0</v>
      </c>
      <c r="N78" s="1287">
        <f t="shared" si="24"/>
        <v>0</v>
      </c>
      <c r="Z78" s="2716"/>
      <c r="AA78" s="2792"/>
      <c r="AG78" s="1374"/>
      <c r="AK78" s="2792"/>
    </row>
    <row r="79" spans="1:37" ht="15">
      <c r="A79" s="2869" t="s">
        <v>2956</v>
      </c>
      <c r="B79" s="2870">
        <f>1+E81</f>
        <v>1</v>
      </c>
      <c r="C79" s="814"/>
      <c r="D79" s="814"/>
      <c r="E79" s="815"/>
      <c r="F79" s="2872"/>
      <c r="G79" s="6"/>
      <c r="H79" s="6"/>
      <c r="I79" s="6"/>
      <c r="J79" s="7"/>
      <c r="K79" s="7"/>
      <c r="L79" s="7"/>
      <c r="M79" s="7"/>
      <c r="N79" s="7"/>
      <c r="Z79" s="2716"/>
      <c r="AA79" s="2792"/>
      <c r="AG79" s="1374"/>
      <c r="AK79" s="2792"/>
    </row>
    <row r="80" spans="1:37" ht="24.75">
      <c r="A80" s="2873" t="s">
        <v>2930</v>
      </c>
      <c r="B80" s="1811"/>
      <c r="C80" s="1811" t="s">
        <v>2932</v>
      </c>
      <c r="D80" s="1811" t="s">
        <v>2933</v>
      </c>
      <c r="E80" s="819" t="s">
        <v>2934</v>
      </c>
      <c r="F80" s="2874" t="s">
        <v>2950</v>
      </c>
      <c r="G80" s="1811" t="s">
        <v>754</v>
      </c>
      <c r="H80" s="2875" t="s">
        <v>2936</v>
      </c>
      <c r="I80" s="1811" t="s">
        <v>2937</v>
      </c>
      <c r="J80" s="603" t="s">
        <v>2585</v>
      </c>
      <c r="K80" s="603" t="s">
        <v>2586</v>
      </c>
      <c r="L80" s="603" t="s">
        <v>2587</v>
      </c>
      <c r="M80" s="603" t="s">
        <v>2588</v>
      </c>
      <c r="N80" s="603" t="s">
        <v>2589</v>
      </c>
      <c r="Z80" s="2716"/>
      <c r="AA80" s="2792"/>
      <c r="AG80" s="1374"/>
      <c r="AK80" s="2792"/>
    </row>
    <row r="81" spans="1:37" ht="38.25">
      <c r="A81" s="2873" t="s">
        <v>2957</v>
      </c>
      <c r="B81" s="2877" t="str">
        <f>估价对象房地状况!G15</f>
        <v>估价对象位于中关村兴业创业园，园区建设成熟度较好，产业集聚程度较好</v>
      </c>
      <c r="C81" s="2766"/>
      <c r="D81" s="1288">
        <f t="shared" ref="D81:D88" si="25">SUMIF($J$80:$N$80,C81,J81:N81)</f>
        <v>0</v>
      </c>
      <c r="E81" s="821">
        <f>ROUND(SUM(D81:D88),4)</f>
        <v>0</v>
      </c>
      <c r="F81" s="2497">
        <f>IF(E2="工业",SUMIF(L1:L12,G2,N1:N12),"——")</f>
        <v>0.05</v>
      </c>
      <c r="G81" s="1286"/>
      <c r="H81" s="1290">
        <f t="shared" ref="H81:H88" si="26">IFERROR(ROUNDDOWN($F$81*I81/2,4),"——")</f>
        <v>6.4999999999999997E-3</v>
      </c>
      <c r="I81" s="820">
        <v>0.26</v>
      </c>
      <c r="J81" s="1287">
        <f t="shared" ref="J81:J88" si="27">K81+$G81</f>
        <v>0</v>
      </c>
      <c r="K81" s="1287">
        <f t="shared" ref="K81:K88" si="28">$L81+$G81</f>
        <v>0</v>
      </c>
      <c r="L81" s="1287">
        <v>0</v>
      </c>
      <c r="M81" s="1287">
        <f t="shared" ref="M81:N88" si="29">L81-$G81</f>
        <v>0</v>
      </c>
      <c r="N81" s="1287">
        <f t="shared" si="29"/>
        <v>0</v>
      </c>
      <c r="Z81" s="2716"/>
      <c r="AA81" s="2792"/>
      <c r="AG81" s="1374"/>
      <c r="AK81" s="2792"/>
    </row>
    <row r="82" spans="1:37" ht="51">
      <c r="A82" s="2873" t="s">
        <v>2939</v>
      </c>
      <c r="B82" s="2877" t="str">
        <f>估价对象房地状况!G16</f>
        <v>估价对象周边道路状况较好、公共交通通达情况一般、停车便捷程度一般，综合评价交通便捷度一般</v>
      </c>
      <c r="C82" s="2766"/>
      <c r="D82" s="1288">
        <f t="shared" si="25"/>
        <v>0</v>
      </c>
      <c r="E82" s="826"/>
      <c r="F82" s="2497"/>
      <c r="G82" s="1286"/>
      <c r="H82" s="1290">
        <f t="shared" si="26"/>
        <v>8.2000000000000007E-3</v>
      </c>
      <c r="I82" s="820">
        <v>0.33</v>
      </c>
      <c r="J82" s="1287">
        <f t="shared" si="27"/>
        <v>0</v>
      </c>
      <c r="K82" s="1287">
        <f t="shared" si="28"/>
        <v>0</v>
      </c>
      <c r="L82" s="1287">
        <v>0</v>
      </c>
      <c r="M82" s="1287">
        <f t="shared" si="29"/>
        <v>0</v>
      </c>
      <c r="N82" s="1287">
        <f t="shared" si="29"/>
        <v>0</v>
      </c>
      <c r="Z82" s="2716"/>
      <c r="AA82" s="2792"/>
      <c r="AG82" s="1374"/>
      <c r="AK82" s="2792"/>
    </row>
    <row r="83" spans="1:37" ht="24">
      <c r="A83" s="2873" t="s">
        <v>2940</v>
      </c>
      <c r="B83" s="2877" t="str">
        <f>估价对象房地状况!G17</f>
        <v>较好</v>
      </c>
      <c r="C83" s="2766"/>
      <c r="D83" s="1288">
        <f t="shared" si="25"/>
        <v>0</v>
      </c>
      <c r="E83" s="826"/>
      <c r="F83" s="2497"/>
      <c r="G83" s="1286"/>
      <c r="H83" s="1290">
        <f t="shared" si="26"/>
        <v>1.1999999999999999E-3</v>
      </c>
      <c r="I83" s="820">
        <v>0.05</v>
      </c>
      <c r="J83" s="1287">
        <f t="shared" si="27"/>
        <v>0</v>
      </c>
      <c r="K83" s="1287">
        <f t="shared" si="28"/>
        <v>0</v>
      </c>
      <c r="L83" s="1287">
        <v>0</v>
      </c>
      <c r="M83" s="1287">
        <f t="shared" si="29"/>
        <v>0</v>
      </c>
      <c r="N83" s="1287">
        <f t="shared" si="29"/>
        <v>0</v>
      </c>
      <c r="Z83" s="2716"/>
      <c r="AA83" s="2792"/>
      <c r="AG83" s="1374"/>
      <c r="AK83" s="2792"/>
    </row>
    <row r="84" spans="1:37" ht="14.25">
      <c r="A84" s="2873" t="s">
        <v>2954</v>
      </c>
      <c r="B84" s="2877" t="str">
        <f>估价对象房地状况!G22</f>
        <v>支路</v>
      </c>
      <c r="C84" s="2766"/>
      <c r="D84" s="1288">
        <f t="shared" si="25"/>
        <v>0</v>
      </c>
      <c r="E84" s="826"/>
      <c r="F84" s="2497"/>
      <c r="G84" s="1286"/>
      <c r="H84" s="1290">
        <f t="shared" si="26"/>
        <v>1E-3</v>
      </c>
      <c r="I84" s="820">
        <v>0.04</v>
      </c>
      <c r="J84" s="1287">
        <f t="shared" si="27"/>
        <v>0</v>
      </c>
      <c r="K84" s="1287">
        <f t="shared" si="28"/>
        <v>0</v>
      </c>
      <c r="L84" s="1287">
        <v>0</v>
      </c>
      <c r="M84" s="1287">
        <f t="shared" si="29"/>
        <v>0</v>
      </c>
      <c r="N84" s="1287">
        <f t="shared" si="29"/>
        <v>0</v>
      </c>
      <c r="Z84" s="2716"/>
      <c r="AA84" s="2792"/>
      <c r="AG84" s="1374"/>
      <c r="AK84" s="2792"/>
    </row>
    <row r="85" spans="1:37" ht="25.5">
      <c r="A85" s="2873" t="s">
        <v>2946</v>
      </c>
      <c r="B85" s="1727" t="str">
        <f>估价对象房地状况!G19</f>
        <v>估价对象所在区域公共配套设施有农村商业银行、上海浦东发展银行、世纪华联、容中超市、中国石油大学附属中学、昌平五中等，齐备情况较好</v>
      </c>
      <c r="C85" s="2766"/>
      <c r="D85" s="1288">
        <f t="shared" si="25"/>
        <v>0</v>
      </c>
      <c r="E85" s="826"/>
      <c r="F85" s="2497"/>
      <c r="G85" s="1286"/>
      <c r="H85" s="1290">
        <f t="shared" si="26"/>
        <v>1.5E-3</v>
      </c>
      <c r="I85" s="820">
        <v>0.06</v>
      </c>
      <c r="J85" s="1287">
        <f t="shared" si="27"/>
        <v>0</v>
      </c>
      <c r="K85" s="1287">
        <f t="shared" si="28"/>
        <v>0</v>
      </c>
      <c r="L85" s="1287">
        <v>0</v>
      </c>
      <c r="M85" s="1287">
        <f t="shared" si="29"/>
        <v>0</v>
      </c>
      <c r="N85" s="1287">
        <f t="shared" si="29"/>
        <v>0</v>
      </c>
      <c r="Z85" s="2716"/>
      <c r="AA85" s="2792"/>
      <c r="AG85" s="1374"/>
      <c r="AK85" s="2792"/>
    </row>
    <row r="86" spans="1:37" ht="25.5">
      <c r="A86" s="2873" t="s">
        <v>2947</v>
      </c>
      <c r="B86" s="1727" t="str">
        <f>估价对象房地状况!G20</f>
        <v>估价对象所在区域基础设施水平七通</v>
      </c>
      <c r="C86" s="2766"/>
      <c r="D86" s="1288">
        <f t="shared" si="25"/>
        <v>0</v>
      </c>
      <c r="E86" s="826"/>
      <c r="F86" s="2497"/>
      <c r="G86" s="1286"/>
      <c r="H86" s="1290">
        <f t="shared" si="26"/>
        <v>3.7000000000000002E-3</v>
      </c>
      <c r="I86" s="820">
        <v>0.15</v>
      </c>
      <c r="J86" s="1287">
        <f t="shared" si="27"/>
        <v>0</v>
      </c>
      <c r="K86" s="1287">
        <f t="shared" si="28"/>
        <v>0</v>
      </c>
      <c r="L86" s="1287">
        <v>0</v>
      </c>
      <c r="M86" s="1287">
        <f t="shared" si="29"/>
        <v>0</v>
      </c>
      <c r="N86" s="1287">
        <f t="shared" si="29"/>
        <v>0</v>
      </c>
      <c r="Z86" s="2716"/>
      <c r="AA86" s="2792"/>
      <c r="AG86" s="1374"/>
      <c r="AK86" s="2792"/>
    </row>
    <row r="87" spans="1:37" ht="24">
      <c r="A87" s="2873" t="s">
        <v>2944</v>
      </c>
      <c r="B87" s="2879" t="s">
        <v>2958</v>
      </c>
      <c r="C87" s="2766"/>
      <c r="D87" s="1288">
        <f t="shared" si="25"/>
        <v>0</v>
      </c>
      <c r="E87" s="826"/>
      <c r="F87" s="2497"/>
      <c r="G87" s="1286"/>
      <c r="H87" s="1290">
        <f t="shared" si="26"/>
        <v>1.1999999999999999E-3</v>
      </c>
      <c r="I87" s="820">
        <v>0.05</v>
      </c>
      <c r="J87" s="1287">
        <f t="shared" si="27"/>
        <v>0</v>
      </c>
      <c r="K87" s="1287">
        <f t="shared" si="28"/>
        <v>0</v>
      </c>
      <c r="L87" s="1287">
        <v>0</v>
      </c>
      <c r="M87" s="1287">
        <f t="shared" si="29"/>
        <v>0</v>
      </c>
      <c r="N87" s="1287">
        <f t="shared" si="29"/>
        <v>0</v>
      </c>
      <c r="Z87" s="2716"/>
      <c r="AA87" s="2792"/>
      <c r="AG87" s="1374"/>
      <c r="AK87" s="2792"/>
    </row>
    <row r="88" spans="1:37" ht="51.75" thickBot="1">
      <c r="A88" s="2881" t="s">
        <v>2959</v>
      </c>
      <c r="B88" s="2886" t="str">
        <f>估价对象房地状况!G18</f>
        <v>该园区内是否有污染型企业，绿化情况，卫生条件，整体环境状况判断，较好</v>
      </c>
      <c r="C88" s="2766"/>
      <c r="D88" s="1288">
        <f t="shared" si="25"/>
        <v>0</v>
      </c>
      <c r="E88" s="827"/>
      <c r="F88" s="2497"/>
      <c r="G88" s="1286"/>
      <c r="H88" s="1290">
        <f t="shared" si="26"/>
        <v>1.5E-3</v>
      </c>
      <c r="I88" s="824">
        <v>0.06</v>
      </c>
      <c r="J88" s="1287">
        <f t="shared" si="27"/>
        <v>0</v>
      </c>
      <c r="K88" s="1287">
        <f t="shared" si="28"/>
        <v>0</v>
      </c>
      <c r="L88" s="1287">
        <v>0</v>
      </c>
      <c r="M88" s="1287">
        <f t="shared" si="29"/>
        <v>0</v>
      </c>
      <c r="N88" s="1287">
        <f t="shared" si="29"/>
        <v>0</v>
      </c>
      <c r="Z88" s="2716"/>
      <c r="AA88" s="2792"/>
      <c r="AG88" s="1374"/>
      <c r="AK88" s="2792"/>
    </row>
    <row r="90" spans="1:37">
      <c r="A90" s="3146" t="s">
        <v>2960</v>
      </c>
      <c r="B90" s="3146"/>
      <c r="C90" s="3146"/>
      <c r="D90" s="3146"/>
      <c r="E90" s="3146"/>
      <c r="F90" s="3146"/>
      <c r="G90" s="3146"/>
      <c r="H90" s="3146"/>
      <c r="I90" s="3146"/>
      <c r="J90" s="3146"/>
      <c r="K90" s="2887"/>
      <c r="L90" s="2887"/>
      <c r="M90" s="2887"/>
      <c r="N90" s="2887"/>
    </row>
    <row r="91" spans="1:37">
      <c r="A91" s="3148" t="s">
        <v>2961</v>
      </c>
      <c r="B91" s="3148" t="s">
        <v>2962</v>
      </c>
      <c r="C91" s="2841" t="s">
        <v>2963</v>
      </c>
      <c r="D91" s="2842"/>
      <c r="E91" s="2842"/>
      <c r="F91" s="2842"/>
      <c r="G91" s="2842"/>
      <c r="H91" s="2842"/>
      <c r="I91" s="2842"/>
      <c r="J91" s="2888"/>
      <c r="K91" s="2889"/>
      <c r="L91" s="2889"/>
      <c r="M91" s="2889"/>
      <c r="N91" s="2889"/>
    </row>
    <row r="92" spans="1:37">
      <c r="A92" s="3148"/>
      <c r="B92" s="3148"/>
      <c r="C92" s="945" t="s">
        <v>2829</v>
      </c>
      <c r="D92" s="945" t="s">
        <v>2830</v>
      </c>
      <c r="E92" s="945" t="s">
        <v>2831</v>
      </c>
      <c r="F92" s="945" t="s">
        <v>2832</v>
      </c>
      <c r="G92" s="945" t="s">
        <v>2833</v>
      </c>
      <c r="H92" s="945" t="s">
        <v>2834</v>
      </c>
      <c r="I92" s="945" t="s">
        <v>2835</v>
      </c>
      <c r="J92" s="945" t="s">
        <v>2836</v>
      </c>
      <c r="K92" s="945" t="s">
        <v>2837</v>
      </c>
      <c r="L92" s="945" t="s">
        <v>2838</v>
      </c>
      <c r="M92" s="945" t="s">
        <v>2839</v>
      </c>
      <c r="N92" s="945" t="s">
        <v>2840</v>
      </c>
    </row>
    <row r="93" spans="1:37">
      <c r="A93" s="3149" t="s">
        <v>2964</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150"/>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150"/>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150"/>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150"/>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150"/>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150"/>
      <c r="B99" s="2890" t="s">
        <v>2845</v>
      </c>
      <c r="C99" s="2892">
        <f>$I$3</f>
        <v>0</v>
      </c>
      <c r="D99" s="2892">
        <f t="shared" ref="D99:M99" si="30">$I$3</f>
        <v>0</v>
      </c>
      <c r="E99" s="2892">
        <f t="shared" si="30"/>
        <v>0</v>
      </c>
      <c r="F99" s="2892">
        <f t="shared" si="30"/>
        <v>0</v>
      </c>
      <c r="G99" s="2892">
        <f t="shared" si="30"/>
        <v>0</v>
      </c>
      <c r="H99" s="2892">
        <f t="shared" si="30"/>
        <v>0</v>
      </c>
      <c r="I99" s="2892">
        <f t="shared" si="30"/>
        <v>0</v>
      </c>
      <c r="J99" s="2892">
        <f t="shared" si="30"/>
        <v>0</v>
      </c>
      <c r="K99" s="2892">
        <f t="shared" si="30"/>
        <v>0</v>
      </c>
      <c r="L99" s="2892">
        <f t="shared" si="30"/>
        <v>0</v>
      </c>
      <c r="M99" s="2892">
        <f t="shared" si="30"/>
        <v>0</v>
      </c>
      <c r="N99" s="2892">
        <f>$I$3</f>
        <v>0</v>
      </c>
    </row>
    <row r="100" spans="1:14">
      <c r="A100" s="3151"/>
      <c r="B100" s="2890">
        <v>7</v>
      </c>
      <c r="C100" s="2893">
        <f>(-0.163*(C99^2)-0.59*C99+7617)*(10^(-4))</f>
        <v>0.76170000000000004</v>
      </c>
      <c r="D100" s="2893">
        <f>(-0.163*(D99^2)-0.59*D99+7617)*(10^(-4))</f>
        <v>0.76170000000000004</v>
      </c>
      <c r="E100" s="2893">
        <f>(-0.161*(E99^2)-7.509*E99+6533)*(10^(-4))</f>
        <v>0.65329999999999999</v>
      </c>
      <c r="F100" s="2893">
        <f>(-0.161*(F99^2)-7.509*F99+6533)*(10^(-4))</f>
        <v>0.65329999999999999</v>
      </c>
      <c r="G100" s="2893">
        <f>(-0.161*(G99^2)-7.509*G99+6533)*(10^(-4))</f>
        <v>0.65329999999999999</v>
      </c>
      <c r="H100" s="2893">
        <f>(-0.161*(H99^2)-7.509*H99+6533)*(10^(-4))</f>
        <v>0.65329999999999999</v>
      </c>
      <c r="I100" s="2893">
        <f>(-0.161*(I99^2)-7.509*I99+6533)*(10^(-4))</f>
        <v>0.65329999999999999</v>
      </c>
      <c r="J100" s="2893">
        <f>(-0.214*(J99^2)-21.991*J99+4665)*(10^(-4))</f>
        <v>0.46650000000000003</v>
      </c>
      <c r="K100" s="2893">
        <f>(-0.214*(K99^2)-21.991*K99+4665)*(10^(-4))</f>
        <v>0.46650000000000003</v>
      </c>
      <c r="L100" s="2893">
        <f>(-0.214*(L99^2)-21.991*L99+4665)*(10^(-4))</f>
        <v>0.46650000000000003</v>
      </c>
      <c r="M100" s="2893">
        <f>(-0.214*(M99^2)-21.991*M99+4665)*(10^(-4))</f>
        <v>0.46650000000000003</v>
      </c>
      <c r="N100" s="2893">
        <f>(-0.214*(N99^2)-21.991*N99+4665)*(10^(-4))</f>
        <v>0.46650000000000003</v>
      </c>
    </row>
    <row r="101" spans="1:14">
      <c r="A101" s="3149" t="s">
        <v>2965</v>
      </c>
      <c r="B101" s="2894" t="s">
        <v>2966</v>
      </c>
      <c r="C101" s="2895" t="e">
        <f>$G$3</f>
        <v>#DIV/0!</v>
      </c>
      <c r="D101" s="2895" t="e">
        <f t="shared" ref="D101:N101" si="31">$G$3</f>
        <v>#DIV/0!</v>
      </c>
      <c r="E101" s="2895" t="e">
        <f t="shared" si="31"/>
        <v>#DIV/0!</v>
      </c>
      <c r="F101" s="2895" t="e">
        <f t="shared" si="31"/>
        <v>#DIV/0!</v>
      </c>
      <c r="G101" s="2895" t="e">
        <f t="shared" si="31"/>
        <v>#DIV/0!</v>
      </c>
      <c r="H101" s="2895" t="e">
        <f t="shared" si="31"/>
        <v>#DIV/0!</v>
      </c>
      <c r="I101" s="2895" t="e">
        <f t="shared" si="31"/>
        <v>#DIV/0!</v>
      </c>
      <c r="J101" s="2895" t="e">
        <f t="shared" si="31"/>
        <v>#DIV/0!</v>
      </c>
      <c r="K101" s="2895" t="e">
        <f t="shared" si="31"/>
        <v>#DIV/0!</v>
      </c>
      <c r="L101" s="2895" t="e">
        <f t="shared" si="31"/>
        <v>#DIV/0!</v>
      </c>
      <c r="M101" s="2895" t="e">
        <f t="shared" si="31"/>
        <v>#DIV/0!</v>
      </c>
      <c r="N101" s="2895" t="e">
        <f t="shared" si="31"/>
        <v>#DIV/0!</v>
      </c>
    </row>
    <row r="102" spans="1:14">
      <c r="A102" s="3150"/>
      <c r="B102" s="2890">
        <v>1</v>
      </c>
      <c r="C102" s="2891" t="e">
        <f>1.9362/C101</f>
        <v>#DIV/0!</v>
      </c>
      <c r="D102" s="2891" t="e">
        <f>1.9362/D101</f>
        <v>#DIV/0!</v>
      </c>
      <c r="E102" s="2891" t="e">
        <f>1.8629/E101</f>
        <v>#DIV/0!</v>
      </c>
      <c r="F102" s="2891" t="e">
        <f>1.8629/F101</f>
        <v>#DIV/0!</v>
      </c>
      <c r="G102" s="2891" t="e">
        <f>1.8629/G101</f>
        <v>#DIV/0!</v>
      </c>
      <c r="H102" s="2891" t="e">
        <f>1.8629/H101</f>
        <v>#DIV/0!</v>
      </c>
      <c r="I102" s="2891" t="e">
        <f>1.8629/I101</f>
        <v>#DIV/0!</v>
      </c>
      <c r="J102" s="2891" t="e">
        <f>1.942/J101</f>
        <v>#DIV/0!</v>
      </c>
      <c r="K102" s="2891" t="e">
        <f>1.942/K101</f>
        <v>#DIV/0!</v>
      </c>
      <c r="L102" s="2891" t="e">
        <f>1.942/L101</f>
        <v>#DIV/0!</v>
      </c>
      <c r="M102" s="2891" t="e">
        <f>1.942/M101</f>
        <v>#DIV/0!</v>
      </c>
      <c r="N102" s="2891" t="e">
        <f>1.942/N101</f>
        <v>#DIV/0!</v>
      </c>
    </row>
    <row r="103" spans="1:14">
      <c r="A103" s="3150"/>
      <c r="B103" s="2890">
        <v>2</v>
      </c>
      <c r="C103" s="2891" t="e">
        <f>1.4198/C101</f>
        <v>#DIV/0!</v>
      </c>
      <c r="D103" s="2891" t="e">
        <f>1.4198/D101</f>
        <v>#DIV/0!</v>
      </c>
      <c r="E103" s="2891" t="e">
        <f>1.3372/E101</f>
        <v>#DIV/0!</v>
      </c>
      <c r="F103" s="2891" t="e">
        <f>1.3372/F101</f>
        <v>#DIV/0!</v>
      </c>
      <c r="G103" s="2891" t="e">
        <f>1.3372/G101</f>
        <v>#DIV/0!</v>
      </c>
      <c r="H103" s="2891" t="e">
        <f>1.3372/H101</f>
        <v>#DIV/0!</v>
      </c>
      <c r="I103" s="2891" t="e">
        <f>1.3372/I101</f>
        <v>#DIV/0!</v>
      </c>
      <c r="J103" s="2891" t="e">
        <f>1.2799/J101</f>
        <v>#DIV/0!</v>
      </c>
      <c r="K103" s="2891" t="e">
        <f>1.2799/K101</f>
        <v>#DIV/0!</v>
      </c>
      <c r="L103" s="2891" t="e">
        <f>1.2799/L101</f>
        <v>#DIV/0!</v>
      </c>
      <c r="M103" s="2891" t="e">
        <f>1.2799/M101</f>
        <v>#DIV/0!</v>
      </c>
      <c r="N103" s="2891" t="e">
        <f>1.2799/N101</f>
        <v>#DIV/0!</v>
      </c>
    </row>
    <row r="104" spans="1:14">
      <c r="A104" s="3150"/>
      <c r="B104" s="2890">
        <v>3</v>
      </c>
      <c r="C104" s="2891" t="e">
        <f>1.1594/C101</f>
        <v>#DIV/0!</v>
      </c>
      <c r="D104" s="2891" t="e">
        <f>1.1594/D101</f>
        <v>#DIV/0!</v>
      </c>
      <c r="E104" s="2891" t="e">
        <f>1.0788/E101</f>
        <v>#DIV/0!</v>
      </c>
      <c r="F104" s="2891" t="e">
        <f>1.0788/F101</f>
        <v>#DIV/0!</v>
      </c>
      <c r="G104" s="2891" t="e">
        <f>1.0788/G101</f>
        <v>#DIV/0!</v>
      </c>
      <c r="H104" s="2891" t="e">
        <f>1.0788/H101</f>
        <v>#DIV/0!</v>
      </c>
      <c r="I104" s="2891" t="e">
        <f>1.0788/I101</f>
        <v>#DIV/0!</v>
      </c>
      <c r="J104" s="2891" t="e">
        <f>1.0072/J101</f>
        <v>#DIV/0!</v>
      </c>
      <c r="K104" s="2891" t="e">
        <f>1.0072/K101</f>
        <v>#DIV/0!</v>
      </c>
      <c r="L104" s="2891" t="e">
        <f>1.0072/L101</f>
        <v>#DIV/0!</v>
      </c>
      <c r="M104" s="2891" t="e">
        <f>1.0072/M101</f>
        <v>#DIV/0!</v>
      </c>
      <c r="N104" s="2891" t="e">
        <f>1.0072/N101</f>
        <v>#DIV/0!</v>
      </c>
    </row>
    <row r="105" spans="1:14">
      <c r="A105" s="3150"/>
      <c r="B105" s="2890">
        <v>4</v>
      </c>
      <c r="C105" s="2891" t="e">
        <f>0.9622/C101</f>
        <v>#DIV/0!</v>
      </c>
      <c r="D105" s="2891" t="e">
        <f>0.9622/D101</f>
        <v>#DIV/0!</v>
      </c>
      <c r="E105" s="2891" t="e">
        <f>0.8656/E101</f>
        <v>#DIV/0!</v>
      </c>
      <c r="F105" s="2891" t="e">
        <f>0.8656/F101</f>
        <v>#DIV/0!</v>
      </c>
      <c r="G105" s="2891" t="e">
        <f>0.8656/G101</f>
        <v>#DIV/0!</v>
      </c>
      <c r="H105" s="2891" t="e">
        <f>0.8656/H101</f>
        <v>#DIV/0!</v>
      </c>
      <c r="I105" s="2891" t="e">
        <f>0.8656/I101</f>
        <v>#DIV/0!</v>
      </c>
      <c r="J105" s="2891" t="e">
        <f>0.7525/J101</f>
        <v>#DIV/0!</v>
      </c>
      <c r="K105" s="2891" t="e">
        <f>0.7525/K101</f>
        <v>#DIV/0!</v>
      </c>
      <c r="L105" s="2891" t="e">
        <f>0.7525/L101</f>
        <v>#DIV/0!</v>
      </c>
      <c r="M105" s="2891" t="e">
        <f>0.7525/M101</f>
        <v>#DIV/0!</v>
      </c>
      <c r="N105" s="2891" t="e">
        <f>0.7525/N101</f>
        <v>#DIV/0!</v>
      </c>
    </row>
    <row r="106" spans="1:14">
      <c r="A106" s="3150"/>
      <c r="B106" s="2890">
        <v>5</v>
      </c>
      <c r="C106" s="2891" t="e">
        <f>0.8417/C101</f>
        <v>#DIV/0!</v>
      </c>
      <c r="D106" s="2891" t="e">
        <f>0.8417/D101</f>
        <v>#DIV/0!</v>
      </c>
      <c r="E106" s="2891" t="e">
        <f>0.7371/E101</f>
        <v>#DIV/0!</v>
      </c>
      <c r="F106" s="2891" t="e">
        <f>0.7371/F101</f>
        <v>#DIV/0!</v>
      </c>
      <c r="G106" s="2891" t="e">
        <f>0.7371/G101</f>
        <v>#DIV/0!</v>
      </c>
      <c r="H106" s="2891" t="e">
        <f>0.7371/H101</f>
        <v>#DIV/0!</v>
      </c>
      <c r="I106" s="2891" t="e">
        <f>0.7371/I101</f>
        <v>#DIV/0!</v>
      </c>
      <c r="J106" s="2891" t="e">
        <f>0.5659/J101</f>
        <v>#DIV/0!</v>
      </c>
      <c r="K106" s="2891" t="e">
        <f>0.5659/K101</f>
        <v>#DIV/0!</v>
      </c>
      <c r="L106" s="2891" t="e">
        <f>0.5659/L101</f>
        <v>#DIV/0!</v>
      </c>
      <c r="M106" s="2891" t="e">
        <f>0.5659/M101</f>
        <v>#DIV/0!</v>
      </c>
      <c r="N106" s="2891" t="e">
        <f>0.5659/N101</f>
        <v>#DIV/0!</v>
      </c>
    </row>
    <row r="107" spans="1:14">
      <c r="A107" s="3150"/>
      <c r="B107" s="2890">
        <v>6</v>
      </c>
      <c r="C107" s="2891" t="e">
        <f>0.7608/C101</f>
        <v>#DIV/0!</v>
      </c>
      <c r="D107" s="2891" t="e">
        <f>0.7608/D101</f>
        <v>#DIV/0!</v>
      </c>
      <c r="E107" s="2891" t="e">
        <f>0.6482/E101</f>
        <v>#DIV/0!</v>
      </c>
      <c r="F107" s="2891" t="e">
        <f>0.6482/F101</f>
        <v>#DIV/0!</v>
      </c>
      <c r="G107" s="2891" t="e">
        <f>0.6482/G101</f>
        <v>#DIV/0!</v>
      </c>
      <c r="H107" s="2891" t="e">
        <f>0.6482/H101</f>
        <v>#DIV/0!</v>
      </c>
      <c r="I107" s="2891" t="e">
        <f>0.6482/I101</f>
        <v>#DIV/0!</v>
      </c>
      <c r="J107" s="2891" t="e">
        <f>0.4525/J101</f>
        <v>#DIV/0!</v>
      </c>
      <c r="K107" s="2891" t="e">
        <f>0.4525/K101</f>
        <v>#DIV/0!</v>
      </c>
      <c r="L107" s="2891" t="e">
        <f>0.4525/L101</f>
        <v>#DIV/0!</v>
      </c>
      <c r="M107" s="2891" t="e">
        <f>0.4525/M101</f>
        <v>#DIV/0!</v>
      </c>
      <c r="N107" s="2891" t="e">
        <f>0.4525/N101</f>
        <v>#DIV/0!</v>
      </c>
    </row>
    <row r="108" spans="1:14">
      <c r="A108" s="3150"/>
      <c r="B108" s="3078" t="s">
        <v>2967</v>
      </c>
      <c r="C108" s="2892">
        <f>C99</f>
        <v>0</v>
      </c>
      <c r="D108" s="2892">
        <f t="shared" ref="D108:N108" si="32">D99</f>
        <v>0</v>
      </c>
      <c r="E108" s="2892">
        <f t="shared" si="32"/>
        <v>0</v>
      </c>
      <c r="F108" s="2892">
        <f t="shared" si="32"/>
        <v>0</v>
      </c>
      <c r="G108" s="2892">
        <f t="shared" si="32"/>
        <v>0</v>
      </c>
      <c r="H108" s="2892">
        <f t="shared" si="32"/>
        <v>0</v>
      </c>
      <c r="I108" s="2892">
        <f t="shared" si="32"/>
        <v>0</v>
      </c>
      <c r="J108" s="2892">
        <f t="shared" si="32"/>
        <v>0</v>
      </c>
      <c r="K108" s="2892">
        <f t="shared" si="32"/>
        <v>0</v>
      </c>
      <c r="L108" s="2892">
        <f t="shared" si="32"/>
        <v>0</v>
      </c>
      <c r="M108" s="2892">
        <f t="shared" si="32"/>
        <v>0</v>
      </c>
      <c r="N108" s="2892">
        <f t="shared" si="32"/>
        <v>0</v>
      </c>
    </row>
    <row r="109" spans="1:14">
      <c r="A109" s="3151"/>
      <c r="B109" s="3079"/>
      <c r="C109" s="2893" t="e">
        <f>(-0.163*(C108^2)-0.59*C108+7617)*(10^(-4))/C101</f>
        <v>#DIV/0!</v>
      </c>
      <c r="D109" s="2893" t="e">
        <f>(-0.163*(D108^2)-0.59*D108+7617)*(10^(-4))/D101</f>
        <v>#DIV/0!</v>
      </c>
      <c r="E109" s="2893" t="e">
        <f>(-0.161*(E108^2)-7.509*E108+6533)*(10^(-4))/E101</f>
        <v>#DIV/0!</v>
      </c>
      <c r="F109" s="2893" t="e">
        <f>(-0.161*(F108^2)-7.509*F108+6533)*(10^(-4))/F101</f>
        <v>#DIV/0!</v>
      </c>
      <c r="G109" s="2893" t="e">
        <f>(-0.161*(G108^2)-7.509*G108+6533)*(10^(-4))/G101</f>
        <v>#DIV/0!</v>
      </c>
      <c r="H109" s="2893" t="e">
        <f>(-0.161*(H108^2)-7.509*H108+6533)*(10^(-4))/H101</f>
        <v>#DIV/0!</v>
      </c>
      <c r="I109" s="2893" t="e">
        <f>(-0.161*(I108^2)-7.509*I108+6533)*(10^(-4))/I101</f>
        <v>#DIV/0!</v>
      </c>
      <c r="J109" s="2893" t="e">
        <f>(-0.214*(J108^2)-21.991*J108+4665)*(10^(-4))/J101</f>
        <v>#DIV/0!</v>
      </c>
      <c r="K109" s="2893" t="e">
        <f>(-0.214*(K108^2)-21.991*K108+4665)*(10^(-4))/K101</f>
        <v>#DIV/0!</v>
      </c>
      <c r="L109" s="2893" t="e">
        <f>(-0.214*(L108^2)-21.991*L108+4665)*(10^(-4))/L101</f>
        <v>#DIV/0!</v>
      </c>
      <c r="M109" s="2893" t="e">
        <f>(-0.214*(M108^2)-21.991*M108+4665)*(10^(-4))/M101</f>
        <v>#DIV/0!</v>
      </c>
      <c r="N109" s="2893" t="e">
        <f>(-0.214*(N108^2)-21.991*N108+4665)*(10^(-4))/N101</f>
        <v>#DIV/0!</v>
      </c>
    </row>
    <row r="110" spans="1:14">
      <c r="A110" s="3147" t="s">
        <v>2968</v>
      </c>
      <c r="B110" s="3147"/>
      <c r="C110" s="3147"/>
      <c r="D110" s="3147"/>
      <c r="E110" s="3147"/>
      <c r="F110" s="3147"/>
      <c r="G110" s="3147"/>
      <c r="H110" s="3147"/>
      <c r="I110" s="3147"/>
      <c r="J110" s="3147"/>
      <c r="K110" s="2896"/>
      <c r="L110" s="2896"/>
      <c r="M110" s="2896"/>
      <c r="N110" s="2896"/>
    </row>
    <row r="112" spans="1:14" ht="13.5" thickBot="1"/>
    <row r="113" spans="1:13" ht="25.5" thickBot="1">
      <c r="A113" s="903" t="s">
        <v>2969</v>
      </c>
      <c r="B113" s="1289" t="e">
        <f>G3</f>
        <v>#DIV/0!</v>
      </c>
      <c r="C113" s="904" t="s">
        <v>2970</v>
      </c>
      <c r="D113" s="905" t="e">
        <f>SUMPRODUCT((A115:A118=F113)*(B114:M114=H113)*B115:M118)</f>
        <v>#DIV/0!</v>
      </c>
      <c r="E113" s="2720" t="s">
        <v>2802</v>
      </c>
      <c r="F113" s="2898" t="str">
        <f>E2</f>
        <v>工业</v>
      </c>
      <c r="G113" s="2720" t="s">
        <v>2803</v>
      </c>
      <c r="H113" s="2898" t="str">
        <f>G2</f>
        <v>七级</v>
      </c>
      <c r="I113" s="2720"/>
      <c r="J113" s="2899"/>
      <c r="K113" s="2899"/>
      <c r="L113" s="2899"/>
      <c r="M113" s="2899"/>
    </row>
    <row r="114" spans="1:13">
      <c r="A114" s="908"/>
      <c r="B114" s="2900" t="s">
        <v>2971</v>
      </c>
      <c r="C114" s="2900" t="s">
        <v>2972</v>
      </c>
      <c r="D114" s="2900" t="s">
        <v>2973</v>
      </c>
      <c r="E114" s="2901" t="s">
        <v>2974</v>
      </c>
      <c r="F114" s="2901" t="s">
        <v>2975</v>
      </c>
      <c r="G114" s="2901" t="s">
        <v>2976</v>
      </c>
      <c r="H114" s="2902" t="s">
        <v>2977</v>
      </c>
      <c r="I114" s="2902" t="s">
        <v>2978</v>
      </c>
      <c r="J114" s="2903" t="s">
        <v>2979</v>
      </c>
      <c r="K114" s="2903" t="s">
        <v>2980</v>
      </c>
      <c r="L114" s="2903" t="s">
        <v>2981</v>
      </c>
      <c r="M114" s="2904" t="s">
        <v>2982</v>
      </c>
    </row>
    <row r="115" spans="1:13">
      <c r="A115" s="909" t="s">
        <v>2867</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2868</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2869</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2870</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48" priority="5" stopIfTrue="1" operator="notEqual">
      <formula>"——"</formula>
    </cfRule>
  </conditionalFormatting>
  <conditionalFormatting sqref="F59">
    <cfRule type="cellIs" dxfId="147" priority="4" stopIfTrue="1" operator="notEqual">
      <formula>"——"</formula>
    </cfRule>
  </conditionalFormatting>
  <conditionalFormatting sqref="F70">
    <cfRule type="cellIs" dxfId="146" priority="3" stopIfTrue="1" operator="notEqual">
      <formula>"——"</formula>
    </cfRule>
  </conditionalFormatting>
  <conditionalFormatting sqref="F81">
    <cfRule type="cellIs" dxfId="145" priority="2" stopIfTrue="1" operator="notEqual">
      <formula>"——"</formula>
    </cfRule>
  </conditionalFormatting>
  <conditionalFormatting sqref="H48:H56 H59:H67 H70:H78 H81:H88">
    <cfRule type="cellIs" dxfId="144"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A25" sqref="A25:G25"/>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1" t="str">
        <f>项目基本情况!B1</f>
        <v>北京市昌平区超前路37号院20号楼1至4层101号房地产抵押价值预评估</v>
      </c>
      <c r="C37" s="2961"/>
      <c r="D37" s="2961"/>
      <c r="E37" s="2961"/>
      <c r="F37" s="2961"/>
      <c r="G37" s="2961"/>
      <c r="H37" s="2961"/>
      <c r="I37" s="2961"/>
    </row>
    <row r="38" spans="1:9">
      <c r="A38" s="1019"/>
      <c r="B38" s="1019"/>
    </row>
    <row r="39" spans="1:9">
      <c r="A39" s="1017" t="s">
        <v>818</v>
      </c>
      <c r="B39" s="1017" t="s">
        <v>820</v>
      </c>
    </row>
    <row r="40" spans="1:9">
      <c r="A40" s="1017"/>
      <c r="B40" s="1944" t="str">
        <f>项目基本情况!B5</f>
        <v>北京厦诚科技有限公司</v>
      </c>
    </row>
    <row r="41" spans="1:9">
      <c r="A41" s="1017"/>
      <c r="B41" s="1017"/>
    </row>
    <row r="42" spans="1:9">
      <c r="A42" s="1017" t="s">
        <v>818</v>
      </c>
      <c r="B42" s="1017" t="s">
        <v>821</v>
      </c>
    </row>
    <row r="43" spans="1:9">
      <c r="A43" s="1017"/>
      <c r="B43" s="1944" t="s">
        <v>822</v>
      </c>
    </row>
    <row r="44" spans="1:9">
      <c r="A44" s="1017"/>
      <c r="B44" s="1017"/>
    </row>
    <row r="45" spans="1:9">
      <c r="A45" s="1017" t="s">
        <v>818</v>
      </c>
      <c r="B45" s="1017" t="s">
        <v>823</v>
      </c>
    </row>
    <row r="46" spans="1:9" s="1017" customFormat="1" ht="12.75">
      <c r="B46" s="1944" t="str">
        <f ca="1">项目基本情况!K4</f>
        <v>欧红伟（注册号：1120000080)、崔锴（注册号：1120100036)</v>
      </c>
    </row>
    <row r="47" spans="1:9">
      <c r="A47" s="1017"/>
      <c r="B47" s="1017" t="str">
        <f>项目基本情况!K5</f>
        <v/>
      </c>
    </row>
    <row r="48" spans="1:9">
      <c r="A48" s="1017" t="s">
        <v>818</v>
      </c>
      <c r="B48" s="1017" t="s">
        <v>824</v>
      </c>
    </row>
    <row r="49" spans="2:2">
      <c r="B49" s="1944" t="str">
        <f>"康正预评字"&amp;项目基本情况!B2&amp;"号"</f>
        <v>康正预评字2018-1-0123号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G19" sqref="G1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39"/>
      <c r="C1" s="242"/>
      <c r="D1" s="242"/>
      <c r="E1" s="242"/>
      <c r="F1" s="242"/>
      <c r="G1" s="1381">
        <f>MATCH(B1,'数据-取费表'!A6:A16,0)+5</f>
        <v>7</v>
      </c>
    </row>
    <row r="2" spans="1:9" s="244" customFormat="1" ht="18" customHeight="1">
      <c r="A2" s="245" t="s">
        <v>2315</v>
      </c>
      <c r="B2" s="246">
        <f ca="1">IF(D2="——",C52,C52-E2)</f>
        <v>2196</v>
      </c>
      <c r="C2" s="243" t="s">
        <v>2316</v>
      </c>
      <c r="D2" s="2960" t="s">
        <v>70</v>
      </c>
      <c r="E2" s="1442" t="e">
        <f ca="1">SUMIF(INDIRECT("'"&amp;G2&amp;"'"&amp;"!A:A"),"承租人权益价值",INDIRECT("'"&amp;G2&amp;"'"&amp;"!c:c"))</f>
        <v>#REF!</v>
      </c>
      <c r="F2" s="2544" t="s">
        <v>2316</v>
      </c>
      <c r="G2" s="2545"/>
    </row>
    <row r="3" spans="1:9" s="244" customFormat="1" ht="18" customHeight="1" thickBot="1">
      <c r="A3" s="247" t="s">
        <v>2317</v>
      </c>
      <c r="B3" s="248">
        <f ca="1">ROUND(B2*10000/(IF(B1="",'数据-汇总表'!E3,INDIRECT("'数据-取费表'!k"&amp;$G$1))),0)</f>
        <v>17619</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C6+C7+C8</f>
        <v>1309.4000000000001</v>
      </c>
      <c r="D5" s="255" t="s">
        <v>2322</v>
      </c>
      <c r="E5" s="256" t="s">
        <v>2323</v>
      </c>
      <c r="F5" s="256" t="s">
        <v>2324</v>
      </c>
      <c r="G5" s="257"/>
    </row>
    <row r="6" spans="1:9" s="258" customFormat="1" ht="13.5" customHeight="1">
      <c r="A6" s="952" t="s">
        <v>2325</v>
      </c>
      <c r="B6" s="259" t="s">
        <v>2326</v>
      </c>
      <c r="C6" s="260">
        <f>基准地价修正!D29</f>
        <v>1246.4000000000001</v>
      </c>
      <c r="D6" s="261"/>
      <c r="E6" s="262"/>
      <c r="F6" s="262"/>
      <c r="G6" s="263"/>
    </row>
    <row r="7" spans="1:9" s="258" customFormat="1" ht="13.5" customHeight="1">
      <c r="A7" s="952" t="s">
        <v>2327</v>
      </c>
      <c r="B7" s="259" t="s">
        <v>2328</v>
      </c>
      <c r="C7" s="264">
        <f>ROUND(C6*F7,0)</f>
        <v>38</v>
      </c>
      <c r="D7" s="264"/>
      <c r="E7" s="262"/>
      <c r="F7" s="265">
        <f>'数据-取费表'!B48+'数据-取费表'!B49</f>
        <v>3.0499999999999999E-2</v>
      </c>
      <c r="G7" s="263"/>
    </row>
    <row r="8" spans="1:9" s="267" customFormat="1">
      <c r="A8" s="952" t="s">
        <v>2329</v>
      </c>
      <c r="B8" s="259" t="s">
        <v>2330</v>
      </c>
      <c r="C8" s="264">
        <f>IF(G8="已包含在土地购买价格中","0",IF(B1="",'数据-取费表'!B29,IF(G9="全部缴纳",C9+C10,H9)))</f>
        <v>25</v>
      </c>
      <c r="D8" s="266"/>
      <c r="E8" s="264"/>
      <c r="F8" s="265"/>
      <c r="G8" s="2546" t="s">
        <v>3074</v>
      </c>
    </row>
    <row r="9" spans="1:9" s="258" customFormat="1" ht="13.5" customHeight="1">
      <c r="A9" s="953" t="s">
        <v>800</v>
      </c>
      <c r="B9" s="268" t="s">
        <v>2331</v>
      </c>
      <c r="C9" s="269">
        <f ca="1">ROUND(D9*E9/10000,0)</f>
        <v>0</v>
      </c>
      <c r="D9" s="1035">
        <f ca="1">IF(B1="",'数据-汇总表'!E5,IF(INDIRECT("'数据-取费表'!c"&amp;$G$1)="住宅",INDIRECT("'数据-取费表'!k"&amp;$G$1),0))</f>
        <v>0</v>
      </c>
      <c r="E9" s="269">
        <f>'数据-取费表'!B27</f>
        <v>160</v>
      </c>
      <c r="F9" s="265"/>
      <c r="G9" s="2547" t="s">
        <v>3075</v>
      </c>
      <c r="H9" s="1392"/>
      <c r="I9" s="2548" t="s">
        <v>2332</v>
      </c>
    </row>
    <row r="10" spans="1:9" s="258" customFormat="1" ht="13.5" customHeight="1">
      <c r="A10" s="953" t="s">
        <v>801</v>
      </c>
      <c r="B10" s="268" t="s">
        <v>2333</v>
      </c>
      <c r="C10" s="269">
        <f ca="1">ROUND(D10*E10/10000,0)</f>
        <v>25</v>
      </c>
      <c r="D10" s="1035">
        <f ca="1">IF(B1="",'数据-汇总表'!E6,IF(INDIRECT("'数据-取费表'!c"&amp;$G$1)="住宅",INDIRECT("'数据-取费表'!s"&amp;$G$1),INDIRECT("'数据-取费表'!k"&amp;$G$1)+INDIRECT("'数据-取费表'!s"&amp;$G$1)))</f>
        <v>1246.4000000000001</v>
      </c>
      <c r="E10" s="269">
        <f>'数据-取费表'!B28</f>
        <v>200</v>
      </c>
      <c r="F10" s="265"/>
      <c r="G10" s="270"/>
    </row>
    <row r="11" spans="1:9" s="258" customFormat="1" ht="13.5" hidden="1" customHeight="1">
      <c r="A11" s="271" t="s">
        <v>7</v>
      </c>
      <c r="B11" s="259" t="s">
        <v>2334</v>
      </c>
      <c r="C11" s="255"/>
      <c r="D11" s="1037"/>
      <c r="E11" s="262"/>
      <c r="F11" s="262"/>
      <c r="G11" s="263"/>
    </row>
    <row r="12" spans="1:9" s="258" customFormat="1" ht="13.5" hidden="1" customHeight="1">
      <c r="A12" s="271" t="s">
        <v>8</v>
      </c>
      <c r="B12" s="259" t="s">
        <v>2335</v>
      </c>
      <c r="C12" s="255">
        <v>0</v>
      </c>
      <c r="D12" s="1037"/>
      <c r="E12" s="272"/>
      <c r="F12" s="265">
        <v>3.0499999999999999E-2</v>
      </c>
      <c r="G12" s="263"/>
    </row>
    <row r="13" spans="1:9" s="258" customFormat="1" ht="13.5" hidden="1" customHeight="1">
      <c r="A13" s="271" t="s">
        <v>9</v>
      </c>
      <c r="B13" s="259" t="s">
        <v>2336</v>
      </c>
      <c r="C13" s="255"/>
      <c r="D13" s="1037"/>
      <c r="E13" s="262"/>
      <c r="F13" s="262"/>
      <c r="G13" s="263"/>
    </row>
    <row r="14" spans="1:9" s="258" customFormat="1" ht="13.5" hidden="1" customHeight="1">
      <c r="A14" s="271" t="s">
        <v>10</v>
      </c>
      <c r="B14" s="259" t="s">
        <v>2337</v>
      </c>
      <c r="C14" s="255"/>
      <c r="D14" s="1037"/>
      <c r="E14" s="262"/>
      <c r="F14" s="262"/>
      <c r="G14" s="263" t="s">
        <v>2338</v>
      </c>
    </row>
    <row r="15" spans="1:9" s="258" customFormat="1" ht="13.5" hidden="1" customHeight="1">
      <c r="A15" s="271" t="s">
        <v>11</v>
      </c>
      <c r="B15" s="259" t="s">
        <v>2339</v>
      </c>
      <c r="C15" s="264"/>
      <c r="D15" s="1037"/>
      <c r="E15" s="262"/>
      <c r="F15" s="262"/>
      <c r="G15" s="263" t="s">
        <v>2340</v>
      </c>
    </row>
    <row r="16" spans="1:9" s="258" customFormat="1" ht="13.5" hidden="1" customHeight="1">
      <c r="A16" s="271" t="s">
        <v>12</v>
      </c>
      <c r="B16" s="259" t="s">
        <v>2337</v>
      </c>
      <c r="C16" s="264"/>
      <c r="D16" s="1037"/>
      <c r="E16" s="262"/>
      <c r="F16" s="262"/>
      <c r="G16" s="263"/>
    </row>
    <row r="17" spans="1:7" s="258" customFormat="1" ht="13.5" hidden="1" customHeight="1">
      <c r="A17" s="271" t="s">
        <v>13</v>
      </c>
      <c r="B17" s="259" t="s">
        <v>2341</v>
      </c>
      <c r="C17" s="273"/>
      <c r="D17" s="1038"/>
      <c r="E17" s="273"/>
      <c r="F17" s="273"/>
      <c r="G17" s="263" t="s">
        <v>2340</v>
      </c>
    </row>
    <row r="18" spans="1:7" s="258" customFormat="1" ht="13.5" hidden="1" customHeight="1">
      <c r="A18" s="271" t="s">
        <v>14</v>
      </c>
      <c r="B18" s="259" t="s">
        <v>2342</v>
      </c>
      <c r="C18" s="264">
        <v>0</v>
      </c>
      <c r="D18" s="1037"/>
      <c r="E18" s="262"/>
      <c r="F18" s="265">
        <v>3.0499999999999999E-2</v>
      </c>
      <c r="G18" s="263" t="s">
        <v>2343</v>
      </c>
    </row>
    <row r="19" spans="1:7" s="267" customFormat="1" ht="13.5" customHeight="1">
      <c r="A19" s="299" t="s">
        <v>2344</v>
      </c>
      <c r="B19" s="254" t="s">
        <v>2345</v>
      </c>
      <c r="C19" s="255" t="str">
        <f>IF(G19="已包含在土地取得成本中","0",ROUND(D19*E19/10000,0))</f>
        <v>0</v>
      </c>
      <c r="D19" s="1039">
        <f ca="1">D9+D10</f>
        <v>1246.4000000000001</v>
      </c>
      <c r="E19" s="255">
        <f>'数据-取费表'!B31</f>
        <v>200</v>
      </c>
      <c r="F19" s="275"/>
      <c r="G19" s="2546" t="s">
        <v>3076</v>
      </c>
    </row>
    <row r="20" spans="1:7" s="258" customFormat="1" ht="13.5" customHeight="1">
      <c r="A20" s="299" t="s">
        <v>2346</v>
      </c>
      <c r="B20" s="254" t="s">
        <v>2347</v>
      </c>
      <c r="C20" s="276">
        <f>ROUND((C5+C19)*F20,0)</f>
        <v>39</v>
      </c>
      <c r="D20" s="276"/>
      <c r="E20" s="276"/>
      <c r="F20" s="277">
        <f>'数据-取费表'!B37</f>
        <v>0.03</v>
      </c>
      <c r="G20" s="278" t="s">
        <v>2348</v>
      </c>
    </row>
    <row r="21" spans="1:7" s="258" customFormat="1" ht="13.5" customHeight="1">
      <c r="A21" s="299" t="s">
        <v>2349</v>
      </c>
      <c r="B21" s="254" t="s">
        <v>2350</v>
      </c>
      <c r="C21" s="279">
        <f>F21</f>
        <v>0.03</v>
      </c>
      <c r="D21" s="280" t="s">
        <v>2351</v>
      </c>
      <c r="E21" s="276"/>
      <c r="F21" s="277">
        <f>'数据-取费表'!B38</f>
        <v>0.03</v>
      </c>
      <c r="G21" s="278" t="s">
        <v>2352</v>
      </c>
    </row>
    <row r="22" spans="1:7" s="258" customFormat="1" ht="13.5" customHeight="1">
      <c r="A22" s="299" t="s">
        <v>2353</v>
      </c>
      <c r="B22" s="254" t="s">
        <v>2354</v>
      </c>
      <c r="C22" s="1356">
        <f ca="1">ROUND(SUM(C23:C25),0)</f>
        <v>58</v>
      </c>
      <c r="D22" s="279">
        <f ca="1">C26</f>
        <v>6.9999999999999999E-4</v>
      </c>
      <c r="E22" s="280" t="s">
        <v>2351</v>
      </c>
      <c r="F22" s="281">
        <f ca="1">'数据-取费表'!B40</f>
        <v>4.3499999999999997E-2</v>
      </c>
      <c r="G22" s="278" t="str">
        <f>IF('数据-取费表'!B22&lt;=1,"单利计息","复利计息")</f>
        <v>单利计息</v>
      </c>
    </row>
    <row r="23" spans="1:7" s="258" customFormat="1" ht="13.5" customHeight="1">
      <c r="A23" s="954" t="s">
        <v>2355</v>
      </c>
      <c r="B23" s="259" t="s">
        <v>2356</v>
      </c>
      <c r="C23" s="1357">
        <f ca="1">ROUND(IF('数据-取费表'!B22&lt;=1,C5*F22*'数据-取费表'!B23,C5*(POWER((1+F22),'数据-取费表'!B23)-1)),0)</f>
        <v>57</v>
      </c>
      <c r="D23" s="282"/>
      <c r="E23" s="282"/>
      <c r="F23" s="283"/>
      <c r="G23" s="284" t="s">
        <v>2357</v>
      </c>
    </row>
    <row r="24" spans="1:7" s="258" customFormat="1" ht="13.5" customHeight="1">
      <c r="A24" s="954" t="s">
        <v>2358</v>
      </c>
      <c r="B24" s="259" t="s">
        <v>2359</v>
      </c>
      <c r="C24" s="1357">
        <f ca="1">ROUND(IF('数据-取费表'!B22&lt;=1,C19*F22*('数据-取费表'!B19/2+'数据-取费表'!B21),C19*(POWER((1+F22),('数据-取费表'!B19/2+'数据-取费表'!B21))-1)),0)</f>
        <v>0</v>
      </c>
      <c r="D24" s="282"/>
      <c r="E24" s="282"/>
      <c r="F24" s="283"/>
      <c r="G24" s="284" t="s">
        <v>2360</v>
      </c>
    </row>
    <row r="25" spans="1:7" s="258" customFormat="1" ht="24">
      <c r="A25" s="954" t="s">
        <v>2361</v>
      </c>
      <c r="B25" s="259" t="s">
        <v>2362</v>
      </c>
      <c r="C25" s="1357">
        <f ca="1">ROUND(IF('数据-取费表'!B22&lt;=1,C20*F22*'数据-取费表'!B23/2,C20*(POWER((1+F22),'数据-取费表'!B23/2)-1)),0)</f>
        <v>1</v>
      </c>
      <c r="D25" s="282"/>
      <c r="E25" s="285"/>
      <c r="F25" s="283"/>
      <c r="G25" s="286" t="s">
        <v>2363</v>
      </c>
    </row>
    <row r="26" spans="1:7" s="258" customFormat="1">
      <c r="A26" s="954" t="s">
        <v>795</v>
      </c>
      <c r="B26" s="259" t="s">
        <v>2364</v>
      </c>
      <c r="C26" s="282">
        <f ca="1">ROUND(IF('数据-取费表'!B22&lt;=1,F21*F22*'数据-取费表'!B23/2,F21*(POWER((1+F22),'数据-取费表'!B23/2)-1)),4)</f>
        <v>6.9999999999999999E-4</v>
      </c>
      <c r="D26" s="282"/>
      <c r="E26" s="285"/>
      <c r="F26" s="283"/>
      <c r="G26" s="287"/>
    </row>
    <row r="27" spans="1:7" s="258" customFormat="1" ht="24.75">
      <c r="A27" s="299" t="s">
        <v>2365</v>
      </c>
      <c r="B27" s="288" t="s">
        <v>2366</v>
      </c>
      <c r="C27" s="289">
        <f ca="1">C28</f>
        <v>135</v>
      </c>
      <c r="D27" s="279">
        <f ca="1">C29</f>
        <v>3.0000000000000001E-3</v>
      </c>
      <c r="E27" s="280" t="s">
        <v>2367</v>
      </c>
      <c r="F27" s="290">
        <f ca="1">IF(B1="",'数据-取费表'!Q16,INDIRECT("'数据-取费表'!q"&amp;$G$1))</f>
        <v>0.1</v>
      </c>
      <c r="G27" s="291" t="s">
        <v>2368</v>
      </c>
    </row>
    <row r="28" spans="1:7" s="258" customFormat="1" ht="13.5" customHeight="1">
      <c r="A28" s="954" t="s">
        <v>791</v>
      </c>
      <c r="B28" s="292" t="s">
        <v>2369</v>
      </c>
      <c r="C28" s="293">
        <f ca="1">ROUND((C5+C19+C20)*F27*'数据-取费表'!B21/'数据-取费表'!B20,0)</f>
        <v>135</v>
      </c>
      <c r="D28" s="279"/>
      <c r="E28" s="280"/>
      <c r="F28" s="290"/>
      <c r="G28" s="291"/>
    </row>
    <row r="29" spans="1:7" s="258" customFormat="1" ht="13.5" customHeight="1">
      <c r="A29" s="954" t="s">
        <v>792</v>
      </c>
      <c r="B29" s="292" t="s">
        <v>2370</v>
      </c>
      <c r="C29" s="282">
        <f ca="1">ROUND(C21*F27*'数据-取费表'!B21/'数据-取费表'!B20,4)</f>
        <v>3.0000000000000001E-3</v>
      </c>
      <c r="D29" s="279"/>
      <c r="E29" s="280"/>
      <c r="F29" s="290"/>
      <c r="G29" s="291"/>
    </row>
    <row r="30" spans="1:7" s="258" customFormat="1" ht="13.5" customHeight="1">
      <c r="A30" s="299" t="s">
        <v>2371</v>
      </c>
      <c r="B30" s="254" t="s">
        <v>2372</v>
      </c>
      <c r="C30" s="279">
        <f>ROUND(F30/(1+'数据-取费表'!C42),4)</f>
        <v>5.2400000000000002E-2</v>
      </c>
      <c r="D30" s="280" t="s">
        <v>2367</v>
      </c>
      <c r="E30" s="285"/>
      <c r="F30" s="281">
        <f>'数据-取费表'!B41</f>
        <v>5.5000000000000007E-2</v>
      </c>
      <c r="G30" s="278" t="s">
        <v>2373</v>
      </c>
    </row>
    <row r="31" spans="1:7" ht="16.5" customHeight="1">
      <c r="A31" s="253">
        <v>1</v>
      </c>
      <c r="B31" s="254" t="s">
        <v>2374</v>
      </c>
      <c r="C31" s="255">
        <f ca="1">ROUND((C5+C19+C20+C22+C27)/(1-C21-D22-D27-C30),0)</f>
        <v>1687</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424</v>
      </c>
      <c r="D33" s="276"/>
      <c r="E33" s="256"/>
      <c r="F33" s="285"/>
      <c r="G33" s="278"/>
    </row>
    <row r="34" spans="1:7" s="302" customFormat="1" ht="13.5" customHeight="1">
      <c r="A34" s="954" t="s">
        <v>791</v>
      </c>
      <c r="B34" s="259" t="s">
        <v>2378</v>
      </c>
      <c r="C34" s="264">
        <f ca="1">IF(B1="",IF(F34=100%,'数据-取费表'!M16,'数据-取费表'!O16),IF(F34=100%,INDIRECT("'数据-取费表'!m"&amp;$G$1)+INDIRECT("'数据-取费表'!t"&amp;$G$1),INDIRECT("'数据-取费表'!o"&amp;$G$1)+INDIRECT("'数据-取费表'!aq"&amp;$G$1)))</f>
        <v>374</v>
      </c>
      <c r="D34" s="261"/>
      <c r="E34" s="264"/>
      <c r="F34" s="301">
        <f ca="1">IF('数据-取费表'!B24=0,1,IF(B1="",'数据-取费表'!N16,INDIRECT("'数据-取费表'!n"&amp;$G$1)))</f>
        <v>1</v>
      </c>
      <c r="G34" s="263" t="s">
        <v>2379</v>
      </c>
    </row>
    <row r="35" spans="1:7" ht="13.5" customHeight="1">
      <c r="A35" s="954" t="s">
        <v>796</v>
      </c>
      <c r="B35" s="259" t="s">
        <v>2380</v>
      </c>
      <c r="C35" s="264">
        <f ca="1">ROUND(C34*F35,0)</f>
        <v>19</v>
      </c>
      <c r="D35" s="264"/>
      <c r="E35" s="264"/>
      <c r="F35" s="303">
        <f>'数据-取费表'!B33</f>
        <v>0.05</v>
      </c>
      <c r="G35" s="263" t="s">
        <v>2381</v>
      </c>
    </row>
    <row r="36" spans="1:7" ht="24">
      <c r="A36" s="954" t="s">
        <v>797</v>
      </c>
      <c r="B36" s="259" t="s">
        <v>2382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2383</v>
      </c>
    </row>
    <row r="37" spans="1:7" s="302" customFormat="1" ht="13.5" customHeight="1">
      <c r="A37" s="954" t="s">
        <v>798</v>
      </c>
      <c r="B37" s="259" t="s">
        <v>2384</v>
      </c>
      <c r="C37" s="293">
        <f ca="1">ROUND(E37*D37*F34/10000,0)</f>
        <v>25</v>
      </c>
      <c r="D37" s="261">
        <f ca="1">D19</f>
        <v>1246.4000000000001</v>
      </c>
      <c r="E37" s="293">
        <f>'数据-取费表'!B35</f>
        <v>200</v>
      </c>
      <c r="F37" s="303"/>
      <c r="G37" s="305" t="s">
        <v>2385</v>
      </c>
    </row>
    <row r="38" spans="1:7" ht="13.5" customHeight="1">
      <c r="A38" s="954" t="s">
        <v>799</v>
      </c>
      <c r="B38" s="259" t="s">
        <v>2386</v>
      </c>
      <c r="C38" s="264">
        <f ca="1">ROUND(C34*F38,0)</f>
        <v>6</v>
      </c>
      <c r="D38" s="264"/>
      <c r="E38" s="264"/>
      <c r="F38" s="303">
        <f>'数据-取费表'!B36</f>
        <v>1.4999999999999999E-2</v>
      </c>
      <c r="G38" s="263" t="s">
        <v>2381</v>
      </c>
    </row>
    <row r="39" spans="1:7" s="258" customFormat="1" ht="13.5" customHeight="1">
      <c r="A39" s="299" t="s">
        <v>2387</v>
      </c>
      <c r="B39" s="254" t="s">
        <v>2388</v>
      </c>
      <c r="C39" s="276">
        <f ca="1">ROUND(C33*F20,0)</f>
        <v>13</v>
      </c>
      <c r="D39" s="276"/>
      <c r="E39" s="276"/>
      <c r="F39" s="277"/>
      <c r="G39" s="278" t="s">
        <v>2389</v>
      </c>
    </row>
    <row r="40" spans="1:7" s="258" customFormat="1" ht="13.5" customHeight="1">
      <c r="A40" s="299" t="s">
        <v>2390</v>
      </c>
      <c r="B40" s="254" t="s">
        <v>2391</v>
      </c>
      <c r="C40" s="1730">
        <f>F21</f>
        <v>0.03</v>
      </c>
      <c r="D40" s="280" t="s">
        <v>2392</v>
      </c>
      <c r="E40" s="276"/>
      <c r="F40" s="277"/>
      <c r="G40" s="278" t="s">
        <v>2393</v>
      </c>
    </row>
    <row r="41" spans="1:7" s="258" customFormat="1" ht="13.5" customHeight="1">
      <c r="A41" s="299" t="s">
        <v>2394</v>
      </c>
      <c r="B41" s="254" t="s">
        <v>2395</v>
      </c>
      <c r="C41" s="276">
        <f ca="1">ROUND(SUM(C42:C43),0)</f>
        <v>9</v>
      </c>
      <c r="D41" s="279">
        <f ca="1">C44</f>
        <v>6.9999999999999999E-4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ROUND(IF('数据-取费表'!B22&lt;=1,C33*F22*'数据-取费表'!B21/2,C33*(POWER((1+F22),'数据-取费表'!B21/2)-1)),0)</f>
        <v>9</v>
      </c>
      <c r="D42" s="282"/>
      <c r="E42" s="282"/>
      <c r="F42" s="283"/>
      <c r="G42" s="3164" t="s">
        <v>2397</v>
      </c>
    </row>
    <row r="43" spans="1:7" ht="13.5" customHeight="1">
      <c r="A43" s="954" t="s">
        <v>792</v>
      </c>
      <c r="B43" s="259" t="s">
        <v>2398</v>
      </c>
      <c r="C43" s="282">
        <f ca="1">ROUND(IF('数据-取费表'!B22&lt;=1,C39*F22*'数据-取费表'!B21/2,C39*(POWER((1+F22),'数据-取费表'!B21/2)-1)),0)</f>
        <v>0</v>
      </c>
      <c r="D43" s="282"/>
      <c r="E43" s="282"/>
      <c r="F43" s="283"/>
      <c r="G43" s="3165"/>
    </row>
    <row r="44" spans="1:7" ht="13.5" customHeight="1">
      <c r="A44" s="954" t="s">
        <v>793</v>
      </c>
      <c r="B44" s="259" t="s">
        <v>2399</v>
      </c>
      <c r="C44" s="282">
        <f ca="1">ROUND(IF('数据-取费表'!B22&lt;=1,C40*F22*'数据-取费表'!B21/2,C40*(POWER((1+F22),'数据-取费表'!B21/2)-1)),4)</f>
        <v>6.9999999999999999E-4</v>
      </c>
      <c r="D44" s="282"/>
      <c r="E44" s="282"/>
      <c r="F44" s="283"/>
      <c r="G44" s="3166"/>
    </row>
    <row r="45" spans="1:7" s="258" customFormat="1" ht="13.5" customHeight="1">
      <c r="A45" s="299" t="s">
        <v>2400</v>
      </c>
      <c r="B45" s="288" t="s">
        <v>2366</v>
      </c>
      <c r="C45" s="289">
        <f ca="1">C46</f>
        <v>44</v>
      </c>
      <c r="D45" s="279">
        <f ca="1">C47</f>
        <v>3.0000000000000001E-3</v>
      </c>
      <c r="E45" s="280" t="s">
        <v>2392</v>
      </c>
      <c r="F45" s="290"/>
      <c r="G45" s="291" t="s">
        <v>2401</v>
      </c>
    </row>
    <row r="46" spans="1:7" s="258" customFormat="1" ht="13.5" customHeight="1">
      <c r="A46" s="954" t="s">
        <v>791</v>
      </c>
      <c r="B46" s="292" t="s">
        <v>2402</v>
      </c>
      <c r="C46" s="293">
        <f ca="1">ROUND((C33+C39)*F27,0)</f>
        <v>44</v>
      </c>
      <c r="D46" s="307"/>
      <c r="E46" s="280"/>
      <c r="F46" s="290"/>
      <c r="G46" s="291"/>
    </row>
    <row r="47" spans="1:7" s="258" customFormat="1" ht="13.5" customHeight="1">
      <c r="A47" s="954" t="s">
        <v>792</v>
      </c>
      <c r="B47" s="292" t="s">
        <v>2403</v>
      </c>
      <c r="C47" s="282">
        <f ca="1">ROUND(C40*F27,4)</f>
        <v>3.0000000000000001E-3</v>
      </c>
      <c r="D47" s="307"/>
      <c r="E47" s="280"/>
      <c r="F47" s="290"/>
      <c r="G47" s="291"/>
    </row>
    <row r="48" spans="1:7" s="258" customFormat="1" ht="13.5" customHeight="1">
      <c r="A48" s="299" t="s">
        <v>2365</v>
      </c>
      <c r="B48" s="254" t="s">
        <v>2404</v>
      </c>
      <c r="C48" s="1730">
        <f>ROUND(F30/(1+'数据-取费表'!C42),4)</f>
        <v>5.2400000000000002E-2</v>
      </c>
      <c r="D48" s="280" t="s">
        <v>2392</v>
      </c>
      <c r="E48" s="276"/>
      <c r="F48" s="281"/>
      <c r="G48" s="278" t="s">
        <v>2405</v>
      </c>
    </row>
    <row r="49" spans="1:7" ht="16.5" customHeight="1">
      <c r="A49" s="299" t="s">
        <v>2371</v>
      </c>
      <c r="B49" s="254" t="s">
        <v>2406</v>
      </c>
      <c r="C49" s="276">
        <f ca="1">ROUND((C33+C39+C41+C45)/(1-C40-D41-D45-C48),0)</f>
        <v>536</v>
      </c>
      <c r="D49" s="276"/>
      <c r="E49" s="276"/>
      <c r="F49" s="308"/>
      <c r="G49" s="278" t="s">
        <v>2407</v>
      </c>
    </row>
    <row r="50" spans="1:7" s="302" customFormat="1" ht="24">
      <c r="A50" s="299" t="s">
        <v>2408</v>
      </c>
      <c r="B50" s="254" t="s">
        <v>2409</v>
      </c>
      <c r="C50" s="276"/>
      <c r="D50" s="276"/>
      <c r="E50" s="276"/>
      <c r="F50" s="308">
        <f>IF('数据-取费表'!B24=0,'数据-取费表'!N16,1)</f>
        <v>0.95</v>
      </c>
      <c r="G50" s="291" t="s">
        <v>2410</v>
      </c>
    </row>
    <row r="51" spans="1:7" ht="16.5" customHeight="1">
      <c r="A51" s="299" t="s">
        <v>2411</v>
      </c>
      <c r="B51" s="254" t="s">
        <v>2412</v>
      </c>
      <c r="C51" s="276">
        <f ca="1">ROUND(C49*F50,0)</f>
        <v>509</v>
      </c>
      <c r="D51" s="276"/>
      <c r="E51" s="276"/>
      <c r="F51" s="308"/>
      <c r="G51" s="278" t="s">
        <v>2413</v>
      </c>
    </row>
    <row r="52" spans="1:7" s="252" customFormat="1" ht="16.5" thickBot="1">
      <c r="A52" s="309" t="s">
        <v>2414</v>
      </c>
      <c r="B52" s="310"/>
      <c r="C52" s="311">
        <f ca="1">C31+C51</f>
        <v>2196</v>
      </c>
      <c r="D52" s="310"/>
      <c r="E52" s="310"/>
      <c r="F52" s="310"/>
      <c r="G52" s="312"/>
    </row>
    <row r="55" spans="1:7" ht="15">
      <c r="B55" s="314" t="s">
        <v>2415</v>
      </c>
      <c r="C55" s="315"/>
    </row>
    <row r="56" spans="1:7">
      <c r="B56" s="317" t="s">
        <v>1513</v>
      </c>
      <c r="C56" s="319">
        <f ca="1">1-C57</f>
        <v>0.76800000000000002</v>
      </c>
    </row>
    <row r="57" spans="1:7">
      <c r="B57" s="317" t="s">
        <v>1514</v>
      </c>
      <c r="C57" s="318">
        <f ca="1">ROUND(C51/C52,3)</f>
        <v>0.23200000000000001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39"/>
      <c r="C1" s="2549" t="s">
        <v>2416</v>
      </c>
      <c r="D1" s="242"/>
      <c r="E1" s="242"/>
      <c r="F1" s="242"/>
      <c r="G1" s="1381">
        <f>MATCH(B1,'数据-取费表'!A6:A16,0)+5</f>
        <v>7</v>
      </c>
      <c r="H1" s="1284" t="str">
        <f>IF(ISERROR(FIND("住宅",B1)),"非住宅","住宅")</f>
        <v>非住宅</v>
      </c>
    </row>
    <row r="2" spans="1:8" s="244" customFormat="1" ht="18" customHeight="1">
      <c r="A2" s="245" t="s">
        <v>2315</v>
      </c>
      <c r="B2" s="246">
        <f ca="1">ROUND(IF(D2="——",C52/10000,C52/10000-E2),0)</f>
        <v>572</v>
      </c>
      <c r="C2" s="243" t="s">
        <v>2316</v>
      </c>
      <c r="D2" s="2543" t="s">
        <v>70</v>
      </c>
      <c r="E2" s="1442" t="e">
        <f ca="1">SUMIF(INDIRECT("'"&amp;G2&amp;"'"&amp;"!A:A"),"承租人权益价值",INDIRECT("'"&amp;G2&amp;"'"&amp;"!c:c"))</f>
        <v>#REF!</v>
      </c>
      <c r="F2" s="2544" t="s">
        <v>2316</v>
      </c>
      <c r="G2" s="2545"/>
    </row>
    <row r="3" spans="1:8" s="244" customFormat="1" ht="18" customHeight="1" thickBot="1">
      <c r="A3" s="247" t="s">
        <v>2317</v>
      </c>
      <c r="B3" s="248">
        <f ca="1">ROUND(B2*10000/(IF(B1="",'数据-汇总表'!E3,INDIRECT("'数据-取费表'!k"&amp;$G$1))),0)</f>
        <v>4589</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249280</v>
      </c>
      <c r="D5" s="255" t="s">
        <v>2322</v>
      </c>
      <c r="E5" s="256" t="s">
        <v>2323</v>
      </c>
      <c r="F5" s="256" t="s">
        <v>2324</v>
      </c>
      <c r="G5" s="257"/>
    </row>
    <row r="6" spans="1:8" s="258" customFormat="1" ht="13.5" customHeight="1">
      <c r="A6" s="952" t="s">
        <v>2325</v>
      </c>
      <c r="B6" s="259" t="s">
        <v>2326</v>
      </c>
      <c r="C6" s="260"/>
      <c r="D6" s="261"/>
      <c r="E6" s="262"/>
      <c r="F6" s="262"/>
      <c r="G6" s="263"/>
    </row>
    <row r="7" spans="1:8" s="258" customFormat="1" ht="13.5" customHeight="1">
      <c r="A7" s="952" t="s">
        <v>2327</v>
      </c>
      <c r="B7" s="259" t="s">
        <v>2328</v>
      </c>
      <c r="C7" s="264">
        <f>ROUND(C6*F7,0)</f>
        <v>0</v>
      </c>
      <c r="D7" s="264"/>
      <c r="E7" s="262"/>
      <c r="F7" s="265">
        <f>'数据-取费表'!B48+'数据-取费表'!B49</f>
        <v>3.0499999999999999E-2</v>
      </c>
      <c r="G7" s="263"/>
    </row>
    <row r="8" spans="1:8" s="267" customFormat="1">
      <c r="A8" s="952" t="s">
        <v>2329</v>
      </c>
      <c r="B8" s="259" t="s">
        <v>2330</v>
      </c>
      <c r="C8" s="264">
        <f ca="1">IF(G8="已包含在土地购买价格中",0,C9+C10)</f>
        <v>249280</v>
      </c>
      <c r="D8" s="266"/>
      <c r="E8" s="264"/>
      <c r="F8" s="265"/>
      <c r="G8" s="2546"/>
    </row>
    <row r="9" spans="1:8" s="258" customFormat="1" ht="13.5" customHeight="1">
      <c r="A9" s="953" t="s">
        <v>800</v>
      </c>
      <c r="B9" s="268" t="s">
        <v>2331</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2333</v>
      </c>
      <c r="C10" s="269">
        <f ca="1">ROUND(D10*E10,0)</f>
        <v>249280</v>
      </c>
      <c r="D10" s="1035">
        <f ca="1">IF(B1="",'数据-汇总表'!E6,IF(INDIRECT("'数据-取费表'!c"&amp;$G$1)="住宅",INDIRECT("'数据-取费表'!s"&amp;$G$1),INDIRECT("'数据-取费表'!k"&amp;$G$1)+INDIRECT("'数据-取费表'!s"&amp;$G$1)))</f>
        <v>1246.4000000000001</v>
      </c>
      <c r="E10" s="269">
        <f>'数据-取费表'!B28</f>
        <v>200</v>
      </c>
      <c r="F10" s="265"/>
      <c r="G10" s="270"/>
    </row>
    <row r="11" spans="1:8" s="258" customFormat="1" ht="13.5" hidden="1" customHeight="1">
      <c r="A11" s="271" t="s">
        <v>7</v>
      </c>
      <c r="B11" s="259" t="s">
        <v>2334</v>
      </c>
      <c r="C11" s="255"/>
      <c r="D11" s="1037"/>
      <c r="E11" s="262"/>
      <c r="F11" s="262"/>
      <c r="G11" s="263"/>
    </row>
    <row r="12" spans="1:8" s="258" customFormat="1" ht="13.5" hidden="1" customHeight="1">
      <c r="A12" s="271" t="s">
        <v>8</v>
      </c>
      <c r="B12" s="259" t="s">
        <v>2417</v>
      </c>
      <c r="C12" s="255">
        <v>0</v>
      </c>
      <c r="D12" s="1037"/>
      <c r="E12" s="272"/>
      <c r="F12" s="265">
        <v>3.0499999999999999E-2</v>
      </c>
      <c r="G12" s="263"/>
    </row>
    <row r="13" spans="1:8" s="258" customFormat="1" ht="13.5" hidden="1" customHeight="1">
      <c r="A13" s="271" t="s">
        <v>9</v>
      </c>
      <c r="B13" s="259" t="s">
        <v>2418</v>
      </c>
      <c r="C13" s="255"/>
      <c r="D13" s="1037"/>
      <c r="E13" s="262"/>
      <c r="F13" s="262"/>
      <c r="G13" s="263"/>
    </row>
    <row r="14" spans="1:8" s="258" customFormat="1" ht="13.5" hidden="1" customHeight="1">
      <c r="A14" s="271" t="s">
        <v>10</v>
      </c>
      <c r="B14" s="259" t="s">
        <v>2330</v>
      </c>
      <c r="C14" s="255"/>
      <c r="D14" s="1037"/>
      <c r="E14" s="262"/>
      <c r="F14" s="262"/>
      <c r="G14" s="263" t="s">
        <v>2419</v>
      </c>
    </row>
    <row r="15" spans="1:8" s="258" customFormat="1" ht="13.5" hidden="1" customHeight="1">
      <c r="A15" s="271" t="s">
        <v>11</v>
      </c>
      <c r="B15" s="259" t="s">
        <v>2420</v>
      </c>
      <c r="C15" s="264"/>
      <c r="D15" s="1037"/>
      <c r="E15" s="262"/>
      <c r="F15" s="262"/>
      <c r="G15" s="263" t="s">
        <v>2421</v>
      </c>
    </row>
    <row r="16" spans="1:8" s="258" customFormat="1" ht="13.5" hidden="1" customHeight="1">
      <c r="A16" s="271" t="s">
        <v>12</v>
      </c>
      <c r="B16" s="259" t="s">
        <v>2330</v>
      </c>
      <c r="C16" s="264"/>
      <c r="D16" s="1037"/>
      <c r="E16" s="262"/>
      <c r="F16" s="262"/>
      <c r="G16" s="263"/>
    </row>
    <row r="17" spans="1:7" s="258" customFormat="1" ht="13.5" hidden="1" customHeight="1">
      <c r="A17" s="271" t="s">
        <v>13</v>
      </c>
      <c r="B17" s="259" t="s">
        <v>2422</v>
      </c>
      <c r="C17" s="273"/>
      <c r="D17" s="1038"/>
      <c r="E17" s="273"/>
      <c r="F17" s="273"/>
      <c r="G17" s="263" t="s">
        <v>2421</v>
      </c>
    </row>
    <row r="18" spans="1:7" s="258" customFormat="1" ht="13.5" hidden="1" customHeight="1">
      <c r="A18" s="271" t="s">
        <v>14</v>
      </c>
      <c r="B18" s="259" t="s">
        <v>2423</v>
      </c>
      <c r="C18" s="264">
        <v>0</v>
      </c>
      <c r="D18" s="1037"/>
      <c r="E18" s="262"/>
      <c r="F18" s="265">
        <v>3.0499999999999999E-2</v>
      </c>
      <c r="G18" s="263" t="s">
        <v>2424</v>
      </c>
    </row>
    <row r="19" spans="1:7" s="267" customFormat="1" ht="13.5" customHeight="1">
      <c r="A19" s="299" t="s">
        <v>2425</v>
      </c>
      <c r="B19" s="254" t="s">
        <v>2426</v>
      </c>
      <c r="C19" s="255">
        <f ca="1">IF(G19="已包含在土地取得成本中","0",ROUND(D19*E19,0))</f>
        <v>249280</v>
      </c>
      <c r="D19" s="1039">
        <f ca="1">D9+D10</f>
        <v>1246.4000000000001</v>
      </c>
      <c r="E19" s="255">
        <f>'数据-取费表'!B31</f>
        <v>200</v>
      </c>
      <c r="F19" s="275"/>
      <c r="G19" s="2546"/>
    </row>
    <row r="20" spans="1:7" s="258" customFormat="1" ht="13.5" customHeight="1">
      <c r="A20" s="299" t="s">
        <v>2427</v>
      </c>
      <c r="B20" s="254" t="s">
        <v>2428</v>
      </c>
      <c r="C20" s="276">
        <f ca="1">ROUND((C5+C19)*F20,0)</f>
        <v>14957</v>
      </c>
      <c r="D20" s="276"/>
      <c r="E20" s="276"/>
      <c r="F20" s="277">
        <f>'数据-取费表'!B37</f>
        <v>0.03</v>
      </c>
      <c r="G20" s="278" t="s">
        <v>2429</v>
      </c>
    </row>
    <row r="21" spans="1:7" s="258" customFormat="1" ht="13.5" customHeight="1">
      <c r="A21" s="299" t="s">
        <v>2430</v>
      </c>
      <c r="B21" s="254" t="s">
        <v>2431</v>
      </c>
      <c r="C21" s="279">
        <f>F21</f>
        <v>0.03</v>
      </c>
      <c r="D21" s="280" t="s">
        <v>2432</v>
      </c>
      <c r="E21" s="276"/>
      <c r="F21" s="277">
        <f>'数据-取费表'!B38</f>
        <v>0.03</v>
      </c>
      <c r="G21" s="278" t="s">
        <v>2433</v>
      </c>
    </row>
    <row r="22" spans="1:7" s="258" customFormat="1" ht="13.5" customHeight="1">
      <c r="A22" s="299" t="s">
        <v>2434</v>
      </c>
      <c r="B22" s="254" t="s">
        <v>2435</v>
      </c>
      <c r="C22" s="1382">
        <f ca="1">ROUND(SUM(C23:C25),0)</f>
        <v>22013</v>
      </c>
      <c r="D22" s="279">
        <f ca="1">C26</f>
        <v>6.9999999999999999E-4</v>
      </c>
      <c r="E22" s="280" t="s">
        <v>2432</v>
      </c>
      <c r="F22" s="281">
        <f ca="1">'数据-取费表'!B40</f>
        <v>4.3499999999999997E-2</v>
      </c>
      <c r="G22" s="278" t="str">
        <f>IF('数据-取费表'!B22&lt;=1,"单利计息","复利计息")</f>
        <v>单利计息</v>
      </c>
    </row>
    <row r="23" spans="1:7" s="258" customFormat="1" ht="13.5" customHeight="1">
      <c r="A23" s="954" t="s">
        <v>2325</v>
      </c>
      <c r="B23" s="259" t="s">
        <v>2436</v>
      </c>
      <c r="C23" s="1383">
        <f ca="1">ROUND(IF('数据-取费表'!B22&lt;=1,C5*F22*'数据-取费表'!B22,C5*(POWER((1+F22),'数据-取费表'!B22)-1)),0)</f>
        <v>10844</v>
      </c>
      <c r="D23" s="282"/>
      <c r="E23" s="282"/>
      <c r="F23" s="283"/>
      <c r="G23" s="284" t="s">
        <v>2437</v>
      </c>
    </row>
    <row r="24" spans="1:7" s="258" customFormat="1" ht="13.5" customHeight="1">
      <c r="A24" s="954" t="s">
        <v>2327</v>
      </c>
      <c r="B24" s="259" t="s">
        <v>2438</v>
      </c>
      <c r="C24" s="1383">
        <f ca="1">ROUND(IF('数据-取费表'!B22&lt;=1,C19*F22*('数据-取费表'!B19/2+'数据-取费表'!B20),C19*(POWER((1+F22),('数据-取费表'!B19/2+'数据-取费表'!B20))-1)),0)</f>
        <v>10844</v>
      </c>
      <c r="D24" s="282"/>
      <c r="E24" s="282"/>
      <c r="F24" s="283"/>
      <c r="G24" s="284" t="s">
        <v>2439</v>
      </c>
    </row>
    <row r="25" spans="1:7" s="258" customFormat="1" ht="24">
      <c r="A25" s="954" t="s">
        <v>2329</v>
      </c>
      <c r="B25" s="259" t="s">
        <v>2440</v>
      </c>
      <c r="C25" s="1383">
        <f ca="1">ROUND(IF('数据-取费表'!B22&lt;=1,C20*F22*'数据-取费表'!B22/2,C20*(POWER((1+F22),'数据-取费表'!B22/2)-1)),0)</f>
        <v>325</v>
      </c>
      <c r="D25" s="282"/>
      <c r="E25" s="285"/>
      <c r="F25" s="283"/>
      <c r="G25" s="286" t="s">
        <v>2441</v>
      </c>
    </row>
    <row r="26" spans="1:7" s="258" customFormat="1">
      <c r="A26" s="954" t="s">
        <v>795</v>
      </c>
      <c r="B26" s="259" t="s">
        <v>2364</v>
      </c>
      <c r="C26" s="282">
        <f ca="1">ROUND(IF('数据-取费表'!B22&lt;=1,F21*F22*'数据-取费表'!B22/2,F21*(POWER((1+F22),'数据-取费表'!B22/2)-1)),4)</f>
        <v>6.9999999999999999E-4</v>
      </c>
      <c r="D26" s="282"/>
      <c r="E26" s="285"/>
      <c r="F26" s="283"/>
      <c r="G26" s="287"/>
    </row>
    <row r="27" spans="1:7" s="258" customFormat="1" ht="24.75">
      <c r="A27" s="299" t="s">
        <v>2365</v>
      </c>
      <c r="B27" s="288" t="s">
        <v>2366</v>
      </c>
      <c r="C27" s="289">
        <f ca="1">C28</f>
        <v>51352</v>
      </c>
      <c r="D27" s="279">
        <f ca="1">C29</f>
        <v>3.0000000000000001E-3</v>
      </c>
      <c r="E27" s="280" t="s">
        <v>2367</v>
      </c>
      <c r="F27" s="290">
        <f ca="1">IF(B1="",'数据-取费表'!Q16,INDIRECT("'数据-取费表'!q"&amp;$G$1))</f>
        <v>0.1</v>
      </c>
      <c r="G27" s="291" t="s">
        <v>2368</v>
      </c>
    </row>
    <row r="28" spans="1:7" s="258" customFormat="1" ht="13.5" customHeight="1">
      <c r="A28" s="954" t="s">
        <v>791</v>
      </c>
      <c r="B28" s="292" t="s">
        <v>2369</v>
      </c>
      <c r="C28" s="293">
        <f ca="1">ROUND((C5+C19+C20)*F27,0)</f>
        <v>51352</v>
      </c>
      <c r="D28" s="279"/>
      <c r="E28" s="280"/>
      <c r="F28" s="290"/>
      <c r="G28" s="291"/>
    </row>
    <row r="29" spans="1:7" s="258" customFormat="1" ht="13.5" customHeight="1">
      <c r="A29" s="954" t="s">
        <v>792</v>
      </c>
      <c r="B29" s="292" t="s">
        <v>2370</v>
      </c>
      <c r="C29" s="282">
        <f ca="1">ROUND(C21*F27,4)</f>
        <v>3.0000000000000001E-3</v>
      </c>
      <c r="D29" s="279"/>
      <c r="E29" s="280"/>
      <c r="F29" s="290"/>
      <c r="G29" s="291"/>
    </row>
    <row r="30" spans="1:7" s="258" customFormat="1" ht="13.5" customHeight="1">
      <c r="A30" s="299" t="s">
        <v>2371</v>
      </c>
      <c r="B30" s="254" t="s">
        <v>2372</v>
      </c>
      <c r="C30" s="279">
        <f>ROUND(F30/(1+'数据-取费表'!C42),4)</f>
        <v>5.2400000000000002E-2</v>
      </c>
      <c r="D30" s="280" t="s">
        <v>2367</v>
      </c>
      <c r="E30" s="285"/>
      <c r="F30" s="281">
        <f>'数据-取费表'!B41</f>
        <v>5.5000000000000007E-2</v>
      </c>
      <c r="G30" s="278" t="s">
        <v>2373</v>
      </c>
    </row>
    <row r="31" spans="1:7" ht="16.5" customHeight="1">
      <c r="A31" s="253">
        <v>1</v>
      </c>
      <c r="B31" s="254" t="s">
        <v>2374</v>
      </c>
      <c r="C31" s="255">
        <f ca="1">ROUND((C5+C19+C20+C22+C27)/(1-C21-D22-D27-C30),0)</f>
        <v>642173</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4231528</v>
      </c>
      <c r="D33" s="276"/>
      <c r="E33" s="256"/>
      <c r="F33" s="285"/>
      <c r="G33" s="278"/>
    </row>
    <row r="34" spans="1:7" s="302" customFormat="1" ht="13.5" customHeight="1">
      <c r="A34" s="954" t="s">
        <v>791</v>
      </c>
      <c r="B34" s="259" t="s">
        <v>2378</v>
      </c>
      <c r="C34" s="264">
        <f ca="1">ROUND(IF(B1="",SUMPRODUCT('数据-取费表'!K6:K14,'数据-取费表'!L6:L14),INDIRECT("'数据-取费表'!l"&amp;$G$1)*INDIRECT("'数据-取费表'!k"&amp;$G$1)+'数据-取费表'!L14*INDIRECT("'数据-取费表'!S"&amp;$G$1)),0)</f>
        <v>3739200</v>
      </c>
      <c r="D34" s="261"/>
      <c r="E34" s="264"/>
      <c r="F34" s="301"/>
      <c r="G34" s="263"/>
    </row>
    <row r="35" spans="1:7" ht="13.5" customHeight="1">
      <c r="A35" s="954" t="s">
        <v>796</v>
      </c>
      <c r="B35" s="259" t="s">
        <v>2380</v>
      </c>
      <c r="C35" s="264">
        <f ca="1">ROUND(C34*F35,0)</f>
        <v>186960</v>
      </c>
      <c r="D35" s="264"/>
      <c r="E35" s="264"/>
      <c r="F35" s="303">
        <f>'数据-取费表'!B33</f>
        <v>0.05</v>
      </c>
      <c r="G35" s="263" t="s">
        <v>2381</v>
      </c>
    </row>
    <row r="36" spans="1:7" ht="24">
      <c r="A36" s="954" t="s">
        <v>797</v>
      </c>
      <c r="B36" s="259" t="s">
        <v>2382</v>
      </c>
      <c r="C36" s="264">
        <f ca="1">ROUND(IF(B1="",SUM('数据-取费表'!AP6:AP13)*F36,IF(INDIRECT("'数据-取费表'!c"&amp;$G$1)="住宅",INDIRECT("'数据-取费表'!k"&amp;$G$1)*INDIRECT("'数据-取费表'!l"&amp;$G$1)*F36,0)),0)</f>
        <v>0</v>
      </c>
      <c r="D36" s="264"/>
      <c r="E36" s="264"/>
      <c r="F36" s="303">
        <f>'数据-取费表'!B34</f>
        <v>0</v>
      </c>
      <c r="G36" s="304" t="s">
        <v>2383</v>
      </c>
    </row>
    <row r="37" spans="1:7" s="302" customFormat="1" ht="13.5" customHeight="1">
      <c r="A37" s="954" t="s">
        <v>798</v>
      </c>
      <c r="B37" s="259" t="s">
        <v>2384</v>
      </c>
      <c r="C37" s="293">
        <f ca="1">ROUND(E37*D37,0)</f>
        <v>249280</v>
      </c>
      <c r="D37" s="261">
        <f ca="1">D19</f>
        <v>1246.4000000000001</v>
      </c>
      <c r="E37" s="293">
        <f>'数据-取费表'!B35</f>
        <v>200</v>
      </c>
      <c r="F37" s="303"/>
      <c r="G37" s="305"/>
    </row>
    <row r="38" spans="1:7" ht="13.5" customHeight="1">
      <c r="A38" s="954" t="s">
        <v>799</v>
      </c>
      <c r="B38" s="259" t="s">
        <v>2386</v>
      </c>
      <c r="C38" s="264">
        <f ca="1">ROUND(C34*F38,0)</f>
        <v>56088</v>
      </c>
      <c r="D38" s="264"/>
      <c r="E38" s="264"/>
      <c r="F38" s="303">
        <f>'数据-取费表'!B36</f>
        <v>1.4999999999999999E-2</v>
      </c>
      <c r="G38" s="263" t="s">
        <v>2381</v>
      </c>
    </row>
    <row r="39" spans="1:7" s="258" customFormat="1" ht="13.5" customHeight="1">
      <c r="A39" s="299" t="s">
        <v>2387</v>
      </c>
      <c r="B39" s="254" t="s">
        <v>2388</v>
      </c>
      <c r="C39" s="276">
        <f ca="1">ROUND(C33*F20,0)</f>
        <v>126946</v>
      </c>
      <c r="D39" s="276"/>
      <c r="E39" s="276"/>
      <c r="F39" s="277"/>
      <c r="G39" s="278" t="s">
        <v>2389</v>
      </c>
    </row>
    <row r="40" spans="1:7" s="258" customFormat="1" ht="13.5" customHeight="1">
      <c r="A40" s="299" t="s">
        <v>2390</v>
      </c>
      <c r="B40" s="254" t="s">
        <v>2391</v>
      </c>
      <c r="C40" s="1730">
        <f>F21</f>
        <v>0.03</v>
      </c>
      <c r="D40" s="280" t="s">
        <v>2392</v>
      </c>
      <c r="E40" s="276"/>
      <c r="F40" s="277"/>
      <c r="G40" s="278" t="s">
        <v>2393</v>
      </c>
    </row>
    <row r="41" spans="1:7" s="258" customFormat="1" ht="13.5" customHeight="1">
      <c r="A41" s="299" t="s">
        <v>2394</v>
      </c>
      <c r="B41" s="254" t="s">
        <v>2395</v>
      </c>
      <c r="C41" s="276">
        <f ca="1">ROUND(SUM(C42:C43),0)</f>
        <v>94797</v>
      </c>
      <c r="D41" s="279">
        <f ca="1">C44</f>
        <v>6.9999999999999999E-4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ROUND(IF('数据-取费表'!B22&lt;=1,C33*F22*'数据-取费表'!B20/2,C33*(POWER((1+F22),'数据-取费表'!B20/2)-1)),0)</f>
        <v>92036</v>
      </c>
      <c r="D42" s="282"/>
      <c r="E42" s="282"/>
      <c r="F42" s="283"/>
      <c r="G42" s="3164" t="s">
        <v>2444</v>
      </c>
    </row>
    <row r="43" spans="1:7" ht="13.5" customHeight="1">
      <c r="A43" s="954" t="s">
        <v>792</v>
      </c>
      <c r="B43" s="259" t="s">
        <v>2398</v>
      </c>
      <c r="C43" s="282">
        <f ca="1">ROUND(IF('数据-取费表'!B22&lt;=1,C39*F22*'数据-取费表'!B20/2,C39*(POWER((1+F22),'数据-取费表'!B20/2)-1)),0)</f>
        <v>2761</v>
      </c>
      <c r="D43" s="282"/>
      <c r="E43" s="282"/>
      <c r="F43" s="283"/>
      <c r="G43" s="3165"/>
    </row>
    <row r="44" spans="1:7" ht="13.5" customHeight="1">
      <c r="A44" s="954" t="s">
        <v>793</v>
      </c>
      <c r="B44" s="259" t="s">
        <v>2399</v>
      </c>
      <c r="C44" s="282">
        <f ca="1">ROUND(IF('数据-取费表'!B22&lt;=1,C40*F22*'数据-取费表'!B20/2,C40*(POWER((1+F22),'数据-取费表'!B20/2)-1)),4)</f>
        <v>6.9999999999999999E-4</v>
      </c>
      <c r="D44" s="282"/>
      <c r="E44" s="282"/>
      <c r="F44" s="283"/>
      <c r="G44" s="3166"/>
    </row>
    <row r="45" spans="1:7" s="258" customFormat="1" ht="13.5" customHeight="1">
      <c r="A45" s="299" t="s">
        <v>2400</v>
      </c>
      <c r="B45" s="288" t="s">
        <v>2366</v>
      </c>
      <c r="C45" s="289">
        <f ca="1">C46</f>
        <v>435847</v>
      </c>
      <c r="D45" s="279">
        <f ca="1">C47</f>
        <v>3.0000000000000001E-3</v>
      </c>
      <c r="E45" s="280" t="s">
        <v>2392</v>
      </c>
      <c r="F45" s="290"/>
      <c r="G45" s="291" t="s">
        <v>2401</v>
      </c>
    </row>
    <row r="46" spans="1:7" s="258" customFormat="1" ht="13.5" customHeight="1">
      <c r="A46" s="954" t="s">
        <v>791</v>
      </c>
      <c r="B46" s="292" t="s">
        <v>2402</v>
      </c>
      <c r="C46" s="293">
        <f ca="1">ROUND((C33+C39)*F27,0)</f>
        <v>435847</v>
      </c>
      <c r="D46" s="307"/>
      <c r="E46" s="280"/>
      <c r="F46" s="290"/>
      <c r="G46" s="291"/>
    </row>
    <row r="47" spans="1:7" s="258" customFormat="1" ht="13.5" customHeight="1">
      <c r="A47" s="954" t="s">
        <v>792</v>
      </c>
      <c r="B47" s="292" t="s">
        <v>2403</v>
      </c>
      <c r="C47" s="282">
        <f ca="1">ROUND(C40*F27,4)</f>
        <v>3.0000000000000001E-3</v>
      </c>
      <c r="D47" s="307"/>
      <c r="E47" s="280"/>
      <c r="F47" s="290"/>
      <c r="G47" s="291"/>
    </row>
    <row r="48" spans="1:7" s="258" customFormat="1" ht="13.5" customHeight="1">
      <c r="A48" s="299" t="s">
        <v>2365</v>
      </c>
      <c r="B48" s="254" t="s">
        <v>2404</v>
      </c>
      <c r="C48" s="306">
        <f>ROUND(F30/(1+'数据-取费表'!C42),4)</f>
        <v>5.2400000000000002E-2</v>
      </c>
      <c r="D48" s="280" t="s">
        <v>2392</v>
      </c>
      <c r="E48" s="276"/>
      <c r="F48" s="281"/>
      <c r="G48" s="278" t="s">
        <v>2405</v>
      </c>
    </row>
    <row r="49" spans="1:7" ht="16.5" customHeight="1">
      <c r="A49" s="299" t="s">
        <v>2371</v>
      </c>
      <c r="B49" s="254" t="s">
        <v>2445</v>
      </c>
      <c r="C49" s="276">
        <f ca="1">ROUND((C33+C39+C41+C45)/(1-C40-D41-D45-C48),0)</f>
        <v>5349730</v>
      </c>
      <c r="D49" s="276"/>
      <c r="E49" s="276"/>
      <c r="F49" s="308"/>
      <c r="G49" s="278" t="s">
        <v>2407</v>
      </c>
    </row>
    <row r="50" spans="1:7" s="302" customFormat="1">
      <c r="A50" s="299" t="s">
        <v>2408</v>
      </c>
      <c r="B50" s="254" t="s">
        <v>2409</v>
      </c>
      <c r="C50" s="276"/>
      <c r="D50" s="276"/>
      <c r="E50" s="276"/>
      <c r="F50" s="308">
        <f>IF('数据-取费表'!B24=0,'数据-取费表'!N16,1)</f>
        <v>0.95</v>
      </c>
      <c r="G50" s="291"/>
    </row>
    <row r="51" spans="1:7" ht="16.5" customHeight="1">
      <c r="A51" s="299" t="s">
        <v>2411</v>
      </c>
      <c r="B51" s="254" t="s">
        <v>2446</v>
      </c>
      <c r="C51" s="276">
        <f ca="1">ROUND(C49*F50,0)</f>
        <v>5082244</v>
      </c>
      <c r="D51" s="276"/>
      <c r="E51" s="276"/>
      <c r="F51" s="308"/>
      <c r="G51" s="278" t="s">
        <v>2413</v>
      </c>
    </row>
    <row r="52" spans="1:7" s="252" customFormat="1" ht="16.5" thickBot="1">
      <c r="A52" s="309" t="s">
        <v>2414</v>
      </c>
      <c r="B52" s="310"/>
      <c r="C52" s="311">
        <f ca="1">C31+C51</f>
        <v>5724417</v>
      </c>
      <c r="D52" s="310"/>
      <c r="E52" s="310"/>
      <c r="F52" s="310"/>
      <c r="G52" s="312"/>
    </row>
    <row r="55" spans="1:7" ht="15">
      <c r="B55" s="314" t="s">
        <v>2415</v>
      </c>
      <c r="C55" s="315"/>
    </row>
    <row r="56" spans="1:7">
      <c r="B56" s="317" t="s">
        <v>1513</v>
      </c>
      <c r="C56" s="319">
        <f ca="1">1-C57</f>
        <v>0.11199999999999999</v>
      </c>
    </row>
    <row r="57" spans="1:7">
      <c r="B57" s="317" t="s">
        <v>1514</v>
      </c>
      <c r="C57" s="318">
        <f ca="1">ROUND(C51/C52,3)</f>
        <v>0.88800000000000001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2447</v>
      </c>
      <c r="B1" s="1583"/>
      <c r="C1" s="1584"/>
      <c r="D1" s="1582"/>
      <c r="E1" s="320"/>
      <c r="F1" s="320"/>
      <c r="G1" s="1583"/>
      <c r="H1" s="320"/>
      <c r="I1" s="320"/>
      <c r="J1" s="320"/>
      <c r="K1" s="320">
        <f>MATCH(C1,'数据-取费表'!A6:A16,0)+5</f>
        <v>7</v>
      </c>
    </row>
    <row r="2" spans="1:33" ht="18" customHeight="1">
      <c r="A2" s="245" t="s">
        <v>2315</v>
      </c>
      <c r="B2" s="248">
        <f ca="1">C32</f>
        <v>0</v>
      </c>
      <c r="C2" s="320" t="s">
        <v>2448</v>
      </c>
      <c r="D2" s="320"/>
      <c r="E2" s="320"/>
      <c r="F2" s="320"/>
      <c r="G2" s="320"/>
      <c r="H2" s="320"/>
      <c r="I2" s="320"/>
      <c r="J2" s="320"/>
      <c r="K2" s="320"/>
    </row>
    <row r="3" spans="1:33" ht="18" customHeight="1" thickBot="1">
      <c r="A3" s="247" t="s">
        <v>2317</v>
      </c>
      <c r="B3" s="248">
        <f ca="1">ROUND(B2*10000/IF(C1="",'数据-汇总表'!E3,INDIRECT("'数据-取费表'!K"&amp;$K$1)),0)</f>
        <v>0</v>
      </c>
      <c r="C3" s="320" t="s">
        <v>2449</v>
      </c>
      <c r="D3" s="320"/>
      <c r="E3" s="320"/>
      <c r="F3" s="320"/>
      <c r="G3" s="320"/>
      <c r="H3" s="320"/>
      <c r="I3" s="320"/>
      <c r="J3" s="320"/>
      <c r="K3" s="320"/>
    </row>
    <row r="4" spans="1:33" s="959" customFormat="1" ht="16.5" customHeight="1">
      <c r="A4" s="956" t="s">
        <v>2450</v>
      </c>
      <c r="B4" s="957"/>
      <c r="C4" s="999">
        <f>SUM(C8:K8)</f>
        <v>0</v>
      </c>
      <c r="D4" s="957"/>
      <c r="E4" s="957"/>
      <c r="F4" s="957"/>
      <c r="G4" s="957"/>
      <c r="H4" s="957"/>
      <c r="I4" s="957"/>
      <c r="J4" s="957"/>
      <c r="K4" s="958"/>
    </row>
    <row r="5" spans="1:33" s="963" customFormat="1" ht="24.75">
      <c r="A5" s="960" t="s">
        <v>2451</v>
      </c>
      <c r="B5" s="961" t="s">
        <v>2452</v>
      </c>
      <c r="C5" s="2550" t="s">
        <v>2453</v>
      </c>
      <c r="D5" s="2550" t="s">
        <v>2454</v>
      </c>
      <c r="E5" s="2550" t="s">
        <v>2455</v>
      </c>
      <c r="F5" s="2550"/>
      <c r="G5" s="2550"/>
      <c r="H5" s="2550"/>
      <c r="I5" s="2550"/>
      <c r="J5" s="2550"/>
      <c r="K5" s="255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2457</v>
      </c>
      <c r="B7" s="140" t="s">
        <v>2458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1" t="s">
        <v>2459</v>
      </c>
      <c r="B8" s="177" t="s">
        <v>2460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2461</v>
      </c>
      <c r="B9" s="957"/>
      <c r="C9" s="957"/>
      <c r="D9" s="957"/>
      <c r="E9" s="957"/>
      <c r="F9" s="957"/>
      <c r="G9" s="957"/>
      <c r="H9" s="957"/>
      <c r="I9" s="957"/>
      <c r="J9" s="957"/>
      <c r="K9" s="958"/>
    </row>
    <row r="10" spans="1:33" s="973" customFormat="1" ht="13.5" customHeight="1">
      <c r="A10" s="960" t="s">
        <v>2462</v>
      </c>
      <c r="B10" s="8" t="s">
        <v>2463</v>
      </c>
      <c r="C10" s="969" t="s">
        <v>2464</v>
      </c>
      <c r="D10" s="970" t="s">
        <v>2465</v>
      </c>
      <c r="E10" s="970" t="s">
        <v>2466</v>
      </c>
      <c r="F10" s="970" t="s">
        <v>2467</v>
      </c>
      <c r="G10" s="8"/>
      <c r="H10" s="971"/>
      <c r="I10" s="971"/>
      <c r="J10" s="971"/>
      <c r="K10" s="972"/>
    </row>
    <row r="11" spans="1:33" s="978" customFormat="1" ht="13.5" customHeight="1">
      <c r="A11" s="974" t="s">
        <v>1334</v>
      </c>
      <c r="B11" s="975" t="s">
        <v>2468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2469</v>
      </c>
      <c r="C12" s="24">
        <f ca="1">ROUND(C11*F12,0)</f>
        <v>0</v>
      </c>
      <c r="D12" s="976"/>
      <c r="E12" s="375"/>
      <c r="F12" s="979">
        <f>'数据-取费表'!B33</f>
        <v>0.05</v>
      </c>
      <c r="G12" s="8" t="s">
        <v>2470</v>
      </c>
      <c r="H12" s="971"/>
      <c r="I12" s="971"/>
      <c r="J12" s="971"/>
      <c r="K12" s="972"/>
    </row>
    <row r="13" spans="1:33" s="978" customFormat="1" ht="13.5" customHeight="1">
      <c r="A13" s="974" t="s">
        <v>1336</v>
      </c>
      <c r="B13" s="975" t="s">
        <v>2471</v>
      </c>
      <c r="C13" s="24">
        <f ca="1">ROUND(IF(C1="",SUMIF('数据-取费表'!C:C,"住宅",'数据-取费表'!P:P)*F13,IF(INDIRECT("'数据-取费表'!c"&amp;$K$1)="住宅",INDIRECT("'数据-取费表'!P"&amp;$K$1)*F13,0)),0)</f>
        <v>0</v>
      </c>
      <c r="D13" s="1036"/>
      <c r="E13" s="375"/>
      <c r="F13" s="979">
        <f>'数据-取费表'!B34</f>
        <v>0</v>
      </c>
      <c r="G13" s="8" t="s">
        <v>2472</v>
      </c>
      <c r="H13" s="971"/>
      <c r="I13" s="971"/>
      <c r="J13" s="971"/>
      <c r="K13" s="972"/>
    </row>
    <row r="14" spans="1:33" s="980" customFormat="1" ht="13.5" customHeight="1">
      <c r="A14" s="974" t="s">
        <v>1337</v>
      </c>
      <c r="B14" s="975" t="s">
        <v>2473</v>
      </c>
      <c r="C14" s="24">
        <f ca="1">ROUND(D14*E14*F11/10000,0)</f>
        <v>0</v>
      </c>
      <c r="D14" s="1036">
        <f ca="1">IF(C1="",'数据-汇总表'!E3,INDIRECT("'数据-取费表'!K"&amp;$K$1)+INDIRECT("'数据-取费表'!S"&amp;$K$1))</f>
        <v>1246.4000000000001</v>
      </c>
      <c r="E14" s="24">
        <f>'数据-取费表'!B35</f>
        <v>200</v>
      </c>
      <c r="F14" s="979"/>
      <c r="G14" s="8" t="s">
        <v>2474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2475</v>
      </c>
      <c r="C15" s="986">
        <f ca="1">ROUND(C11*F15,0)</f>
        <v>0</v>
      </c>
      <c r="D15" s="981"/>
      <c r="E15" s="986"/>
      <c r="F15" s="987">
        <f>'数据-取费表'!B36</f>
        <v>1.4999999999999999E-2</v>
      </c>
      <c r="G15" s="140" t="s">
        <v>2476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2477</v>
      </c>
      <c r="C16" s="986">
        <f ca="1">SUM(C11:C15)</f>
        <v>0</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2478</v>
      </c>
      <c r="C17" s="24">
        <f ca="1">ROUND(D17*E17/10000,0)</f>
        <v>0</v>
      </c>
      <c r="D17" s="1036">
        <f ca="1">D14</f>
        <v>1246.4000000000001</v>
      </c>
      <c r="E17" s="24">
        <f>'数据-取费表'!B32</f>
        <v>0</v>
      </c>
      <c r="F17" s="981"/>
      <c r="G17" s="140" t="s">
        <v>2479</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2480</v>
      </c>
      <c r="C18" s="24">
        <f ca="1">C19+C20-IF(C1="",'数据-取费表'!B29,IF(G18="已全部缴纳",C19+C20,H18))</f>
        <v>0</v>
      </c>
      <c r="D18" s="1036"/>
      <c r="E18" s="24"/>
      <c r="F18" s="979"/>
      <c r="G18" s="2552"/>
      <c r="H18" s="1579"/>
      <c r="I18" s="2553" t="s">
        <v>2481</v>
      </c>
      <c r="J18" s="982"/>
      <c r="K18" s="983"/>
    </row>
    <row r="19" spans="1:33" s="978" customFormat="1" ht="13.5" customHeight="1">
      <c r="A19" s="974" t="s">
        <v>805</v>
      </c>
      <c r="B19" s="975" t="s">
        <v>2482</v>
      </c>
      <c r="C19" s="24">
        <f ca="1">ROUND(D19*E19/10000,0)</f>
        <v>0</v>
      </c>
      <c r="D19" s="1036">
        <f ca="1">IF(C1="",'数据-汇总表'!E5,IF(INDIRECT("'数据-取费表'!c"&amp;$K$1)="住宅",INDIRECT("'数据-取费表'!k"&amp;$K$1),0))</f>
        <v>0</v>
      </c>
      <c r="E19" s="24">
        <f>'数据-取费表'!B27</f>
        <v>160</v>
      </c>
      <c r="F19" s="979"/>
      <c r="G19" s="15"/>
      <c r="H19" s="1581"/>
      <c r="I19" s="984"/>
      <c r="J19" s="984"/>
      <c r="K19" s="985"/>
    </row>
    <row r="20" spans="1:33" s="978" customFormat="1" ht="13.5" customHeight="1">
      <c r="A20" s="974" t="s">
        <v>806</v>
      </c>
      <c r="B20" s="975" t="s">
        <v>2483</v>
      </c>
      <c r="C20" s="24">
        <f ca="1">ROUND(D20*E20/10000,0)</f>
        <v>25</v>
      </c>
      <c r="D20" s="1036">
        <f ca="1">IF(C1="",'数据-汇总表'!E6,IF(INDIRECT("'数据-取费表'!c"&amp;$K$1)="住宅",INDIRECT("'数据-取费表'!s"&amp;$K$1),INDIRECT("'数据-取费表'!k"&amp;$K$1)+INDIRECT("'数据-取费表'!s"&amp;$K$1)))</f>
        <v>1246.4000000000001</v>
      </c>
      <c r="E20" s="24">
        <f>'数据-取费表'!B28</f>
        <v>200</v>
      </c>
      <c r="F20" s="979"/>
      <c r="G20" s="15"/>
      <c r="H20" s="984"/>
      <c r="I20" s="984"/>
      <c r="J20" s="984"/>
      <c r="K20" s="985"/>
    </row>
    <row r="21" spans="1:33" s="978" customFormat="1" ht="13.5" customHeight="1">
      <c r="A21" s="964" t="s">
        <v>802</v>
      </c>
      <c r="B21" s="988" t="s">
        <v>2484</v>
      </c>
      <c r="C21" s="989">
        <f ca="1">C16+C17+C18</f>
        <v>0</v>
      </c>
      <c r="D21" s="990"/>
      <c r="E21" s="325"/>
      <c r="F21" s="325"/>
      <c r="G21" s="140" t="s">
        <v>2485</v>
      </c>
      <c r="H21" s="982"/>
      <c r="I21" s="982"/>
      <c r="J21" s="982"/>
      <c r="K21" s="983"/>
    </row>
    <row r="22" spans="1:33" s="978" customFormat="1" ht="13.5" customHeight="1">
      <c r="A22" s="964" t="s">
        <v>2457</v>
      </c>
      <c r="B22" s="988" t="s">
        <v>2486</v>
      </c>
      <c r="C22" s="989">
        <f ca="1">ROUND(C21*F22,0)</f>
        <v>0</v>
      </c>
      <c r="D22" s="325"/>
      <c r="E22" s="325"/>
      <c r="F22" s="991">
        <f>'数据-取费表'!B37</f>
        <v>0.03</v>
      </c>
      <c r="G22" s="8" t="s">
        <v>2487</v>
      </c>
      <c r="H22" s="971"/>
      <c r="I22" s="971"/>
      <c r="J22" s="971"/>
      <c r="K22" s="972"/>
    </row>
    <row r="23" spans="1:33" s="978" customFormat="1" ht="13.5" customHeight="1">
      <c r="A23" s="964" t="s">
        <v>2459</v>
      </c>
      <c r="B23" s="988" t="s">
        <v>2488</v>
      </c>
      <c r="C23" s="989">
        <f ca="1">ROUND(C4*F23*F11,0)</f>
        <v>0</v>
      </c>
      <c r="D23" s="325"/>
      <c r="E23" s="325"/>
      <c r="F23" s="991">
        <f>'数据-取费表'!B38</f>
        <v>0.03</v>
      </c>
      <c r="G23" s="8" t="s">
        <v>2489</v>
      </c>
      <c r="H23" s="971"/>
      <c r="I23" s="971"/>
      <c r="J23" s="971"/>
      <c r="K23" s="972"/>
    </row>
    <row r="24" spans="1:33" s="978" customFormat="1" ht="13.5" customHeight="1">
      <c r="A24" s="964" t="s">
        <v>2490</v>
      </c>
      <c r="B24" s="988" t="s">
        <v>2491</v>
      </c>
      <c r="C24" s="324">
        <f>ROUND(F24/(1+'数据-取费表'!C42),4)</f>
        <v>2.9000000000000001E-2</v>
      </c>
      <c r="D24" s="325" t="s">
        <v>15</v>
      </c>
      <c r="E24" s="325"/>
      <c r="F24" s="991">
        <f>'数据-取费表'!B48+'数据-取费表'!B49</f>
        <v>3.0499999999999999E-2</v>
      </c>
      <c r="G24" s="8" t="s">
        <v>2492</v>
      </c>
      <c r="H24" s="993"/>
      <c r="I24" s="993"/>
      <c r="J24" s="993"/>
      <c r="K24" s="994"/>
    </row>
    <row r="25" spans="1:33" s="978" customFormat="1" ht="13.5" customHeight="1">
      <c r="A25" s="964" t="s">
        <v>2493</v>
      </c>
      <c r="B25" s="990" t="s">
        <v>2494</v>
      </c>
      <c r="C25" s="1358">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2495</v>
      </c>
      <c r="C26" s="1359">
        <f ca="1">ROUND(IF('数据-取费表'!B22&lt;=1,(1+C24)*F25*'数据-取费表'!B24,(1+C24)*(POWER((1+F25),'数据-取费表'!B24)-1)),4)</f>
        <v>0</v>
      </c>
      <c r="D26" s="328"/>
      <c r="E26" s="329"/>
      <c r="F26" s="330"/>
      <c r="G26" s="2554"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2496</v>
      </c>
      <c r="C27" s="1360">
        <f ca="1">ROUND(IF('数据-取费表'!B22&lt;=1,(C21+C22+C23)*F25*'数据-取费表'!B24/2,(C21+C22+C23)*(POWER((1+F25),'数据-取费表'!B24/2)-1)),0)</f>
        <v>0</v>
      </c>
      <c r="D27" s="328"/>
      <c r="E27" s="329"/>
      <c r="F27" s="330"/>
      <c r="G27" s="2554" t="str">
        <f>IF('数据-取费表'!B22&lt;=1,"（1）-（3）项×年利率×建设期÷2","（1）-（3）项×((1+年利率)^(建设期÷2)-1)")</f>
        <v>（1）-（3）项×年利率×建设期÷2</v>
      </c>
      <c r="H27" s="982"/>
      <c r="I27" s="982"/>
      <c r="J27" s="982"/>
      <c r="K27" s="983"/>
    </row>
    <row r="28" spans="1:33" s="333" customFormat="1" ht="13.5" customHeight="1">
      <c r="A28" s="964" t="s">
        <v>2497</v>
      </c>
      <c r="B28" s="2555" t="s">
        <v>2498</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2499</v>
      </c>
      <c r="C29" s="328">
        <f ca="1">ROUND((1+C24)*F28*'数据-取费表'!B24/'数据-取费表'!B20,4)</f>
        <v>0</v>
      </c>
      <c r="D29" s="328"/>
      <c r="E29" s="329"/>
      <c r="F29" s="334"/>
      <c r="G29" s="140" t="s">
        <v>2500</v>
      </c>
      <c r="H29" s="982"/>
      <c r="I29" s="982"/>
      <c r="J29" s="982"/>
      <c r="K29" s="983"/>
    </row>
    <row r="30" spans="1:33" s="335" customFormat="1" ht="13.5" customHeight="1">
      <c r="A30" s="974" t="s">
        <v>804</v>
      </c>
      <c r="B30" s="997" t="s">
        <v>2501</v>
      </c>
      <c r="C30" s="336">
        <f ca="1">ROUND((C21+C22+C23)*F28,0)</f>
        <v>0</v>
      </c>
      <c r="D30" s="328"/>
      <c r="E30" s="329"/>
      <c r="F30" s="334"/>
      <c r="G30" s="140"/>
      <c r="H30" s="982"/>
      <c r="I30" s="982"/>
      <c r="J30" s="982"/>
      <c r="K30" s="983"/>
    </row>
    <row r="31" spans="1:33" s="978" customFormat="1" ht="13.5" customHeight="1" thickBot="1">
      <c r="A31" s="2556" t="s">
        <v>2502</v>
      </c>
      <c r="B31" s="1008" t="s">
        <v>2503</v>
      </c>
      <c r="C31" s="1009">
        <f>ROUND(C4*F31/(1+'数据-取费表'!C42),0)</f>
        <v>0</v>
      </c>
      <c r="D31" s="1010"/>
      <c r="E31" s="1011"/>
      <c r="F31" s="1012">
        <f>'数据-取费表'!B41</f>
        <v>5.5000000000000007E-2</v>
      </c>
      <c r="G31" s="1013" t="s">
        <v>2504</v>
      </c>
      <c r="H31" s="1014"/>
      <c r="I31" s="1014"/>
      <c r="J31" s="1014"/>
      <c r="K31" s="1015"/>
    </row>
    <row r="32" spans="1:33" s="973" customFormat="1" ht="13.5" customHeight="1" thickBot="1">
      <c r="A32" s="1003" t="s">
        <v>2505</v>
      </c>
      <c r="B32" s="1004"/>
      <c r="C32" s="1005">
        <f ca="1">ROUND((C4-C21-C22-C23-C25-C28-C31)/(1+C24+D25+D28),0)</f>
        <v>0</v>
      </c>
      <c r="D32" s="1004"/>
      <c r="E32" s="1004"/>
      <c r="F32" s="1004"/>
      <c r="G32" s="1006" t="s">
        <v>2506</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abSelected="1" topLeftCell="A29" zoomScale="90" zoomScaleNormal="90" workbookViewId="0">
      <selection activeCell="D54" sqref="D54"/>
    </sheetView>
  </sheetViews>
  <sheetFormatPr defaultRowHeight="14.25"/>
  <cols>
    <col min="1" max="1" width="10.5" style="403" customWidth="1"/>
    <col min="2" max="2" width="15.75" style="403" customWidth="1"/>
    <col min="3" max="3" width="26.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665" t="s">
        <v>2690</v>
      </c>
      <c r="C1" s="1622" t="s">
        <v>2518</v>
      </c>
      <c r="D1" s="1623" t="s">
        <v>3058</v>
      </c>
      <c r="E1" s="1632"/>
      <c r="F1" s="2580" t="s">
        <v>3112</v>
      </c>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f>IF(C2="——",ROUND(C43*D3/10000,0),ROUND(C43*D3/10000,0)-D2)</f>
        <v>2612</v>
      </c>
      <c r="C2" s="2582" t="s">
        <v>70</v>
      </c>
      <c r="D2" s="1126" t="e">
        <f ca="1">SUMIF(INDIRECT("'"&amp;F2&amp;"'"&amp;"!A:A"),"承租人权益价值",INDIRECT("'"&amp;F2&amp;"'"&amp;"!c:c"))</f>
        <v>#REF!</v>
      </c>
      <c r="E2" s="2583" t="s">
        <v>2316</v>
      </c>
      <c r="F2" s="2584"/>
      <c r="G2" s="1127"/>
      <c r="H2" s="1127"/>
      <c r="I2" s="1127"/>
      <c r="J2" s="1127"/>
      <c r="K2" s="1127"/>
      <c r="L2" s="1130"/>
      <c r="M2" s="1131"/>
      <c r="N2" s="1131"/>
      <c r="O2" s="1131"/>
      <c r="P2" s="768"/>
      <c r="Q2" s="768"/>
      <c r="R2" s="768"/>
      <c r="S2" s="768"/>
      <c r="T2" s="768"/>
      <c r="U2" s="768"/>
      <c r="V2" s="768"/>
      <c r="W2" s="768"/>
      <c r="X2" s="768"/>
      <c r="Y2" s="768"/>
      <c r="Z2" s="768"/>
      <c r="AA2" s="768"/>
      <c r="AB2" s="768"/>
      <c r="AC2" s="782"/>
    </row>
    <row r="3" spans="1:29" s="398" customFormat="1" ht="28.5" customHeight="1" thickBot="1">
      <c r="A3" s="247" t="s">
        <v>2317</v>
      </c>
      <c r="B3" s="609">
        <f>IF(C2="——",C43,ROUND(B2*10000/D3,0))</f>
        <v>20953</v>
      </c>
      <c r="C3" s="400" t="s">
        <v>2632</v>
      </c>
      <c r="D3" s="399">
        <f>IF(D1="",'数据-汇总表'!E3,SUMIF('数据-汇总表'!$C19:$C33,D1,'数据-汇总表'!$E19:$E33))</f>
        <v>1246.4000000000001</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2633</v>
      </c>
      <c r="B4" s="402"/>
      <c r="C4" s="3212" t="s">
        <v>2634</v>
      </c>
      <c r="D4" s="3213"/>
      <c r="E4" s="3214" t="s">
        <v>2635</v>
      </c>
      <c r="F4" s="3215"/>
      <c r="G4" s="3212" t="s">
        <v>2636</v>
      </c>
      <c r="H4" s="3213"/>
      <c r="I4" s="3212" t="s">
        <v>2637</v>
      </c>
      <c r="J4" s="3213"/>
      <c r="K4" s="610" t="s">
        <v>2638</v>
      </c>
      <c r="L4" s="1132"/>
      <c r="M4" s="1133"/>
      <c r="N4" s="1133"/>
      <c r="O4" s="1133"/>
      <c r="P4" s="3216" t="s">
        <v>2639</v>
      </c>
      <c r="Q4" s="3217"/>
      <c r="R4" s="3199" t="s">
        <v>2635</v>
      </c>
      <c r="S4" s="3200"/>
      <c r="T4" s="3199" t="s">
        <v>2636</v>
      </c>
      <c r="U4" s="3200"/>
      <c r="V4" s="3224" t="s">
        <v>2637</v>
      </c>
      <c r="W4" s="3224"/>
      <c r="X4" s="1815"/>
      <c r="Y4" s="3199" t="s">
        <v>2639</v>
      </c>
      <c r="Z4" s="3200"/>
      <c r="AA4" s="3194" t="s">
        <v>2635</v>
      </c>
      <c r="AB4" s="3195" t="s">
        <v>2636</v>
      </c>
      <c r="AC4" s="3194" t="s">
        <v>2637</v>
      </c>
    </row>
    <row r="5" spans="1:29" ht="15">
      <c r="A5" s="404"/>
      <c r="B5" s="405"/>
      <c r="C5" s="3307" t="s">
        <v>3113</v>
      </c>
      <c r="D5" s="3206"/>
      <c r="E5" s="3308" t="s">
        <v>3114</v>
      </c>
      <c r="F5" s="3204"/>
      <c r="G5" s="3308" t="s">
        <v>3114</v>
      </c>
      <c r="H5" s="3204"/>
      <c r="I5" s="3307" t="s">
        <v>3115</v>
      </c>
      <c r="J5" s="3206"/>
      <c r="K5" s="610"/>
      <c r="L5" s="1132"/>
      <c r="M5" s="1133"/>
      <c r="N5" s="1133"/>
      <c r="O5" s="1133"/>
      <c r="P5" s="3218"/>
      <c r="Q5" s="3219"/>
      <c r="R5" s="3201"/>
      <c r="S5" s="3202"/>
      <c r="T5" s="3201"/>
      <c r="U5" s="3202"/>
      <c r="V5" s="3224"/>
      <c r="W5" s="3224"/>
      <c r="X5" s="1815"/>
      <c r="Y5" s="3201"/>
      <c r="Z5" s="3202"/>
      <c r="AA5" s="3195"/>
      <c r="AB5" s="3195"/>
      <c r="AC5" s="3195"/>
    </row>
    <row r="6" spans="1:29" ht="15.75" thickBot="1">
      <c r="A6" s="406"/>
      <c r="B6" s="407"/>
      <c r="C6" s="3207" t="s">
        <v>2534</v>
      </c>
      <c r="D6" s="3208"/>
      <c r="E6" s="3209" t="s">
        <v>2534</v>
      </c>
      <c r="F6" s="3210"/>
      <c r="G6" s="3207" t="s">
        <v>2534</v>
      </c>
      <c r="H6" s="3208"/>
      <c r="I6" s="3207" t="s">
        <v>2534</v>
      </c>
      <c r="J6" s="3208"/>
      <c r="K6" s="610" t="s">
        <v>2535</v>
      </c>
      <c r="L6" s="1132"/>
      <c r="M6" s="1133"/>
      <c r="N6" s="1133"/>
      <c r="O6" s="1133"/>
      <c r="P6" s="3220"/>
      <c r="Q6" s="3221"/>
      <c r="R6" s="3201"/>
      <c r="S6" s="3202"/>
      <c r="T6" s="3222"/>
      <c r="U6" s="3223"/>
      <c r="V6" s="3224"/>
      <c r="W6" s="3224"/>
      <c r="X6" s="1815"/>
      <c r="Y6" s="3222"/>
      <c r="Z6" s="3223"/>
      <c r="AA6" s="3196"/>
      <c r="AB6" s="3196"/>
      <c r="AC6" s="3196"/>
    </row>
    <row r="7" spans="1:29" s="117" customFormat="1" ht="15.75" thickBot="1">
      <c r="A7" s="408" t="s">
        <v>2536</v>
      </c>
      <c r="B7" s="409"/>
      <c r="C7" s="410">
        <f>'数据-取费表'!B2</f>
        <v>43165</v>
      </c>
      <c r="D7" s="411">
        <v>100</v>
      </c>
      <c r="E7" s="412">
        <v>43164</v>
      </c>
      <c r="F7" s="413">
        <f>SUMIF(52:52,YEAR(E7)&amp;"-"&amp;MONTH(E7),53:53)</f>
        <v>100</v>
      </c>
      <c r="G7" s="412">
        <v>43166</v>
      </c>
      <c r="H7" s="411">
        <f>SUMIF(52:52,YEAR(G7)&amp;"-"&amp;MONTH(G7),53:53)</f>
        <v>100</v>
      </c>
      <c r="I7" s="412">
        <v>43164</v>
      </c>
      <c r="J7" s="411">
        <f>SUMIF(52:52,YEAR(I7)&amp;"-"&amp;MONTH(I7),53:53)</f>
        <v>100</v>
      </c>
      <c r="K7" s="611"/>
      <c r="L7" s="1134"/>
      <c r="M7" s="1135"/>
      <c r="N7" s="1135"/>
      <c r="O7" s="1135"/>
      <c r="P7" s="3197" t="s">
        <v>2537</v>
      </c>
      <c r="Q7" s="3225"/>
      <c r="R7" s="770" t="s">
        <v>17</v>
      </c>
      <c r="S7" s="771">
        <f t="shared" ref="S7:S15" si="0">F7</f>
        <v>100</v>
      </c>
      <c r="T7" s="770" t="s">
        <v>17</v>
      </c>
      <c r="U7" s="771">
        <f t="shared" ref="U7:U15" si="1">H7</f>
        <v>100</v>
      </c>
      <c r="V7" s="770" t="s">
        <v>17</v>
      </c>
      <c r="W7" s="771">
        <f t="shared" ref="W7:W15" si="2">J7</f>
        <v>100</v>
      </c>
      <c r="X7" s="772"/>
      <c r="Y7" s="3197" t="s">
        <v>2537</v>
      </c>
      <c r="Z7" s="3198"/>
      <c r="AA7" s="773">
        <f>D7/F7</f>
        <v>1</v>
      </c>
      <c r="AB7" s="773">
        <f>D7/H7</f>
        <v>1</v>
      </c>
      <c r="AC7" s="773">
        <f>D7/J7</f>
        <v>1</v>
      </c>
    </row>
    <row r="8" spans="1:29" s="117" customFormat="1" ht="15.75" thickBot="1">
      <c r="A8" s="408" t="s">
        <v>2538</v>
      </c>
      <c r="B8" s="409"/>
      <c r="C8" s="414" t="s">
        <v>2539</v>
      </c>
      <c r="D8" s="411">
        <v>100</v>
      </c>
      <c r="E8" s="414" t="s">
        <v>2539</v>
      </c>
      <c r="F8" s="413">
        <f>SUMIF(55:55,E8,56:56)-SUMIF(55:55,C8,56:56)+100</f>
        <v>100</v>
      </c>
      <c r="G8" s="414" t="s">
        <v>2539</v>
      </c>
      <c r="H8" s="411">
        <f>SUMIF(55:55,G8,56:56)-SUMIF(55:55,C8,56:56)+100</f>
        <v>100</v>
      </c>
      <c r="I8" s="414" t="s">
        <v>2539</v>
      </c>
      <c r="J8" s="411">
        <f>SUMIF(55:55,I8,56:56)-SUMIF(55:55,C8,56:56)+100</f>
        <v>100</v>
      </c>
      <c r="K8" s="611"/>
      <c r="L8" s="1134"/>
      <c r="M8" s="1135"/>
      <c r="N8" s="1135"/>
      <c r="O8" s="1135"/>
      <c r="P8" s="3197" t="s">
        <v>2540</v>
      </c>
      <c r="Q8" s="3198"/>
      <c r="R8" s="770" t="s">
        <v>17</v>
      </c>
      <c r="S8" s="771">
        <f t="shared" si="0"/>
        <v>100</v>
      </c>
      <c r="T8" s="770" t="s">
        <v>17</v>
      </c>
      <c r="U8" s="771">
        <f t="shared" si="1"/>
        <v>100</v>
      </c>
      <c r="V8" s="770" t="s">
        <v>17</v>
      </c>
      <c r="W8" s="771">
        <f t="shared" si="2"/>
        <v>100</v>
      </c>
      <c r="X8" s="772"/>
      <c r="Y8" s="3197" t="s">
        <v>2540</v>
      </c>
      <c r="Z8" s="3198"/>
      <c r="AA8" s="773">
        <f t="shared" ref="AA8:AA40" si="3">D8/F8</f>
        <v>1</v>
      </c>
      <c r="AB8" s="773">
        <f t="shared" ref="AB8:AB40" si="4">D8/H8</f>
        <v>1</v>
      </c>
      <c r="AC8" s="773">
        <f t="shared" ref="AC8:AC40" si="5">D8/J8</f>
        <v>1</v>
      </c>
    </row>
    <row r="9" spans="1:29" s="117" customFormat="1">
      <c r="A9" s="415" t="s">
        <v>2541</v>
      </c>
      <c r="B9" s="71" t="s">
        <v>2542</v>
      </c>
      <c r="C9" s="3309" t="s">
        <v>3116</v>
      </c>
      <c r="D9" s="135">
        <v>100</v>
      </c>
      <c r="E9" s="419" t="s">
        <v>6</v>
      </c>
      <c r="F9" s="135">
        <f>SUMIF(57:57,E9,58:58)-SUMIF(57:57,C9,58:58)+100</f>
        <v>100</v>
      </c>
      <c r="G9" s="419" t="s">
        <v>6</v>
      </c>
      <c r="H9" s="135">
        <f>SUMIF(57:57,G9,58:58)-SUMIF(57:57,C9,58:58)+100</f>
        <v>100</v>
      </c>
      <c r="I9" s="419" t="s">
        <v>6</v>
      </c>
      <c r="J9" s="135">
        <f>SUMIF(57:57,I9,58:58)-SUMIF(57:57,C9,58:58)+100</f>
        <v>100</v>
      </c>
      <c r="K9" s="611"/>
      <c r="L9" s="1134"/>
      <c r="M9" s="1135"/>
      <c r="N9" s="1135"/>
      <c r="O9" s="1136"/>
      <c r="P9" s="3229" t="s">
        <v>2543</v>
      </c>
      <c r="Q9" s="1797" t="str">
        <f t="shared" ref="Q9:Q15" si="6">B9</f>
        <v>用途</v>
      </c>
      <c r="R9" s="770" t="s">
        <v>17</v>
      </c>
      <c r="S9" s="771">
        <f t="shared" si="0"/>
        <v>100</v>
      </c>
      <c r="T9" s="770" t="s">
        <v>17</v>
      </c>
      <c r="U9" s="771">
        <f t="shared" si="1"/>
        <v>100</v>
      </c>
      <c r="V9" s="770" t="s">
        <v>17</v>
      </c>
      <c r="W9" s="771">
        <f t="shared" si="2"/>
        <v>100</v>
      </c>
      <c r="X9" s="772"/>
      <c r="Y9" s="3024" t="s">
        <v>2544</v>
      </c>
      <c r="Z9" s="55" t="str">
        <f t="shared" ref="Z9:Z15" si="7">Q9</f>
        <v>用途</v>
      </c>
      <c r="AA9" s="773">
        <f t="shared" si="3"/>
        <v>1</v>
      </c>
      <c r="AB9" s="773">
        <f t="shared" si="4"/>
        <v>1</v>
      </c>
      <c r="AC9" s="773">
        <f t="shared" si="5"/>
        <v>1</v>
      </c>
    </row>
    <row r="10" spans="1:29" s="427" customFormat="1" ht="27.75" thickBot="1">
      <c r="A10" s="421"/>
      <c r="B10" s="422" t="s">
        <v>2545</v>
      </c>
      <c r="C10" s="423" t="s">
        <v>3117</v>
      </c>
      <c r="D10" s="136">
        <v>100</v>
      </c>
      <c r="E10" s="423" t="s">
        <v>3117</v>
      </c>
      <c r="F10" s="136">
        <f>SUMIF(59:59,E10,60:60)-SUMIF(59:59,C10,60:60)+100</f>
        <v>100</v>
      </c>
      <c r="G10" s="423" t="s">
        <v>3117</v>
      </c>
      <c r="H10" s="136">
        <f>SUMIF(59:59,G10,60:60)-SUMIF(59:59,C10,60:60)+100</f>
        <v>100</v>
      </c>
      <c r="I10" s="423" t="s">
        <v>3117</v>
      </c>
      <c r="J10" s="136">
        <f>SUMIF(59:59,I10,60:60)-SUMIF(59:59,C10,60:60)+100</f>
        <v>100</v>
      </c>
      <c r="K10" s="612">
        <v>1</v>
      </c>
      <c r="L10" s="1137"/>
      <c r="M10" s="1138"/>
      <c r="N10" s="1138"/>
      <c r="O10" s="1139"/>
      <c r="P10" s="3229"/>
      <c r="Q10" s="1797" t="str">
        <f t="shared" si="6"/>
        <v>土地使用年限（年）</v>
      </c>
      <c r="R10" s="770" t="s">
        <v>17</v>
      </c>
      <c r="S10" s="771">
        <f t="shared" si="0"/>
        <v>100</v>
      </c>
      <c r="T10" s="770" t="s">
        <v>17</v>
      </c>
      <c r="U10" s="771">
        <f t="shared" si="1"/>
        <v>100</v>
      </c>
      <c r="V10" s="770" t="s">
        <v>17</v>
      </c>
      <c r="W10" s="771">
        <f t="shared" si="2"/>
        <v>100</v>
      </c>
      <c r="X10" s="772"/>
      <c r="Y10" s="3024"/>
      <c r="Z10" s="55" t="str">
        <f t="shared" si="7"/>
        <v>土地使用年限（年）</v>
      </c>
      <c r="AA10" s="773">
        <f t="shared" si="3"/>
        <v>1</v>
      </c>
      <c r="AB10" s="773">
        <f t="shared" si="4"/>
        <v>1</v>
      </c>
      <c r="AC10" s="773">
        <f t="shared" si="5"/>
        <v>1</v>
      </c>
    </row>
    <row r="11" spans="1:29" ht="15" hidden="1">
      <c r="A11" s="428"/>
      <c r="B11" s="422" t="s">
        <v>2546</v>
      </c>
      <c r="C11" s="429">
        <v>1</v>
      </c>
      <c r="D11" s="136">
        <v>100</v>
      </c>
      <c r="E11" s="429">
        <v>1</v>
      </c>
      <c r="F11" s="136">
        <f>LOOKUP(E11,62:62,63:63)-LOOKUP(C11,62:62,63:63)+100</f>
        <v>100</v>
      </c>
      <c r="G11" s="429">
        <v>1</v>
      </c>
      <c r="H11" s="136">
        <f>LOOKUP(G11,62:62,63:63)-LOOKUP(C11,62:62,63:63)+100</f>
        <v>100</v>
      </c>
      <c r="I11" s="429">
        <v>1</v>
      </c>
      <c r="J11" s="136">
        <f>LOOKUP(I11,62:62,63:63)-LOOKUP(C11,62:62,63:63)+100</f>
        <v>100</v>
      </c>
      <c r="K11" s="612">
        <v>0</v>
      </c>
      <c r="L11" s="1140"/>
      <c r="M11" s="1133"/>
      <c r="N11" s="1133"/>
      <c r="O11" s="1141"/>
      <c r="P11" s="3229"/>
      <c r="Q11" s="1797" t="str">
        <f t="shared" si="6"/>
        <v>容积率</v>
      </c>
      <c r="R11" s="770" t="s">
        <v>17</v>
      </c>
      <c r="S11" s="771">
        <f t="shared" si="0"/>
        <v>100</v>
      </c>
      <c r="T11" s="770" t="s">
        <v>17</v>
      </c>
      <c r="U11" s="771">
        <f t="shared" si="1"/>
        <v>100</v>
      </c>
      <c r="V11" s="770" t="s">
        <v>17</v>
      </c>
      <c r="W11" s="771">
        <f t="shared" si="2"/>
        <v>100</v>
      </c>
      <c r="X11" s="772"/>
      <c r="Y11" s="3024"/>
      <c r="Z11" s="55" t="str">
        <f t="shared" si="7"/>
        <v>容积率</v>
      </c>
      <c r="AA11" s="773">
        <f t="shared" si="3"/>
        <v>1</v>
      </c>
      <c r="AB11" s="773">
        <f t="shared" si="4"/>
        <v>1</v>
      </c>
      <c r="AC11" s="773">
        <f t="shared" si="5"/>
        <v>1</v>
      </c>
    </row>
    <row r="12" spans="1:29" s="117" customFormat="1" ht="15" hidden="1">
      <c r="A12" s="431"/>
      <c r="B12" s="2596">
        <v>111</v>
      </c>
      <c r="C12" s="432"/>
      <c r="D12" s="433">
        <v>100</v>
      </c>
      <c r="E12" s="434"/>
      <c r="F12" s="136">
        <f>SUMIF(64:64,E12,65:65)-SUMIF(64:64,C12,65:65)+100</f>
        <v>100</v>
      </c>
      <c r="G12" s="2688"/>
      <c r="H12" s="136">
        <f>SUMIF(64:64,G12,65:65)-SUMIF(64:64,C12,65:65)+100</f>
        <v>100</v>
      </c>
      <c r="I12" s="469"/>
      <c r="J12" s="136">
        <f>SUMIF(64:64,I12,65:65)-SUMIF(64:64,C12,65:65)+100</f>
        <v>100</v>
      </c>
      <c r="K12" s="613"/>
      <c r="L12" s="1134"/>
      <c r="M12" s="1135"/>
      <c r="N12" s="1135"/>
      <c r="O12" s="1136"/>
      <c r="P12" s="3229"/>
      <c r="Q12" s="1797">
        <f t="shared" si="6"/>
        <v>111</v>
      </c>
      <c r="R12" s="770" t="s">
        <v>17</v>
      </c>
      <c r="S12" s="771">
        <f t="shared" si="0"/>
        <v>100</v>
      </c>
      <c r="T12" s="770" t="s">
        <v>17</v>
      </c>
      <c r="U12" s="771">
        <f t="shared" si="1"/>
        <v>100</v>
      </c>
      <c r="V12" s="770" t="s">
        <v>17</v>
      </c>
      <c r="W12" s="771">
        <f t="shared" si="2"/>
        <v>100</v>
      </c>
      <c r="X12" s="772"/>
      <c r="Y12" s="3024"/>
      <c r="Z12" s="55">
        <f t="shared" si="7"/>
        <v>111</v>
      </c>
      <c r="AA12" s="773">
        <f>D12/F12</f>
        <v>1</v>
      </c>
      <c r="AB12" s="773">
        <f>D12/H12</f>
        <v>1</v>
      </c>
      <c r="AC12" s="773">
        <f>D12/J12</f>
        <v>1</v>
      </c>
    </row>
    <row r="13" spans="1:29" ht="15" hidden="1">
      <c r="A13" s="428"/>
      <c r="B13" s="2596">
        <v>111</v>
      </c>
      <c r="C13" s="434"/>
      <c r="D13" s="435">
        <v>100</v>
      </c>
      <c r="E13" s="434"/>
      <c r="F13" s="136">
        <f>SUMIF(66:66,E13,67:67)-SUMIF(66:66,C13,67:67)+100</f>
        <v>100</v>
      </c>
      <c r="G13" s="2688"/>
      <c r="H13" s="435">
        <f>SUMIF(66:66,G13,67:67)-SUMIF(66:66,C13,67:67)+100</f>
        <v>100</v>
      </c>
      <c r="I13" s="469"/>
      <c r="J13" s="435">
        <f>SUMIF(66:66,I13,67:67)-SUMIF(66:66,C13,67:67)+100</f>
        <v>100</v>
      </c>
      <c r="K13" s="613"/>
      <c r="L13" s="1142"/>
      <c r="M13" s="1133"/>
      <c r="N13" s="1133"/>
      <c r="O13" s="1141"/>
      <c r="P13" s="3229"/>
      <c r="Q13" s="1797">
        <f t="shared" si="6"/>
        <v>111</v>
      </c>
      <c r="R13" s="770" t="s">
        <v>17</v>
      </c>
      <c r="S13" s="771">
        <f t="shared" si="0"/>
        <v>100</v>
      </c>
      <c r="T13" s="770" t="s">
        <v>17</v>
      </c>
      <c r="U13" s="771">
        <f t="shared" si="1"/>
        <v>100</v>
      </c>
      <c r="V13" s="770" t="s">
        <v>17</v>
      </c>
      <c r="W13" s="771">
        <f t="shared" si="2"/>
        <v>100</v>
      </c>
      <c r="X13" s="772"/>
      <c r="Y13" s="3024"/>
      <c r="Z13" s="55">
        <f t="shared" si="7"/>
        <v>111</v>
      </c>
      <c r="AA13" s="773">
        <f t="shared" si="3"/>
        <v>1</v>
      </c>
      <c r="AB13" s="773">
        <f t="shared" si="4"/>
        <v>1</v>
      </c>
      <c r="AC13" s="773">
        <f t="shared" si="5"/>
        <v>1</v>
      </c>
    </row>
    <row r="14" spans="1:29" ht="15.75" hidden="1" thickBot="1">
      <c r="A14" s="436"/>
      <c r="B14" s="2598">
        <v>111</v>
      </c>
      <c r="C14" s="437"/>
      <c r="D14" s="438">
        <v>100</v>
      </c>
      <c r="E14" s="437"/>
      <c r="F14" s="438">
        <f>SUMIF(68:68,E14,69:69)-SUMIF(68:68,C14,69:69)+100</f>
        <v>100</v>
      </c>
      <c r="G14" s="2688"/>
      <c r="H14" s="438">
        <f>SUMIF(68:68,G14,69:69)-SUMIF(68:68,C14,69:69)+100</f>
        <v>100</v>
      </c>
      <c r="I14" s="469"/>
      <c r="J14" s="438">
        <f>SUMIF(68:68,I14,69:69)-SUMIF(68:68,C14,69:69)+100</f>
        <v>100</v>
      </c>
      <c r="K14" s="613"/>
      <c r="L14" s="1142"/>
      <c r="M14" s="1133"/>
      <c r="N14" s="1133"/>
      <c r="O14" s="1141"/>
      <c r="P14" s="3229"/>
      <c r="Q14" s="1797">
        <f t="shared" si="6"/>
        <v>111</v>
      </c>
      <c r="R14" s="770" t="s">
        <v>17</v>
      </c>
      <c r="S14" s="771">
        <f t="shared" si="0"/>
        <v>100</v>
      </c>
      <c r="T14" s="770" t="s">
        <v>17</v>
      </c>
      <c r="U14" s="771">
        <f t="shared" si="1"/>
        <v>100</v>
      </c>
      <c r="V14" s="770" t="s">
        <v>17</v>
      </c>
      <c r="W14" s="771">
        <f t="shared" si="2"/>
        <v>100</v>
      </c>
      <c r="X14" s="772"/>
      <c r="Y14" s="3024"/>
      <c r="Z14" s="55">
        <f t="shared" si="7"/>
        <v>111</v>
      </c>
      <c r="AA14" s="773">
        <f t="shared" si="3"/>
        <v>1</v>
      </c>
      <c r="AB14" s="773">
        <f t="shared" si="4"/>
        <v>1</v>
      </c>
      <c r="AC14" s="773">
        <f t="shared" si="5"/>
        <v>1</v>
      </c>
    </row>
    <row r="15" spans="1:29" ht="42.75">
      <c r="A15" s="440" t="s">
        <v>2547</v>
      </c>
      <c r="B15" s="69" t="s">
        <v>2691</v>
      </c>
      <c r="C15" s="2689" t="str">
        <f>估价对象房地状况!G3</f>
        <v>估价对象位于中关村兴业创业园，园区建设成熟度较好，产业集聚程度较好</v>
      </c>
      <c r="D15" s="441">
        <v>100</v>
      </c>
      <c r="E15" s="442"/>
      <c r="F15" s="443">
        <f>SUMIF(70:70,E16,71:71)-SUMIF(70:70,C16,71:71)+100</f>
        <v>100</v>
      </c>
      <c r="G15" s="444"/>
      <c r="H15" s="441">
        <f>SUMIF(70:70,G16,71:71)-SUMIF(70:70,C16,71:71)+100</f>
        <v>100</v>
      </c>
      <c r="I15" s="442"/>
      <c r="J15" s="441">
        <f>SUMIF(70:70,I16,71:71)-SUMIF(70:70,C16,71:71)+100</f>
        <v>100</v>
      </c>
      <c r="K15" s="614">
        <v>2</v>
      </c>
      <c r="L15" s="1142"/>
      <c r="M15" s="1133"/>
      <c r="N15" s="1133"/>
      <c r="O15" s="1141"/>
      <c r="P15" s="3231" t="s">
        <v>2548</v>
      </c>
      <c r="Q15" s="1812" t="str">
        <f t="shared" si="6"/>
        <v>产业集聚程度</v>
      </c>
      <c r="R15" s="774" t="s">
        <v>17</v>
      </c>
      <c r="S15" s="775">
        <f t="shared" si="0"/>
        <v>100</v>
      </c>
      <c r="T15" s="774" t="s">
        <v>17</v>
      </c>
      <c r="U15" s="775">
        <f t="shared" si="1"/>
        <v>100</v>
      </c>
      <c r="V15" s="774" t="s">
        <v>17</v>
      </c>
      <c r="W15" s="775">
        <f t="shared" si="2"/>
        <v>100</v>
      </c>
      <c r="X15" s="1815"/>
      <c r="Y15" s="3231" t="s">
        <v>2548</v>
      </c>
      <c r="Z15" s="1816" t="str">
        <f t="shared" si="7"/>
        <v>产业集聚程度</v>
      </c>
      <c r="AA15" s="1813">
        <f t="shared" si="3"/>
        <v>1</v>
      </c>
      <c r="AB15" s="1813">
        <f t="shared" si="4"/>
        <v>1</v>
      </c>
      <c r="AC15" s="1813">
        <f t="shared" si="5"/>
        <v>1</v>
      </c>
    </row>
    <row r="16" spans="1:29" ht="15">
      <c r="A16" s="428"/>
      <c r="B16" s="446"/>
      <c r="C16" s="447" t="s">
        <v>3118</v>
      </c>
      <c r="D16" s="448"/>
      <c r="E16" s="447" t="s">
        <v>3118</v>
      </c>
      <c r="F16" s="449"/>
      <c r="G16" s="447" t="s">
        <v>3118</v>
      </c>
      <c r="H16" s="450"/>
      <c r="I16" s="447" t="s">
        <v>3118</v>
      </c>
      <c r="J16" s="448"/>
      <c r="K16" s="615"/>
      <c r="L16" s="1142"/>
      <c r="M16" s="1133"/>
      <c r="N16" s="1133"/>
      <c r="O16" s="1141"/>
      <c r="P16" s="3232"/>
      <c r="Q16" s="1812"/>
      <c r="R16" s="774"/>
      <c r="S16" s="775"/>
      <c r="T16" s="774"/>
      <c r="U16" s="775"/>
      <c r="V16" s="774"/>
      <c r="W16" s="775"/>
      <c r="X16" s="1815"/>
      <c r="Y16" s="3232"/>
      <c r="Z16" s="1816"/>
      <c r="AA16" s="1813">
        <v>1</v>
      </c>
      <c r="AB16" s="1813">
        <v>1</v>
      </c>
      <c r="AC16" s="1813">
        <v>1</v>
      </c>
    </row>
    <row r="17" spans="1:29" ht="57">
      <c r="A17" s="428"/>
      <c r="B17" s="451" t="s">
        <v>2089</v>
      </c>
      <c r="C17" s="2603" t="str">
        <f>估价对象房地状况!G4</f>
        <v>估价对象周边道路状况较好、公共交通通达情况一般、停车便捷程度一般，综合评价交通便捷度一般</v>
      </c>
      <c r="D17" s="450">
        <v>100</v>
      </c>
      <c r="E17" s="452"/>
      <c r="F17" s="453">
        <f>SUMIF(72:72,E18,73:73)-SUMIF(72:72,C18,73:73)+100</f>
        <v>101</v>
      </c>
      <c r="G17" s="454"/>
      <c r="H17" s="455">
        <f>SUMIF(72:72,G18,73:73)-SUMIF(72:72,C18,73:73)+100</f>
        <v>101</v>
      </c>
      <c r="I17" s="452"/>
      <c r="J17" s="455">
        <f>SUMIF(72:72,I18,73:73)-SUMIF(72:72,C18,73:73)+100</f>
        <v>100</v>
      </c>
      <c r="K17" s="614">
        <v>1</v>
      </c>
      <c r="L17" s="1142"/>
      <c r="M17" s="1133"/>
      <c r="N17" s="1133"/>
      <c r="O17" s="1141"/>
      <c r="P17" s="3232"/>
      <c r="Q17" s="1812" t="str">
        <f>B17</f>
        <v>交通便捷度</v>
      </c>
      <c r="R17" s="774" t="s">
        <v>17</v>
      </c>
      <c r="S17" s="775">
        <f>F17</f>
        <v>101</v>
      </c>
      <c r="T17" s="774" t="s">
        <v>17</v>
      </c>
      <c r="U17" s="775">
        <f>H17</f>
        <v>101</v>
      </c>
      <c r="V17" s="774" t="s">
        <v>17</v>
      </c>
      <c r="W17" s="775">
        <f>J17</f>
        <v>100</v>
      </c>
      <c r="X17" s="1815"/>
      <c r="Y17" s="3232"/>
      <c r="Z17" s="1816" t="str">
        <f>Q17</f>
        <v>交通便捷度</v>
      </c>
      <c r="AA17" s="1813">
        <f t="shared" si="3"/>
        <v>0.99009900990099009</v>
      </c>
      <c r="AB17" s="1813">
        <f t="shared" si="4"/>
        <v>0.99009900990099009</v>
      </c>
      <c r="AC17" s="1813">
        <f t="shared" si="5"/>
        <v>1</v>
      </c>
    </row>
    <row r="18" spans="1:29" ht="15">
      <c r="A18" s="428"/>
      <c r="B18" s="456"/>
      <c r="C18" s="2604" t="s">
        <v>3119</v>
      </c>
      <c r="D18" s="450"/>
      <c r="E18" s="2604" t="s">
        <v>3118</v>
      </c>
      <c r="F18" s="453"/>
      <c r="G18" s="2604" t="s">
        <v>3118</v>
      </c>
      <c r="H18" s="448"/>
      <c r="I18" s="2604" t="s">
        <v>3119</v>
      </c>
      <c r="J18" s="448"/>
      <c r="K18" s="615"/>
      <c r="L18" s="1142"/>
      <c r="M18" s="1133"/>
      <c r="N18" s="1133"/>
      <c r="O18" s="1141"/>
      <c r="P18" s="3232"/>
      <c r="Q18" s="1812"/>
      <c r="R18" s="774"/>
      <c r="S18" s="775"/>
      <c r="T18" s="774"/>
      <c r="U18" s="775"/>
      <c r="V18" s="774"/>
      <c r="W18" s="775"/>
      <c r="X18" s="1815"/>
      <c r="Y18" s="3232"/>
      <c r="Z18" s="1816"/>
      <c r="AA18" s="1813">
        <v>1</v>
      </c>
      <c r="AB18" s="1813">
        <v>1</v>
      </c>
      <c r="AC18" s="1813">
        <v>1</v>
      </c>
    </row>
    <row r="19" spans="1:29" ht="63.75" customHeight="1">
      <c r="A19" s="428"/>
      <c r="B19" s="451" t="s">
        <v>2676</v>
      </c>
      <c r="C19" s="2603" t="str">
        <f>估价对象房地状况!G5</f>
        <v>估价对象所在区域公共配套设施有农村商业银行、上海浦东发展银行、世纪华联、容中超市、中国石油大学附属中学、昌平五中等，齐备情况较好</v>
      </c>
      <c r="D19" s="455">
        <v>100</v>
      </c>
      <c r="E19" s="457"/>
      <c r="F19" s="458">
        <f>SUMIF(74:74,E20,75:75)-SUMIF(74:74,C20,75:75)+100</f>
        <v>100</v>
      </c>
      <c r="G19" s="459"/>
      <c r="H19" s="450">
        <f>SUMIF(74:74,G20,75:75)-SUMIF(74:74,C20,75:75)+100</f>
        <v>100</v>
      </c>
      <c r="I19" s="457"/>
      <c r="J19" s="450">
        <f>SUMIF(74:74,I20,75:75)-SUMIF(74:74,C20,75:75)+100</f>
        <v>100</v>
      </c>
      <c r="K19" s="614">
        <v>2</v>
      </c>
      <c r="L19" s="1142"/>
      <c r="M19" s="1133"/>
      <c r="N19" s="1133"/>
      <c r="O19" s="1141"/>
      <c r="P19" s="3232"/>
      <c r="Q19" s="1812" t="str">
        <f>B19</f>
        <v>公共配套设施</v>
      </c>
      <c r="R19" s="774" t="s">
        <v>17</v>
      </c>
      <c r="S19" s="775">
        <f>F19</f>
        <v>100</v>
      </c>
      <c r="T19" s="774" t="s">
        <v>17</v>
      </c>
      <c r="U19" s="775">
        <f>H19</f>
        <v>100</v>
      </c>
      <c r="V19" s="774" t="s">
        <v>17</v>
      </c>
      <c r="W19" s="775">
        <f>J19</f>
        <v>100</v>
      </c>
      <c r="X19" s="1815"/>
      <c r="Y19" s="3232"/>
      <c r="Z19" s="1816" t="str">
        <f>Q19</f>
        <v>公共配套设施</v>
      </c>
      <c r="AA19" s="1813">
        <f t="shared" si="3"/>
        <v>1</v>
      </c>
      <c r="AB19" s="1813">
        <f t="shared" si="4"/>
        <v>1</v>
      </c>
      <c r="AC19" s="1813">
        <f t="shared" si="5"/>
        <v>1</v>
      </c>
    </row>
    <row r="20" spans="1:29" ht="15">
      <c r="A20" s="428"/>
      <c r="B20" s="456"/>
      <c r="C20" s="447" t="s">
        <v>3118</v>
      </c>
      <c r="D20" s="448"/>
      <c r="E20" s="447" t="s">
        <v>3118</v>
      </c>
      <c r="F20" s="449"/>
      <c r="G20" s="447" t="s">
        <v>3118</v>
      </c>
      <c r="H20" s="448"/>
      <c r="I20" s="447" t="s">
        <v>3118</v>
      </c>
      <c r="J20" s="448"/>
      <c r="K20" s="615"/>
      <c r="L20" s="1142"/>
      <c r="M20" s="1133"/>
      <c r="N20" s="1133"/>
      <c r="O20" s="1141"/>
      <c r="P20" s="3232"/>
      <c r="Q20" s="1812"/>
      <c r="R20" s="774"/>
      <c r="S20" s="775"/>
      <c r="T20" s="774"/>
      <c r="U20" s="775"/>
      <c r="V20" s="774"/>
      <c r="W20" s="775"/>
      <c r="X20" s="1815"/>
      <c r="Y20" s="3232"/>
      <c r="Z20" s="1816"/>
      <c r="AA20" s="1813">
        <v>1</v>
      </c>
      <c r="AB20" s="1813">
        <v>1</v>
      </c>
      <c r="AC20" s="1813">
        <v>1</v>
      </c>
    </row>
    <row r="21" spans="1:29" ht="28.5">
      <c r="A21" s="428"/>
      <c r="B21" s="1386" t="s">
        <v>2677</v>
      </c>
      <c r="C21" s="2603" t="str">
        <f>估价对象房地状况!G6</f>
        <v>估价对象所在区域基础设施水平七通</v>
      </c>
      <c r="D21" s="450">
        <v>100</v>
      </c>
      <c r="E21" s="457"/>
      <c r="F21" s="458">
        <f>SUMIF(76:76,E22,77:77)-SUMIF(76:76,C22,77:77)+100</f>
        <v>100</v>
      </c>
      <c r="G21" s="459"/>
      <c r="H21" s="450">
        <f>SUMIF(76:76,G22,77:77)-SUMIF(76:76,C22,77:77)+100</f>
        <v>100</v>
      </c>
      <c r="I21" s="457"/>
      <c r="J21" s="450">
        <f>SUMIF(76:76,I22,77:77)-SUMIF(76:76,C22,77:77)+100</f>
        <v>100</v>
      </c>
      <c r="K21" s="614">
        <v>1</v>
      </c>
      <c r="L21" s="1142"/>
      <c r="M21" s="1133"/>
      <c r="N21" s="1133"/>
      <c r="O21" s="1141"/>
      <c r="P21" s="3232"/>
      <c r="Q21" s="1812" t="str">
        <f>B21</f>
        <v>基础设施水平</v>
      </c>
      <c r="R21" s="774" t="s">
        <v>17</v>
      </c>
      <c r="S21" s="775">
        <f>F21</f>
        <v>100</v>
      </c>
      <c r="T21" s="774" t="s">
        <v>17</v>
      </c>
      <c r="U21" s="775">
        <f>H21</f>
        <v>100</v>
      </c>
      <c r="V21" s="774" t="s">
        <v>17</v>
      </c>
      <c r="W21" s="775">
        <f>J21</f>
        <v>100</v>
      </c>
      <c r="X21" s="1815"/>
      <c r="Y21" s="3232"/>
      <c r="Z21" s="1816" t="str">
        <f>Q21</f>
        <v>基础设施水平</v>
      </c>
      <c r="AA21" s="1813">
        <f t="shared" ref="AA21" si="8">D21/F21</f>
        <v>1</v>
      </c>
      <c r="AB21" s="1813">
        <f t="shared" ref="AB21" si="9">D21/H21</f>
        <v>1</v>
      </c>
      <c r="AC21" s="1813">
        <f t="shared" ref="AC21" si="10">D21/J21</f>
        <v>1</v>
      </c>
    </row>
    <row r="22" spans="1:29" ht="15">
      <c r="A22" s="428"/>
      <c r="B22" s="1386"/>
      <c r="C22" s="2604" t="s">
        <v>3120</v>
      </c>
      <c r="D22" s="448"/>
      <c r="E22" s="2604" t="s">
        <v>3120</v>
      </c>
      <c r="F22" s="449"/>
      <c r="G22" s="2604" t="s">
        <v>3120</v>
      </c>
      <c r="H22" s="448"/>
      <c r="I22" s="2604" t="s">
        <v>3120</v>
      </c>
      <c r="J22" s="448"/>
      <c r="K22" s="1385"/>
      <c r="L22" s="1142"/>
      <c r="M22" s="1133"/>
      <c r="N22" s="1133"/>
      <c r="O22" s="1141"/>
      <c r="P22" s="3232"/>
      <c r="Q22" s="1812"/>
      <c r="R22" s="774"/>
      <c r="S22" s="775"/>
      <c r="T22" s="774"/>
      <c r="U22" s="775"/>
      <c r="V22" s="774"/>
      <c r="W22" s="775"/>
      <c r="X22" s="1815"/>
      <c r="Y22" s="3232"/>
      <c r="Z22" s="1816"/>
      <c r="AA22" s="1813">
        <v>1</v>
      </c>
      <c r="AB22" s="1813">
        <v>1</v>
      </c>
      <c r="AC22" s="1813">
        <v>1</v>
      </c>
    </row>
    <row r="23" spans="1:29" ht="42.75">
      <c r="A23" s="428"/>
      <c r="B23" s="451" t="s">
        <v>2678</v>
      </c>
      <c r="C23" s="2603" t="str">
        <f>估价对象房地状况!G7</f>
        <v>该园区内是否有污染型企业，绿化情况，卫生条件，整体环境状况判断，较好</v>
      </c>
      <c r="D23" s="450">
        <v>100</v>
      </c>
      <c r="E23" s="452"/>
      <c r="F23" s="453">
        <f>SUMIF(78:78,E24,79:79)-SUMIF(78:78,C24,79:79)+100</f>
        <v>100</v>
      </c>
      <c r="G23" s="454"/>
      <c r="H23" s="450">
        <f>SUMIF(78:78,G24,79:79)-SUMIF(78:78,C24,79:79)+100</f>
        <v>100</v>
      </c>
      <c r="I23" s="452"/>
      <c r="J23" s="450">
        <f>SUMIF(78:78,I24,79:79)-SUMIF(78:78,C24,79:79)+100</f>
        <v>100</v>
      </c>
      <c r="K23" s="614">
        <v>2</v>
      </c>
      <c r="L23" s="1142"/>
      <c r="M23" s="1133"/>
      <c r="N23" s="1133"/>
      <c r="O23" s="1141"/>
      <c r="P23" s="3232"/>
      <c r="Q23" s="1812" t="str">
        <f>B23</f>
        <v>环境质量</v>
      </c>
      <c r="R23" s="774" t="s">
        <v>17</v>
      </c>
      <c r="S23" s="775">
        <f>F23</f>
        <v>100</v>
      </c>
      <c r="T23" s="774" t="s">
        <v>17</v>
      </c>
      <c r="U23" s="775">
        <f>H23</f>
        <v>100</v>
      </c>
      <c r="V23" s="774" t="s">
        <v>17</v>
      </c>
      <c r="W23" s="775">
        <f>J23</f>
        <v>100</v>
      </c>
      <c r="X23" s="1815"/>
      <c r="Y23" s="3232"/>
      <c r="Z23" s="1816" t="str">
        <f>Q23</f>
        <v>环境质量</v>
      </c>
      <c r="AA23" s="1813">
        <f t="shared" si="3"/>
        <v>1</v>
      </c>
      <c r="AB23" s="1813">
        <f t="shared" si="4"/>
        <v>1</v>
      </c>
      <c r="AC23" s="1813">
        <f t="shared" si="5"/>
        <v>1</v>
      </c>
    </row>
    <row r="24" spans="1:29" ht="15.75" thickBot="1">
      <c r="A24" s="428"/>
      <c r="B24" s="1386"/>
      <c r="C24" s="447" t="s">
        <v>3118</v>
      </c>
      <c r="D24" s="448"/>
      <c r="E24" s="447" t="s">
        <v>3118</v>
      </c>
      <c r="F24" s="449"/>
      <c r="G24" s="447" t="s">
        <v>3118</v>
      </c>
      <c r="H24" s="448"/>
      <c r="I24" s="447" t="s">
        <v>3118</v>
      </c>
      <c r="J24" s="448"/>
      <c r="K24" s="615"/>
      <c r="L24" s="1142"/>
      <c r="M24" s="1133"/>
      <c r="N24" s="1133"/>
      <c r="O24" s="1141"/>
      <c r="P24" s="3232"/>
      <c r="Q24" s="1812"/>
      <c r="R24" s="774"/>
      <c r="S24" s="775"/>
      <c r="T24" s="774"/>
      <c r="U24" s="775"/>
      <c r="V24" s="774"/>
      <c r="W24" s="775"/>
      <c r="X24" s="1815"/>
      <c r="Y24" s="3232"/>
      <c r="Z24" s="1816"/>
      <c r="AA24" s="1813">
        <v>1</v>
      </c>
      <c r="AB24" s="1813">
        <v>1</v>
      </c>
      <c r="AC24" s="1813">
        <v>1</v>
      </c>
    </row>
    <row r="25" spans="1:29" ht="15" hidden="1">
      <c r="A25" s="404"/>
      <c r="B25" s="1388">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2"/>
      <c r="M25" s="1133"/>
      <c r="N25" s="1133"/>
      <c r="O25" s="1141"/>
      <c r="P25" s="3232"/>
      <c r="Q25" s="1812">
        <f>B25</f>
        <v>111</v>
      </c>
      <c r="R25" s="774" t="s">
        <v>17</v>
      </c>
      <c r="S25" s="775">
        <f>F25</f>
        <v>100</v>
      </c>
      <c r="T25" s="774" t="s">
        <v>17</v>
      </c>
      <c r="U25" s="775">
        <f>H25</f>
        <v>100</v>
      </c>
      <c r="V25" s="774" t="s">
        <v>17</v>
      </c>
      <c r="W25" s="775">
        <f>J25</f>
        <v>100</v>
      </c>
      <c r="X25" s="1815"/>
      <c r="Y25" s="3232"/>
      <c r="Z25" s="1816">
        <f>Q25</f>
        <v>111</v>
      </c>
      <c r="AA25" s="1813">
        <f t="shared" si="3"/>
        <v>1</v>
      </c>
      <c r="AB25" s="1813">
        <f t="shared" si="4"/>
        <v>1</v>
      </c>
      <c r="AC25" s="1813">
        <f t="shared" si="5"/>
        <v>1</v>
      </c>
    </row>
    <row r="26" spans="1:29" ht="15" hidden="1">
      <c r="A26" s="428"/>
      <c r="B26" s="1388">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2"/>
      <c r="M26" s="1133"/>
      <c r="N26" s="1133"/>
      <c r="O26" s="1141"/>
      <c r="P26" s="3232"/>
      <c r="Q26" s="1812">
        <f t="shared" ref="Q26:Q40" si="11">B26</f>
        <v>111</v>
      </c>
      <c r="R26" s="774" t="s">
        <v>17</v>
      </c>
      <c r="S26" s="775">
        <f>F26</f>
        <v>100</v>
      </c>
      <c r="T26" s="774" t="s">
        <v>17</v>
      </c>
      <c r="U26" s="775">
        <f>H26</f>
        <v>100</v>
      </c>
      <c r="V26" s="774" t="s">
        <v>17</v>
      </c>
      <c r="W26" s="775">
        <f>J26</f>
        <v>100</v>
      </c>
      <c r="X26" s="1815"/>
      <c r="Y26" s="3232"/>
      <c r="Z26" s="1816">
        <f>Q26</f>
        <v>111</v>
      </c>
      <c r="AA26" s="1813">
        <f t="shared" si="3"/>
        <v>1</v>
      </c>
      <c r="AB26" s="1813">
        <f t="shared" si="4"/>
        <v>1</v>
      </c>
      <c r="AC26" s="1813">
        <f t="shared" si="5"/>
        <v>1</v>
      </c>
    </row>
    <row r="27" spans="1:29" s="117" customFormat="1" ht="15" hidden="1">
      <c r="A27" s="431"/>
      <c r="B27" s="1388">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4"/>
      <c r="M27" s="1135"/>
      <c r="N27" s="1135"/>
      <c r="O27" s="1136"/>
      <c r="P27" s="3232"/>
      <c r="Q27" s="1797">
        <f t="shared" si="11"/>
        <v>111</v>
      </c>
      <c r="R27" s="770" t="s">
        <v>17</v>
      </c>
      <c r="S27" s="771">
        <f>F27</f>
        <v>100</v>
      </c>
      <c r="T27" s="770" t="s">
        <v>17</v>
      </c>
      <c r="U27" s="771">
        <f>H27</f>
        <v>100</v>
      </c>
      <c r="V27" s="770" t="s">
        <v>17</v>
      </c>
      <c r="W27" s="771">
        <f>J27</f>
        <v>100</v>
      </c>
      <c r="X27" s="772"/>
      <c r="Y27" s="3232"/>
      <c r="Z27" s="55">
        <f>Q27</f>
        <v>111</v>
      </c>
      <c r="AA27" s="1813">
        <f>D27/F27</f>
        <v>1</v>
      </c>
      <c r="AB27" s="1813">
        <f>D27/H27</f>
        <v>1</v>
      </c>
      <c r="AC27" s="1813">
        <f>D27/J27</f>
        <v>1</v>
      </c>
    </row>
    <row r="28" spans="1:29" ht="15.75" hidden="1" thickBot="1">
      <c r="A28" s="436"/>
      <c r="B28" s="1388">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2"/>
      <c r="M28" s="1133"/>
      <c r="N28" s="1133"/>
      <c r="O28" s="1141"/>
      <c r="P28" s="3232"/>
      <c r="Q28" s="1812">
        <f t="shared" si="11"/>
        <v>111</v>
      </c>
      <c r="R28" s="774" t="s">
        <v>17</v>
      </c>
      <c r="S28" s="775">
        <f t="shared" ref="S28:S40" si="12">F28</f>
        <v>100</v>
      </c>
      <c r="T28" s="774" t="s">
        <v>17</v>
      </c>
      <c r="U28" s="775">
        <f t="shared" ref="U28:U40" si="13">H28</f>
        <v>100</v>
      </c>
      <c r="V28" s="774" t="s">
        <v>17</v>
      </c>
      <c r="W28" s="775">
        <f t="shared" ref="W28:W40" si="14">J28</f>
        <v>100</v>
      </c>
      <c r="X28" s="1815"/>
      <c r="Y28" s="3232"/>
      <c r="Z28" s="1816">
        <f t="shared" ref="Z28:Z40" si="15">Q28</f>
        <v>111</v>
      </c>
      <c r="AA28" s="1813">
        <f t="shared" si="3"/>
        <v>1</v>
      </c>
      <c r="AB28" s="1813">
        <f t="shared" si="4"/>
        <v>1</v>
      </c>
      <c r="AC28" s="1813">
        <f t="shared" si="5"/>
        <v>1</v>
      </c>
    </row>
    <row r="29" spans="1:29" ht="15">
      <c r="A29" s="466" t="s">
        <v>2551</v>
      </c>
      <c r="B29" s="71" t="s">
        <v>2681</v>
      </c>
      <c r="C29" s="2675" t="s">
        <v>3121</v>
      </c>
      <c r="D29" s="467">
        <v>100</v>
      </c>
      <c r="E29" s="2675" t="s">
        <v>3121</v>
      </c>
      <c r="F29" s="461">
        <f>SUMIF(88:88,E29,89:89)-SUMIF(88:88,C29,89:89)+100</f>
        <v>100</v>
      </c>
      <c r="G29" s="2675" t="s">
        <v>3121</v>
      </c>
      <c r="H29" s="435">
        <f>SUMIF(88:88,G29,89:89)-SUMIF(88:88,C29,89:89)+100</f>
        <v>100</v>
      </c>
      <c r="I29" s="2675" t="s">
        <v>3121</v>
      </c>
      <c r="J29" s="467">
        <f>SUMIF(88:88,I29,89:89)-SUMIF(88:88,C29,89:89)+100</f>
        <v>100</v>
      </c>
      <c r="K29" s="612">
        <v>2</v>
      </c>
      <c r="L29" s="1142"/>
      <c r="M29" s="1133"/>
      <c r="N29" s="1133"/>
      <c r="O29" s="1141"/>
      <c r="P29" s="3255" t="s">
        <v>2553</v>
      </c>
      <c r="Q29" s="1812" t="str">
        <f t="shared" si="11"/>
        <v>建筑类型</v>
      </c>
      <c r="R29" s="774" t="s">
        <v>17</v>
      </c>
      <c r="S29" s="775">
        <f t="shared" si="12"/>
        <v>100</v>
      </c>
      <c r="T29" s="774" t="s">
        <v>17</v>
      </c>
      <c r="U29" s="775">
        <f t="shared" si="13"/>
        <v>100</v>
      </c>
      <c r="V29" s="774" t="s">
        <v>17</v>
      </c>
      <c r="W29" s="775">
        <f t="shared" si="14"/>
        <v>100</v>
      </c>
      <c r="X29" s="1815"/>
      <c r="Y29" s="3236" t="s">
        <v>2553</v>
      </c>
      <c r="Z29" s="1816" t="str">
        <f t="shared" si="15"/>
        <v>建筑类型</v>
      </c>
      <c r="AA29" s="1813">
        <f t="shared" si="3"/>
        <v>1</v>
      </c>
      <c r="AB29" s="1813">
        <f t="shared" si="4"/>
        <v>1</v>
      </c>
      <c r="AC29" s="1813">
        <f t="shared" si="5"/>
        <v>1</v>
      </c>
    </row>
    <row r="30" spans="1:29" s="471" customFormat="1" ht="15">
      <c r="A30" s="468"/>
      <c r="B30" s="422" t="s">
        <v>2554</v>
      </c>
      <c r="C30" s="469">
        <f>'数据-汇总表'!E3</f>
        <v>1246.4000000000001</v>
      </c>
      <c r="D30" s="136">
        <v>100</v>
      </c>
      <c r="E30" s="430">
        <v>2251</v>
      </c>
      <c r="F30" s="425">
        <f>LOOKUP(E30,91:91,92:92)-LOOKUP(C30,91:91,92:92)+100</f>
        <v>96</v>
      </c>
      <c r="G30" s="429">
        <v>1500</v>
      </c>
      <c r="H30" s="136">
        <f>LOOKUP(G30,91:91,92:92)-LOOKUP(C30,91:91,92:92)+100</f>
        <v>98</v>
      </c>
      <c r="I30" s="429">
        <v>200</v>
      </c>
      <c r="J30" s="136">
        <f>LOOKUP(I30,91:91,92:92)-LOOKUP(C30,91:91,92:92)+100</f>
        <v>102</v>
      </c>
      <c r="K30" s="613"/>
      <c r="L30" s="1140"/>
      <c r="M30" s="1143"/>
      <c r="N30" s="1143"/>
      <c r="O30" s="1144"/>
      <c r="P30" s="3236"/>
      <c r="Q30" s="776" t="str">
        <f t="shared" si="11"/>
        <v>项目建筑规模</v>
      </c>
      <c r="R30" s="777" t="s">
        <v>17</v>
      </c>
      <c r="S30" s="778">
        <f t="shared" si="12"/>
        <v>96</v>
      </c>
      <c r="T30" s="777" t="s">
        <v>17</v>
      </c>
      <c r="U30" s="778">
        <f t="shared" si="13"/>
        <v>98</v>
      </c>
      <c r="V30" s="777" t="s">
        <v>17</v>
      </c>
      <c r="W30" s="778">
        <f t="shared" si="14"/>
        <v>102</v>
      </c>
      <c r="X30" s="779"/>
      <c r="Y30" s="3236"/>
      <c r="Z30" s="780" t="str">
        <f t="shared" si="15"/>
        <v>项目建筑规模</v>
      </c>
      <c r="AA30" s="1813">
        <f t="shared" si="3"/>
        <v>1.0416666666666667</v>
      </c>
      <c r="AB30" s="1813">
        <f t="shared" si="4"/>
        <v>1.0204081632653061</v>
      </c>
      <c r="AC30" s="1813">
        <f t="shared" si="5"/>
        <v>0.98039215686274506</v>
      </c>
    </row>
    <row r="31" spans="1:29" ht="15">
      <c r="A31" s="472"/>
      <c r="B31" s="422" t="s">
        <v>2555</v>
      </c>
      <c r="C31" s="460" t="s">
        <v>3078</v>
      </c>
      <c r="D31" s="435">
        <v>100</v>
      </c>
      <c r="E31" s="460" t="s">
        <v>3078</v>
      </c>
      <c r="F31" s="461">
        <f>SUMIF(93:93,E31,94:94)-SUMIF(93:93,C31,94:94)+100</f>
        <v>100</v>
      </c>
      <c r="G31" s="460" t="s">
        <v>3078</v>
      </c>
      <c r="H31" s="435">
        <f>SUMIF(93:93,G31,94:94)-SUMIF(93:93,C31,94:94)+100</f>
        <v>100</v>
      </c>
      <c r="I31" s="460" t="s">
        <v>3078</v>
      </c>
      <c r="J31" s="435">
        <f>SUMIF(93:93,I31,94:94)-SUMIF(93:93,C31,94:94)+100</f>
        <v>100</v>
      </c>
      <c r="K31" s="612">
        <v>2</v>
      </c>
      <c r="L31" s="1142"/>
      <c r="M31" s="1133"/>
      <c r="N31" s="1133"/>
      <c r="O31" s="1141"/>
      <c r="P31" s="3236"/>
      <c r="Q31" s="1812" t="str">
        <f t="shared" si="11"/>
        <v>建筑结构</v>
      </c>
      <c r="R31" s="774" t="s">
        <v>17</v>
      </c>
      <c r="S31" s="775">
        <f t="shared" si="12"/>
        <v>100</v>
      </c>
      <c r="T31" s="774" t="s">
        <v>17</v>
      </c>
      <c r="U31" s="775">
        <f t="shared" si="13"/>
        <v>100</v>
      </c>
      <c r="V31" s="774" t="s">
        <v>17</v>
      </c>
      <c r="W31" s="775">
        <f t="shared" si="14"/>
        <v>100</v>
      </c>
      <c r="X31" s="1815"/>
      <c r="Y31" s="3236"/>
      <c r="Z31" s="1816" t="str">
        <f t="shared" si="15"/>
        <v>建筑结构</v>
      </c>
      <c r="AA31" s="1813">
        <f t="shared" si="3"/>
        <v>1</v>
      </c>
      <c r="AB31" s="1813">
        <f t="shared" si="4"/>
        <v>1</v>
      </c>
      <c r="AC31" s="1813">
        <f t="shared" si="5"/>
        <v>1</v>
      </c>
    </row>
    <row r="32" spans="1:29" ht="15">
      <c r="A32" s="472"/>
      <c r="B32" s="422" t="s">
        <v>2649</v>
      </c>
      <c r="C32" s="460" t="s">
        <v>3126</v>
      </c>
      <c r="D32" s="435">
        <v>100</v>
      </c>
      <c r="E32" s="460" t="s">
        <v>3126</v>
      </c>
      <c r="F32" s="461">
        <f>SUMIF(95:95,E32,96:96)-SUMIF(95:95,C32,96:96)+100</f>
        <v>100</v>
      </c>
      <c r="G32" s="460" t="s">
        <v>3126</v>
      </c>
      <c r="H32" s="435">
        <f>SUMIF(95:95,G32,96:96)-SUMIF(95:95,C32,96:96)+100</f>
        <v>100</v>
      </c>
      <c r="I32" s="460" t="s">
        <v>3126</v>
      </c>
      <c r="J32" s="435">
        <f>SUMIF(95:95,I32,96:96)-SUMIF(95:95,C32,96:96)+100</f>
        <v>100</v>
      </c>
      <c r="K32" s="612">
        <v>1</v>
      </c>
      <c r="L32" s="1142"/>
      <c r="M32" s="1133"/>
      <c r="N32" s="1133"/>
      <c r="O32" s="1141"/>
      <c r="P32" s="3236"/>
      <c r="Q32" s="1812" t="str">
        <f t="shared" si="11"/>
        <v>公共部分装修</v>
      </c>
      <c r="R32" s="774" t="s">
        <v>17</v>
      </c>
      <c r="S32" s="775">
        <f t="shared" si="12"/>
        <v>100</v>
      </c>
      <c r="T32" s="774" t="s">
        <v>17</v>
      </c>
      <c r="U32" s="775">
        <f t="shared" si="13"/>
        <v>100</v>
      </c>
      <c r="V32" s="774" t="s">
        <v>17</v>
      </c>
      <c r="W32" s="775">
        <f t="shared" si="14"/>
        <v>100</v>
      </c>
      <c r="X32" s="1815"/>
      <c r="Y32" s="3236"/>
      <c r="Z32" s="1816" t="str">
        <f t="shared" si="15"/>
        <v>公共部分装修</v>
      </c>
      <c r="AA32" s="1813">
        <f t="shared" si="3"/>
        <v>1</v>
      </c>
      <c r="AB32" s="1813">
        <f t="shared" si="4"/>
        <v>1</v>
      </c>
      <c r="AC32" s="1813">
        <f t="shared" si="5"/>
        <v>1</v>
      </c>
    </row>
    <row r="33" spans="1:29" ht="15">
      <c r="A33" s="472"/>
      <c r="B33" s="422" t="s">
        <v>2650</v>
      </c>
      <c r="C33" s="3313">
        <f>'数据-取费表'!N6</f>
        <v>0.95</v>
      </c>
      <c r="D33" s="435">
        <v>100</v>
      </c>
      <c r="E33" s="474">
        <f>ROUND(1-(1-0%)*(2018-2012)/60,2)</f>
        <v>0.9</v>
      </c>
      <c r="F33" s="461">
        <f>LOOKUP(E33,98:98,99:99)-LOOKUP(C33,98:98,99:99)+100</f>
        <v>100</v>
      </c>
      <c r="G33" s="474">
        <f>ROUND(1-(1-0%)*(2018-2012)/60,2)</f>
        <v>0.9</v>
      </c>
      <c r="H33" s="461">
        <f>LOOKUP(G33,98:98,99:99)-LOOKUP(C33,98:98,99:99)+100</f>
        <v>100</v>
      </c>
      <c r="I33" s="474">
        <f>C33</f>
        <v>0.95</v>
      </c>
      <c r="J33" s="435">
        <f>LOOKUP(I33,98:98,99:99)-LOOKUP(C33,98:98,99:99)+100</f>
        <v>100</v>
      </c>
      <c r="K33" s="612">
        <v>1</v>
      </c>
      <c r="L33" s="1142"/>
      <c r="M33" s="1133"/>
      <c r="N33" s="1133"/>
      <c r="O33" s="1141"/>
      <c r="P33" s="3236"/>
      <c r="Q33" s="1812" t="str">
        <f t="shared" si="11"/>
        <v>成新度</v>
      </c>
      <c r="R33" s="774" t="s">
        <v>17</v>
      </c>
      <c r="S33" s="775">
        <f t="shared" si="12"/>
        <v>100</v>
      </c>
      <c r="T33" s="774" t="s">
        <v>17</v>
      </c>
      <c r="U33" s="775">
        <f t="shared" si="13"/>
        <v>100</v>
      </c>
      <c r="V33" s="774" t="s">
        <v>17</v>
      </c>
      <c r="W33" s="775">
        <f t="shared" si="14"/>
        <v>100</v>
      </c>
      <c r="X33" s="1815"/>
      <c r="Y33" s="3236"/>
      <c r="Z33" s="1816" t="str">
        <f t="shared" si="15"/>
        <v>成新度</v>
      </c>
      <c r="AA33" s="1813">
        <f t="shared" si="3"/>
        <v>1</v>
      </c>
      <c r="AB33" s="1813">
        <f t="shared" si="4"/>
        <v>1</v>
      </c>
      <c r="AC33" s="1813">
        <f t="shared" si="5"/>
        <v>1</v>
      </c>
    </row>
    <row r="34" spans="1:29" s="117" customFormat="1" ht="15">
      <c r="A34" s="473"/>
      <c r="B34" s="422" t="s">
        <v>2683</v>
      </c>
      <c r="C34" s="460" t="s">
        <v>3132</v>
      </c>
      <c r="D34" s="136">
        <v>100</v>
      </c>
      <c r="E34" s="460" t="s">
        <v>3132</v>
      </c>
      <c r="F34" s="461">
        <f>SUMIF(100:100,E34,101:101)-SUMIF(100:100,C34,101:101)+100</f>
        <v>100</v>
      </c>
      <c r="G34" s="460" t="s">
        <v>3132</v>
      </c>
      <c r="H34" s="435">
        <f>SUMIF(100:100,G34,101:101)-SUMIF(100:100,C34,101:101)+100</f>
        <v>100</v>
      </c>
      <c r="I34" s="460" t="s">
        <v>3132</v>
      </c>
      <c r="J34" s="435">
        <f>SUMIF(100:100,I34,101:101)-SUMIF(100:100,C34,101:101)+100</f>
        <v>100</v>
      </c>
      <c r="K34" s="612">
        <v>2</v>
      </c>
      <c r="L34" s="1134"/>
      <c r="M34" s="1135"/>
      <c r="N34" s="1135"/>
      <c r="O34" s="1136"/>
      <c r="P34" s="3236"/>
      <c r="Q34" s="1797" t="str">
        <f t="shared" si="11"/>
        <v>物业管理</v>
      </c>
      <c r="R34" s="770" t="s">
        <v>17</v>
      </c>
      <c r="S34" s="771">
        <f t="shared" si="12"/>
        <v>100</v>
      </c>
      <c r="T34" s="770" t="s">
        <v>17</v>
      </c>
      <c r="U34" s="771">
        <f t="shared" si="13"/>
        <v>100</v>
      </c>
      <c r="V34" s="770" t="s">
        <v>17</v>
      </c>
      <c r="W34" s="771">
        <f t="shared" si="14"/>
        <v>100</v>
      </c>
      <c r="X34" s="772"/>
      <c r="Y34" s="3236"/>
      <c r="Z34" s="55" t="str">
        <f t="shared" si="15"/>
        <v>物业管理</v>
      </c>
      <c r="AA34" s="773">
        <f t="shared" si="3"/>
        <v>1</v>
      </c>
      <c r="AB34" s="773">
        <f t="shared" si="4"/>
        <v>1</v>
      </c>
      <c r="AC34" s="773">
        <f t="shared" si="5"/>
        <v>1</v>
      </c>
    </row>
    <row r="35" spans="1:29" ht="15">
      <c r="A35" s="472"/>
      <c r="B35" s="422" t="s">
        <v>2651</v>
      </c>
      <c r="C35" s="460" t="s">
        <v>3135</v>
      </c>
      <c r="D35" s="435">
        <v>100</v>
      </c>
      <c r="E35" s="460" t="s">
        <v>3135</v>
      </c>
      <c r="F35" s="461">
        <f>SUMIF(102:102,E35,103:103)-SUMIF(102:102,C35,103:103)+100</f>
        <v>100</v>
      </c>
      <c r="G35" s="460" t="s">
        <v>3135</v>
      </c>
      <c r="H35" s="435">
        <f>SUMIF(102:102,G35,103:103)-SUMIF(102:102,C35,103:103)+100</f>
        <v>100</v>
      </c>
      <c r="I35" s="460" t="s">
        <v>3135</v>
      </c>
      <c r="J35" s="435">
        <f>SUMIF(102:102,I35,103:103)-SUMIF(102:102,C35,103:103)+100</f>
        <v>100</v>
      </c>
      <c r="K35" s="612">
        <v>1</v>
      </c>
      <c r="L35" s="1142"/>
      <c r="M35" s="1133"/>
      <c r="N35" s="1133"/>
      <c r="O35" s="1141"/>
      <c r="P35" s="3236" t="s">
        <v>2553</v>
      </c>
      <c r="Q35" s="1812" t="str">
        <f t="shared" si="11"/>
        <v>市政基础设施</v>
      </c>
      <c r="R35" s="774" t="s">
        <v>17</v>
      </c>
      <c r="S35" s="775">
        <f t="shared" si="12"/>
        <v>100</v>
      </c>
      <c r="T35" s="774" t="s">
        <v>17</v>
      </c>
      <c r="U35" s="775">
        <f t="shared" si="13"/>
        <v>100</v>
      </c>
      <c r="V35" s="774" t="s">
        <v>17</v>
      </c>
      <c r="W35" s="775">
        <f t="shared" si="14"/>
        <v>100</v>
      </c>
      <c r="X35" s="1815"/>
      <c r="Y35" s="3236" t="s">
        <v>2553</v>
      </c>
      <c r="Z35" s="1816" t="str">
        <f t="shared" si="15"/>
        <v>市政基础设施</v>
      </c>
      <c r="AA35" s="1813">
        <f t="shared" si="3"/>
        <v>1</v>
      </c>
      <c r="AB35" s="1813">
        <f t="shared" si="4"/>
        <v>1</v>
      </c>
      <c r="AC35" s="1813">
        <f t="shared" si="5"/>
        <v>1</v>
      </c>
    </row>
    <row r="36" spans="1:29" ht="15">
      <c r="A36" s="472"/>
      <c r="B36" s="422" t="s">
        <v>2656</v>
      </c>
      <c r="C36" s="460" t="s">
        <v>3126</v>
      </c>
      <c r="D36" s="435">
        <v>100</v>
      </c>
      <c r="E36" s="460" t="s">
        <v>3128</v>
      </c>
      <c r="F36" s="461">
        <f>SUMIF(104:104,E36,105:105)-SUMIF(104:104,C36,105:105)+100</f>
        <v>98</v>
      </c>
      <c r="G36" s="460" t="s">
        <v>3128</v>
      </c>
      <c r="H36" s="435">
        <f>SUMIF(104:104,G36,105:105)-SUMIF(104:104,C36,105:105)+100</f>
        <v>98</v>
      </c>
      <c r="I36" s="460" t="s">
        <v>3126</v>
      </c>
      <c r="J36" s="435">
        <f>SUMIF(104:104,I36,105:105)-SUMIF(104:104,C36,105:105)+100</f>
        <v>100</v>
      </c>
      <c r="K36" s="612">
        <v>2</v>
      </c>
      <c r="L36" s="1142"/>
      <c r="M36" s="1133"/>
      <c r="N36" s="1133"/>
      <c r="O36" s="1141"/>
      <c r="P36" s="3236"/>
      <c r="Q36" s="1812" t="str">
        <f t="shared" si="11"/>
        <v>内部装修</v>
      </c>
      <c r="R36" s="774" t="s">
        <v>17</v>
      </c>
      <c r="S36" s="775">
        <f t="shared" si="12"/>
        <v>98</v>
      </c>
      <c r="T36" s="774" t="s">
        <v>17</v>
      </c>
      <c r="U36" s="775">
        <f t="shared" si="13"/>
        <v>98</v>
      </c>
      <c r="V36" s="774" t="s">
        <v>17</v>
      </c>
      <c r="W36" s="775">
        <f t="shared" si="14"/>
        <v>100</v>
      </c>
      <c r="X36" s="1815"/>
      <c r="Y36" s="3236"/>
      <c r="Z36" s="1816" t="str">
        <f t="shared" si="15"/>
        <v>内部装修</v>
      </c>
      <c r="AA36" s="1813">
        <f t="shared" si="3"/>
        <v>1.0204081632653061</v>
      </c>
      <c r="AB36" s="1813">
        <f t="shared" si="4"/>
        <v>1.0204081632653061</v>
      </c>
      <c r="AC36" s="1813">
        <f t="shared" si="5"/>
        <v>1</v>
      </c>
    </row>
    <row r="37" spans="1:29" ht="15.75" thickBot="1">
      <c r="A37" s="472"/>
      <c r="B37" s="422" t="s">
        <v>2692</v>
      </c>
      <c r="C37" s="616" t="s">
        <v>3118</v>
      </c>
      <c r="D37" s="435">
        <v>100</v>
      </c>
      <c r="E37" s="616" t="s">
        <v>3118</v>
      </c>
      <c r="F37" s="461">
        <f>SUMIF(106:106,E37,107:107)-SUMIF(106:106,C37,107:107)+100</f>
        <v>100</v>
      </c>
      <c r="G37" s="616" t="s">
        <v>3118</v>
      </c>
      <c r="H37" s="435">
        <f>SUMIF(106:106,G37,107:107)-SUMIF(106:106,C37,107:107)+100</f>
        <v>100</v>
      </c>
      <c r="I37" s="616" t="s">
        <v>3118</v>
      </c>
      <c r="J37" s="435">
        <f>SUMIF(106:106,I37,107:107)-SUMIF(106:106,C37,107:107)+100</f>
        <v>100</v>
      </c>
      <c r="K37" s="612">
        <v>1</v>
      </c>
      <c r="L37" s="1142"/>
      <c r="M37" s="1133"/>
      <c r="N37" s="1133"/>
      <c r="O37" s="1141"/>
      <c r="P37" s="3236"/>
      <c r="Q37" s="1812" t="str">
        <f t="shared" si="11"/>
        <v>内部装修状况</v>
      </c>
      <c r="R37" s="774" t="s">
        <v>17</v>
      </c>
      <c r="S37" s="775">
        <f t="shared" si="12"/>
        <v>100</v>
      </c>
      <c r="T37" s="774" t="s">
        <v>17</v>
      </c>
      <c r="U37" s="775">
        <f t="shared" si="13"/>
        <v>100</v>
      </c>
      <c r="V37" s="774" t="s">
        <v>17</v>
      </c>
      <c r="W37" s="775">
        <f t="shared" si="14"/>
        <v>100</v>
      </c>
      <c r="X37" s="1815"/>
      <c r="Y37" s="3236"/>
      <c r="Z37" s="1816" t="str">
        <f t="shared" si="15"/>
        <v>内部装修状况</v>
      </c>
      <c r="AA37" s="1813">
        <f t="shared" si="3"/>
        <v>1</v>
      </c>
      <c r="AB37" s="1813">
        <f t="shared" si="4"/>
        <v>1</v>
      </c>
      <c r="AC37" s="1813">
        <f t="shared" si="5"/>
        <v>1</v>
      </c>
    </row>
    <row r="38" spans="1:29" s="471" customFormat="1" ht="15" hidden="1">
      <c r="A38" s="468"/>
      <c r="B38" s="1388">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0"/>
      <c r="M38" s="1143"/>
      <c r="N38" s="1143"/>
      <c r="O38" s="1144"/>
      <c r="P38" s="3236"/>
      <c r="Q38" s="776">
        <f t="shared" si="11"/>
        <v>111</v>
      </c>
      <c r="R38" s="777" t="s">
        <v>17</v>
      </c>
      <c r="S38" s="778">
        <f t="shared" si="12"/>
        <v>100</v>
      </c>
      <c r="T38" s="777" t="s">
        <v>17</v>
      </c>
      <c r="U38" s="778">
        <f t="shared" si="13"/>
        <v>100</v>
      </c>
      <c r="V38" s="777" t="s">
        <v>17</v>
      </c>
      <c r="W38" s="778">
        <f t="shared" si="14"/>
        <v>100</v>
      </c>
      <c r="X38" s="779"/>
      <c r="Y38" s="3236"/>
      <c r="Z38" s="780">
        <f t="shared" si="15"/>
        <v>111</v>
      </c>
      <c r="AA38" s="1813">
        <f t="shared" si="3"/>
        <v>1</v>
      </c>
      <c r="AB38" s="1813">
        <f t="shared" si="4"/>
        <v>1</v>
      </c>
      <c r="AC38" s="1813">
        <f t="shared" si="5"/>
        <v>1</v>
      </c>
    </row>
    <row r="39" spans="1:29" ht="15" hidden="1">
      <c r="A39" s="472"/>
      <c r="B39" s="1388">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2"/>
      <c r="M39" s="1133"/>
      <c r="N39" s="1133"/>
      <c r="O39" s="1141"/>
      <c r="P39" s="3236"/>
      <c r="Q39" s="1812">
        <f t="shared" si="11"/>
        <v>111</v>
      </c>
      <c r="R39" s="774" t="s">
        <v>17</v>
      </c>
      <c r="S39" s="775">
        <f t="shared" si="12"/>
        <v>100</v>
      </c>
      <c r="T39" s="774" t="s">
        <v>17</v>
      </c>
      <c r="U39" s="775">
        <f t="shared" si="13"/>
        <v>100</v>
      </c>
      <c r="V39" s="774" t="s">
        <v>17</v>
      </c>
      <c r="W39" s="775">
        <f t="shared" si="14"/>
        <v>100</v>
      </c>
      <c r="X39" s="1815"/>
      <c r="Y39" s="3236"/>
      <c r="Z39" s="1816">
        <f t="shared" si="15"/>
        <v>111</v>
      </c>
      <c r="AA39" s="1813">
        <f t="shared" si="3"/>
        <v>1</v>
      </c>
      <c r="AB39" s="1813">
        <f t="shared" si="4"/>
        <v>1</v>
      </c>
      <c r="AC39" s="1813">
        <f t="shared" si="5"/>
        <v>1</v>
      </c>
    </row>
    <row r="40" spans="1:29" ht="15.75" hidden="1" thickBot="1">
      <c r="A40" s="478"/>
      <c r="B40" s="259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2"/>
      <c r="M40" s="1133"/>
      <c r="N40" s="1133"/>
      <c r="O40" s="1141"/>
      <c r="P40" s="3237"/>
      <c r="Q40" s="1812">
        <f t="shared" si="11"/>
        <v>111</v>
      </c>
      <c r="R40" s="774" t="s">
        <v>17</v>
      </c>
      <c r="S40" s="775">
        <f t="shared" si="12"/>
        <v>100</v>
      </c>
      <c r="T40" s="774" t="s">
        <v>17</v>
      </c>
      <c r="U40" s="775">
        <f t="shared" si="13"/>
        <v>100</v>
      </c>
      <c r="V40" s="774" t="s">
        <v>17</v>
      </c>
      <c r="W40" s="775">
        <f t="shared" si="14"/>
        <v>100</v>
      </c>
      <c r="X40" s="1815"/>
      <c r="Y40" s="3237"/>
      <c r="Z40" s="1816">
        <f t="shared" si="15"/>
        <v>111</v>
      </c>
      <c r="AA40" s="1813">
        <f t="shared" si="3"/>
        <v>1</v>
      </c>
      <c r="AB40" s="1813">
        <f t="shared" si="4"/>
        <v>1</v>
      </c>
      <c r="AC40" s="1813">
        <f t="shared" si="5"/>
        <v>1</v>
      </c>
    </row>
    <row r="41" spans="1:29" ht="15">
      <c r="A41" s="479" t="s">
        <v>2565</v>
      </c>
      <c r="B41" s="480"/>
      <c r="C41" s="1409" t="s">
        <v>1</v>
      </c>
      <c r="D41" s="1410"/>
      <c r="E41" s="1411">
        <f>E56</f>
        <v>18992</v>
      </c>
      <c r="F41" s="1412"/>
      <c r="G41" s="1413">
        <f>F56</f>
        <v>19000</v>
      </c>
      <c r="H41" s="1414"/>
      <c r="I41" s="1411">
        <f>G56</f>
        <v>23750</v>
      </c>
      <c r="J41" s="1414"/>
      <c r="K41" s="783"/>
      <c r="L41" s="1145"/>
      <c r="M41" s="1146"/>
      <c r="N41" s="1133"/>
      <c r="O41" s="1146"/>
      <c r="P41" s="3229" t="str">
        <f>A41</f>
        <v>成交单价（元/平方米）</v>
      </c>
      <c r="Q41" s="3229"/>
      <c r="R41" s="3230">
        <f>E41</f>
        <v>18992</v>
      </c>
      <c r="S41" s="3230"/>
      <c r="T41" s="3230">
        <f>G41</f>
        <v>19000</v>
      </c>
      <c r="U41" s="3230"/>
      <c r="V41" s="3230">
        <f>I41</f>
        <v>23750</v>
      </c>
      <c r="W41" s="3230"/>
      <c r="X41" s="759"/>
      <c r="Y41" s="781"/>
      <c r="Z41" s="759"/>
      <c r="AA41" s="759"/>
      <c r="AB41" s="759"/>
      <c r="AC41" s="759"/>
    </row>
    <row r="42" spans="1:29" ht="15.75" thickBot="1">
      <c r="A42" s="486" t="s">
        <v>2657</v>
      </c>
      <c r="B42" s="487"/>
      <c r="C42" s="1415">
        <f>R43</f>
        <v>20953</v>
      </c>
      <c r="D42" s="1416"/>
      <c r="E42" s="1417">
        <f>R42</f>
        <v>19987</v>
      </c>
      <c r="F42" s="1417"/>
      <c r="G42" s="1415">
        <f>T42</f>
        <v>19588</v>
      </c>
      <c r="H42" s="1416"/>
      <c r="I42" s="1417">
        <f>V42</f>
        <v>23284</v>
      </c>
      <c r="J42" s="1416"/>
      <c r="K42" s="784"/>
      <c r="L42" s="1145"/>
      <c r="M42" s="1146"/>
      <c r="N42" s="1133"/>
      <c r="O42" s="1146"/>
      <c r="P42" s="3229" t="str">
        <f>A42</f>
        <v>比较价值（元/平方米）</v>
      </c>
      <c r="Q42" s="3229"/>
      <c r="R42" s="3230">
        <f>IF(F1="售价",ROUND(PRODUCT(R41,AA7:AA40),0),ROUND(PRODUCT(R41,AA7:AA40),1))</f>
        <v>19987</v>
      </c>
      <c r="S42" s="3230"/>
      <c r="T42" s="3230">
        <f>IF(F1="售价",ROUND(PRODUCT(T41,AB7:AB40),0),ROUND(PRODUCT(T41,AB7:AB40),1))</f>
        <v>19588</v>
      </c>
      <c r="U42" s="3230"/>
      <c r="V42" s="3230">
        <f>IF(F1="售价",ROUND(PRODUCT(V41,AC7:AC40),0),ROUND(PRODUCT(V41,AC7:AC40),1))</f>
        <v>23284</v>
      </c>
      <c r="W42" s="3230"/>
      <c r="X42" s="759"/>
      <c r="Y42" s="759"/>
      <c r="Z42" s="759"/>
      <c r="AA42" s="759"/>
      <c r="AB42" s="759"/>
      <c r="AC42" s="759"/>
    </row>
    <row r="43" spans="1:29" ht="15.75" thickBot="1">
      <c r="A43" s="492" t="s">
        <v>2658</v>
      </c>
      <c r="B43" s="493"/>
      <c r="C43" s="1419">
        <f>R43</f>
        <v>20953</v>
      </c>
      <c r="D43" s="1419"/>
      <c r="E43" s="1419"/>
      <c r="F43" s="1419"/>
      <c r="G43" s="1419"/>
      <c r="H43" s="1419"/>
      <c r="I43" s="1419"/>
      <c r="J43" s="1419"/>
      <c r="K43" s="785"/>
      <c r="L43" s="1145"/>
      <c r="M43" s="1146"/>
      <c r="N43" s="1146"/>
      <c r="O43" s="1146"/>
      <c r="P43" s="3226" t="str">
        <f>A43</f>
        <v>估价对象XX用房的比较价值（楼面单价，元/平方米）</v>
      </c>
      <c r="Q43" s="3227"/>
      <c r="R43" s="3228">
        <f>IF(F1="售价",ROUND(AVERAGE(R42:V42),0),ROUND(AVERAGE(R42:V42),1))</f>
        <v>20953</v>
      </c>
      <c r="S43" s="3228"/>
      <c r="T43" s="3228"/>
      <c r="U43" s="3228"/>
      <c r="V43" s="3228"/>
      <c r="W43" s="3228"/>
      <c r="X43" s="759"/>
      <c r="Y43" s="759"/>
      <c r="Z43" s="759"/>
      <c r="AA43" s="759"/>
      <c r="AB43" s="759"/>
      <c r="AC43" s="759"/>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7" t="s">
        <v>2659</v>
      </c>
      <c r="D46" s="498"/>
      <c r="E46" s="499">
        <f>IF(E41&lt;E42,E42/E41-1,E41/E42-1)</f>
        <v>5.2390480202190393E-2</v>
      </c>
      <c r="F46" s="500" t="str">
        <f>IF(OR(E46&gt;=0.3,E46&lt;=-0.3),"超过30%","")</f>
        <v/>
      </c>
      <c r="G46" s="499">
        <f>IF(G41&lt;G42,G42/G41-1,G41/G42-1)</f>
        <v>3.0947368421052612E-2</v>
      </c>
      <c r="H46" s="500" t="str">
        <f>IF(OR(G46&gt;=0.3,G46&lt;=-0.3),"超过30%","")</f>
        <v/>
      </c>
      <c r="I46" s="499">
        <f>IF(I41&lt;I42,I42/I41-1,I41/I42-1)</f>
        <v>2.0013743343068269E-2</v>
      </c>
      <c r="J46" s="500" t="str">
        <f>IF(OR(I46&gt;=0.3,I46&lt;=-0.3),"超过30%","")</f>
        <v/>
      </c>
      <c r="K46" s="1107"/>
      <c r="L46" s="1108"/>
      <c r="M46" s="1146"/>
      <c r="N46" s="1146"/>
      <c r="O46" s="1146"/>
    </row>
    <row r="47" spans="1:29" ht="13.5" customHeight="1">
      <c r="A47" s="1146"/>
      <c r="B47" s="1146"/>
      <c r="C47" s="497" t="s">
        <v>2660</v>
      </c>
      <c r="D47" s="501"/>
      <c r="E47" s="499">
        <f>IF(E42&lt;G42,G42/E42-1,E42/G42-1)</f>
        <v>2.0369614049418061E-2</v>
      </c>
      <c r="F47" s="500" t="str">
        <f>IF(OR(E47&gt;=0.2,E47&lt;=-0.2),"超过20%","")</f>
        <v/>
      </c>
      <c r="G47" s="499">
        <f>IF(G42&lt;I42,I42/G42-1,G42/I42-1)</f>
        <v>0.18868695119460899</v>
      </c>
      <c r="H47" s="500" t="str">
        <f>IF(OR(G47&gt;=0.2,G47&lt;=-0.2),"超过20%","")</f>
        <v/>
      </c>
      <c r="I47" s="499">
        <f>IF(I42&lt;E42,E42/I42-1,I42/E42-1)</f>
        <v>0.16495722219442643</v>
      </c>
      <c r="J47" s="500" t="str">
        <f>IF(OR(I47&gt;=0.2,I47&lt;=-0.2),"超过20%","")</f>
        <v/>
      </c>
      <c r="K47" s="1107"/>
      <c r="L47" s="1108"/>
      <c r="M47" s="1146"/>
      <c r="N47" s="1146"/>
      <c r="O47" s="1146"/>
    </row>
    <row r="48" spans="1:29" s="502" customFormat="1" ht="13.5" customHeight="1">
      <c r="A48" s="1147"/>
      <c r="B48" s="1147"/>
      <c r="C48" s="497" t="s">
        <v>2661</v>
      </c>
      <c r="D48" s="501"/>
      <c r="E48" s="499">
        <f>IF(E41&lt;G41,G41/E41-1,E41/G41-1)</f>
        <v>4.212299915753448E-4</v>
      </c>
      <c r="F48" s="500" t="str">
        <f>IF(OR(E48&gt;=0.3,E48&lt;=-0.3),"超过30%","")</f>
        <v/>
      </c>
      <c r="G48" s="499">
        <f>IF(G41&lt;I41,I41/G41-1,G41/I41-1)</f>
        <v>0.25</v>
      </c>
      <c r="H48" s="500" t="str">
        <f>IF(OR(G48&gt;=0.3,G48&lt;=-0.3),"超过30%","")</f>
        <v/>
      </c>
      <c r="I48" s="499">
        <f>IF(I41&lt;E41,E41/I41-1,I41/E41-1)</f>
        <v>0.25052653748946918</v>
      </c>
      <c r="J48" s="500" t="str">
        <f>IF(OR(I48&gt;=0.3,I48&lt;=-0.3),"超过30%","")</f>
        <v/>
      </c>
      <c r="K48" s="1150"/>
      <c r="L48" s="1151"/>
      <c r="M48" s="1147"/>
      <c r="N48" s="1147"/>
      <c r="O48" s="1147"/>
    </row>
    <row r="49" spans="1:17" s="502"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3" t="s">
        <v>2662</v>
      </c>
      <c r="B51" s="759"/>
      <c r="C51" s="764"/>
      <c r="D51" s="764"/>
      <c r="E51" s="764"/>
      <c r="F51" s="765"/>
      <c r="G51" s="765"/>
      <c r="H51" s="764"/>
      <c r="I51" s="764"/>
      <c r="J51" s="764"/>
      <c r="K51" s="1162"/>
      <c r="L51" s="1163"/>
      <c r="M51" s="1161"/>
      <c r="N51" s="1161"/>
      <c r="O51" s="1161"/>
      <c r="P51" s="503"/>
      <c r="Q51" s="504"/>
    </row>
    <row r="52" spans="1:17" s="508" customFormat="1" ht="15">
      <c r="A52" s="505" t="s">
        <v>2536</v>
      </c>
      <c r="B52" s="506"/>
      <c r="C52" s="1576" t="str">
        <f>YEAR(C7)&amp;"-"&amp;MONTH(C7)</f>
        <v>2018-3</v>
      </c>
      <c r="D52" s="1577">
        <f>EDATE(C52,-1)</f>
        <v>43132</v>
      </c>
      <c r="E52" s="1577">
        <f t="shared" ref="E52:O52" si="16">EDATE(D52,-1)</f>
        <v>43101</v>
      </c>
      <c r="F52" s="1577">
        <f t="shared" si="16"/>
        <v>43070</v>
      </c>
      <c r="G52" s="1577">
        <f t="shared" si="16"/>
        <v>43040</v>
      </c>
      <c r="H52" s="1577">
        <f t="shared" si="16"/>
        <v>43009</v>
      </c>
      <c r="I52" s="1577">
        <f t="shared" si="16"/>
        <v>42979</v>
      </c>
      <c r="J52" s="1577">
        <f t="shared" si="16"/>
        <v>42948</v>
      </c>
      <c r="K52" s="1577">
        <f t="shared" si="16"/>
        <v>42917</v>
      </c>
      <c r="L52" s="1577">
        <f t="shared" si="16"/>
        <v>42887</v>
      </c>
      <c r="M52" s="1577">
        <f t="shared" si="16"/>
        <v>42856</v>
      </c>
      <c r="N52" s="1577">
        <f t="shared" si="16"/>
        <v>42826</v>
      </c>
      <c r="O52" s="1577">
        <f t="shared" si="16"/>
        <v>42795</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v>0.95</v>
      </c>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v>4500</v>
      </c>
      <c r="F55" s="523">
        <v>3000</v>
      </c>
      <c r="G55" s="523">
        <v>500</v>
      </c>
      <c r="H55" s="523"/>
      <c r="I55" s="523"/>
      <c r="J55" s="523"/>
      <c r="K55" s="523"/>
      <c r="L55" s="524"/>
      <c r="M55" s="525"/>
      <c r="N55" s="1153"/>
      <c r="O55" s="1153"/>
      <c r="P55" s="526"/>
      <c r="Q55" s="504"/>
    </row>
    <row r="56" spans="1:17" s="117" customFormat="1" ht="15.75" thickBot="1">
      <c r="A56" s="521"/>
      <c r="B56" s="510"/>
      <c r="C56" s="639">
        <v>100</v>
      </c>
      <c r="D56" s="512"/>
      <c r="E56" s="512">
        <f>ROUND(E55*10000*$D$54/E30,0)</f>
        <v>18992</v>
      </c>
      <c r="F56" s="512">
        <f>ROUND(F55*10000*$D$54/G30,0)</f>
        <v>19000</v>
      </c>
      <c r="G56" s="512">
        <f>ROUND(G55*10000*$D$54/I30,0)</f>
        <v>23750</v>
      </c>
      <c r="H56" s="512"/>
      <c r="I56" s="512"/>
      <c r="J56" s="512"/>
      <c r="K56" s="512"/>
      <c r="L56" s="512"/>
      <c r="M56" s="514"/>
      <c r="N56" s="1153"/>
      <c r="O56" s="1153"/>
      <c r="P56" s="504"/>
      <c r="Q56" s="504"/>
    </row>
    <row r="57" spans="1:17">
      <c r="A57" s="527" t="s">
        <v>2576</v>
      </c>
      <c r="B57" s="528" t="s">
        <v>2542</v>
      </c>
      <c r="C57" s="529" t="str">
        <f>C9</f>
        <v>工业</v>
      </c>
      <c r="D57" s="530"/>
      <c r="E57" s="530"/>
      <c r="F57" s="530"/>
      <c r="G57" s="530"/>
      <c r="H57" s="530"/>
      <c r="I57" s="530"/>
      <c r="J57" s="530"/>
      <c r="K57" s="531"/>
      <c r="L57" s="532"/>
      <c r="M57" s="533"/>
      <c r="N57" s="1154"/>
      <c r="O57" s="1154"/>
      <c r="P57" s="45"/>
      <c r="Q57" s="504"/>
    </row>
    <row r="58" spans="1:17" ht="15.75" thickBot="1">
      <c r="A58" s="534"/>
      <c r="B58" s="535"/>
      <c r="C58" s="536">
        <v>100</v>
      </c>
      <c r="D58" s="536"/>
      <c r="E58" s="536"/>
      <c r="F58" s="536"/>
      <c r="G58" s="536"/>
      <c r="H58" s="536"/>
      <c r="I58" s="536"/>
      <c r="J58" s="536"/>
      <c r="K58" s="536"/>
      <c r="L58" s="536"/>
      <c r="M58" s="537"/>
      <c r="N58" s="1155"/>
      <c r="O58" s="1155"/>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4"/>
      <c r="O59" s="1154"/>
      <c r="P59" s="45"/>
      <c r="Q59" s="504"/>
    </row>
    <row r="60" spans="1:17" ht="15.75" thickBot="1">
      <c r="A60" s="534"/>
      <c r="B60" s="543"/>
      <c r="C60" s="544" t="s">
        <v>24</v>
      </c>
      <c r="D60" s="544" t="s">
        <v>25</v>
      </c>
      <c r="E60" s="544">
        <v>100</v>
      </c>
      <c r="F60" s="544">
        <f>E60-$K10</f>
        <v>99</v>
      </c>
      <c r="G60" s="544">
        <f>F60-$K10</f>
        <v>98</v>
      </c>
      <c r="H60" s="544">
        <f>G60-$K10</f>
        <v>97</v>
      </c>
      <c r="I60" s="544">
        <f>H60-$K10</f>
        <v>96</v>
      </c>
      <c r="J60" s="544"/>
      <c r="K60" s="544"/>
      <c r="L60" s="544"/>
      <c r="M60" s="545"/>
      <c r="N60" s="1155"/>
      <c r="O60" s="1155"/>
      <c r="P60" s="45"/>
      <c r="Q60" s="504"/>
    </row>
    <row r="61" spans="1:17" ht="15.75" thickTop="1">
      <c r="A61" s="534"/>
      <c r="B61" s="546" t="s">
        <v>2546</v>
      </c>
      <c r="C61" s="547" t="str">
        <f>C62&amp;"（含）"&amp;"-"&amp;D62</f>
        <v>0（含）-1</v>
      </c>
      <c r="D61" s="547" t="str">
        <f t="shared" ref="D61:L61" si="17">D62&amp;"（含）"&amp;"-"&amp;E62</f>
        <v>1（含）-2</v>
      </c>
      <c r="E61" s="547" t="str">
        <f t="shared" si="17"/>
        <v>2（含）-3</v>
      </c>
      <c r="F61" s="547" t="str">
        <f t="shared" si="17"/>
        <v>3（含）-4</v>
      </c>
      <c r="G61" s="547" t="str">
        <f t="shared" si="17"/>
        <v>4（含）-5</v>
      </c>
      <c r="H61" s="547" t="str">
        <f t="shared" si="17"/>
        <v>5（含）-</v>
      </c>
      <c r="I61" s="547" t="str">
        <f t="shared" si="17"/>
        <v>（含）-</v>
      </c>
      <c r="J61" s="547" t="str">
        <f t="shared" si="17"/>
        <v>（含）-</v>
      </c>
      <c r="K61" s="547" t="str">
        <f t="shared" si="17"/>
        <v>（含）-</v>
      </c>
      <c r="L61" s="547" t="str">
        <f t="shared" si="17"/>
        <v>（含）-</v>
      </c>
      <c r="M61" s="448" t="str">
        <f>M62&amp;"（含）"&amp;"-"&amp;P62</f>
        <v>（含）-</v>
      </c>
      <c r="N61" s="1155"/>
      <c r="O61" s="1155"/>
      <c r="P61" s="45"/>
      <c r="Q61" s="504"/>
    </row>
    <row r="62" spans="1:17" ht="15">
      <c r="A62" s="534"/>
      <c r="B62" s="548"/>
      <c r="C62" s="549">
        <v>0</v>
      </c>
      <c r="D62" s="549">
        <v>1</v>
      </c>
      <c r="E62" s="549">
        <v>2</v>
      </c>
      <c r="F62" s="549">
        <v>3</v>
      </c>
      <c r="G62" s="549">
        <v>4</v>
      </c>
      <c r="H62" s="549">
        <v>5</v>
      </c>
      <c r="I62" s="549"/>
      <c r="J62" s="549"/>
      <c r="K62" s="550"/>
      <c r="L62" s="551"/>
      <c r="M62" s="552"/>
      <c r="N62" s="1154"/>
      <c r="O62" s="1154"/>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5"/>
      <c r="O63" s="1155"/>
      <c r="P63" s="45"/>
      <c r="Q63" s="504"/>
    </row>
    <row r="64" spans="1:17" s="471" customFormat="1" ht="15.75" thickTop="1">
      <c r="A64" s="553"/>
      <c r="B64" s="538">
        <f>B12</f>
        <v>111</v>
      </c>
      <c r="C64" s="554"/>
      <c r="D64" s="554"/>
      <c r="E64" s="554"/>
      <c r="F64" s="554"/>
      <c r="G64" s="554"/>
      <c r="H64" s="555"/>
      <c r="I64" s="555"/>
      <c r="J64" s="555"/>
      <c r="K64" s="555"/>
      <c r="L64" s="556"/>
      <c r="M64" s="557"/>
      <c r="N64" s="1156"/>
      <c r="O64" s="1156"/>
      <c r="P64" s="558"/>
      <c r="Q64" s="559"/>
    </row>
    <row r="65" spans="1:17" s="471" customFormat="1" ht="15.75" thickBot="1">
      <c r="A65" s="553"/>
      <c r="B65" s="543"/>
      <c r="C65" s="560"/>
      <c r="D65" s="536"/>
      <c r="E65" s="536"/>
      <c r="F65" s="536"/>
      <c r="G65" s="536"/>
      <c r="H65" s="536"/>
      <c r="I65" s="536"/>
      <c r="J65" s="536"/>
      <c r="K65" s="536"/>
      <c r="L65" s="536"/>
      <c r="M65" s="537"/>
      <c r="N65" s="1155"/>
      <c r="O65" s="1155"/>
      <c r="P65" s="558"/>
      <c r="Q65" s="559"/>
    </row>
    <row r="66" spans="1:17" s="471" customFormat="1" ht="15.75" thickTop="1">
      <c r="A66" s="553"/>
      <c r="B66" s="538">
        <f>B13</f>
        <v>111</v>
      </c>
      <c r="C66" s="554"/>
      <c r="D66" s="554"/>
      <c r="E66" s="554"/>
      <c r="F66" s="554"/>
      <c r="G66" s="554"/>
      <c r="H66" s="555"/>
      <c r="I66" s="555"/>
      <c r="J66" s="555"/>
      <c r="K66" s="555"/>
      <c r="L66" s="556"/>
      <c r="M66" s="557"/>
      <c r="N66" s="1156"/>
      <c r="O66" s="1156"/>
      <c r="P66" s="470"/>
      <c r="Q66" s="561"/>
    </row>
    <row r="67" spans="1:17" s="471" customFormat="1" ht="15.75" thickBot="1">
      <c r="A67" s="553"/>
      <c r="B67" s="543"/>
      <c r="C67" s="560"/>
      <c r="D67" s="536"/>
      <c r="E67" s="536"/>
      <c r="F67" s="536"/>
      <c r="G67" s="560"/>
      <c r="H67" s="562"/>
      <c r="I67" s="562"/>
      <c r="J67" s="562"/>
      <c r="K67" s="562"/>
      <c r="L67" s="562"/>
      <c r="M67" s="563"/>
      <c r="N67" s="1156"/>
      <c r="O67" s="1156"/>
      <c r="P67" s="558"/>
      <c r="Q67" s="559"/>
    </row>
    <row r="68" spans="1:17" s="471" customFormat="1" ht="15.75" thickTop="1">
      <c r="A68" s="553"/>
      <c r="B68" s="546">
        <f>B14</f>
        <v>111</v>
      </c>
      <c r="C68" s="523"/>
      <c r="D68" s="523"/>
      <c r="E68" s="523"/>
      <c r="F68" s="523"/>
      <c r="G68" s="523"/>
      <c r="H68" s="564"/>
      <c r="I68" s="564"/>
      <c r="J68" s="564"/>
      <c r="K68" s="564"/>
      <c r="L68" s="565"/>
      <c r="M68" s="566"/>
      <c r="N68" s="1156"/>
      <c r="O68" s="1156"/>
      <c r="P68" s="567"/>
      <c r="Q68" s="559"/>
    </row>
    <row r="69" spans="1:17" s="471" customFormat="1" ht="15.75" thickBot="1">
      <c r="A69" s="568"/>
      <c r="B69" s="569"/>
      <c r="C69" s="570"/>
      <c r="D69" s="570"/>
      <c r="E69" s="570"/>
      <c r="F69" s="570"/>
      <c r="G69" s="570"/>
      <c r="H69" s="571"/>
      <c r="I69" s="571"/>
      <c r="J69" s="571"/>
      <c r="K69" s="571"/>
      <c r="L69" s="571"/>
      <c r="M69" s="572"/>
      <c r="N69" s="1156"/>
      <c r="O69" s="1156"/>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4"/>
      <c r="O70" s="1154"/>
      <c r="P70" s="577"/>
      <c r="Q70" s="504"/>
    </row>
    <row r="71" spans="1:17" ht="15.75" thickBot="1">
      <c r="A71" s="534"/>
      <c r="B71" s="543"/>
      <c r="C71" s="544">
        <v>100</v>
      </c>
      <c r="D71" s="544">
        <f>C71-$K15</f>
        <v>98</v>
      </c>
      <c r="E71" s="544">
        <f>D71-$K15</f>
        <v>96</v>
      </c>
      <c r="F71" s="544">
        <f>E71-$K15</f>
        <v>94</v>
      </c>
      <c r="G71" s="544">
        <f>F71-$K15</f>
        <v>92</v>
      </c>
      <c r="H71" s="544"/>
      <c r="I71" s="544"/>
      <c r="J71" s="544"/>
      <c r="K71" s="544"/>
      <c r="L71" s="544"/>
      <c r="M71" s="545"/>
      <c r="N71" s="1155"/>
      <c r="O71" s="1155"/>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4"/>
      <c r="O72" s="1154"/>
      <c r="P72" s="45"/>
      <c r="Q72" s="504"/>
    </row>
    <row r="73" spans="1:17" ht="15.75" thickBot="1">
      <c r="A73" s="534"/>
      <c r="B73" s="543"/>
      <c r="C73" s="544">
        <v>100</v>
      </c>
      <c r="D73" s="544">
        <f>C73-$K17</f>
        <v>99</v>
      </c>
      <c r="E73" s="544">
        <f>D73-$K17</f>
        <v>98</v>
      </c>
      <c r="F73" s="544">
        <f>E73-$K17</f>
        <v>97</v>
      </c>
      <c r="G73" s="544">
        <f>F73-$K17</f>
        <v>96</v>
      </c>
      <c r="H73" s="544"/>
      <c r="I73" s="544"/>
      <c r="J73" s="544"/>
      <c r="K73" s="544"/>
      <c r="L73" s="544"/>
      <c r="M73" s="545"/>
      <c r="N73" s="1155"/>
      <c r="O73" s="1155"/>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4"/>
      <c r="O74" s="1154"/>
      <c r="P74" s="45"/>
      <c r="Q74" s="504"/>
    </row>
    <row r="75" spans="1:17" ht="15.75" thickBot="1">
      <c r="A75" s="534"/>
      <c r="B75" s="543"/>
      <c r="C75" s="544">
        <v>100</v>
      </c>
      <c r="D75" s="544">
        <f>C75-$K19</f>
        <v>98</v>
      </c>
      <c r="E75" s="544">
        <f>D75-$K19</f>
        <v>96</v>
      </c>
      <c r="F75" s="544">
        <f>E75-$K19</f>
        <v>94</v>
      </c>
      <c r="G75" s="544">
        <f>F75-$K19</f>
        <v>92</v>
      </c>
      <c r="H75" s="544"/>
      <c r="I75" s="544"/>
      <c r="J75" s="544"/>
      <c r="K75" s="544"/>
      <c r="L75" s="544"/>
      <c r="M75" s="545"/>
      <c r="N75" s="1155"/>
      <c r="O75" s="1155"/>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4"/>
      <c r="N76" s="1155"/>
      <c r="O76" s="1155"/>
      <c r="P76" s="45"/>
      <c r="Q76" s="504"/>
    </row>
    <row r="77" spans="1:17" ht="15.75" thickBot="1">
      <c r="A77" s="534"/>
      <c r="B77" s="546"/>
      <c r="C77" s="544">
        <v>100</v>
      </c>
      <c r="D77" s="544">
        <f>C77-$K21</f>
        <v>99</v>
      </c>
      <c r="E77" s="544">
        <f>D77-$K21</f>
        <v>98</v>
      </c>
      <c r="F77" s="544">
        <f>E77-$K21</f>
        <v>97</v>
      </c>
      <c r="G77" s="544">
        <f>F77-$K21</f>
        <v>96</v>
      </c>
      <c r="H77" s="660"/>
      <c r="I77" s="660"/>
      <c r="J77" s="660"/>
      <c r="K77" s="660"/>
      <c r="L77" s="660"/>
      <c r="M77" s="450"/>
      <c r="N77" s="1155"/>
      <c r="O77" s="1155"/>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4"/>
      <c r="O78" s="1154"/>
      <c r="P78" s="45"/>
      <c r="Q78" s="504"/>
    </row>
    <row r="79" spans="1:17" ht="15.75" thickBot="1">
      <c r="A79" s="534"/>
      <c r="B79" s="543"/>
      <c r="C79" s="544">
        <v>100</v>
      </c>
      <c r="D79" s="544">
        <f>C79-$K23</f>
        <v>98</v>
      </c>
      <c r="E79" s="544">
        <f>D79-$K23</f>
        <v>96</v>
      </c>
      <c r="F79" s="544">
        <f>E79-$K23</f>
        <v>94</v>
      </c>
      <c r="G79" s="544">
        <f>F79-$K23</f>
        <v>92</v>
      </c>
      <c r="H79" s="544"/>
      <c r="I79" s="544"/>
      <c r="J79" s="544"/>
      <c r="K79" s="544"/>
      <c r="L79" s="544"/>
      <c r="M79" s="545"/>
      <c r="N79" s="1155"/>
      <c r="O79" s="1155"/>
      <c r="P79" s="45"/>
      <c r="Q79" s="504"/>
    </row>
    <row r="80" spans="1:17" s="117" customFormat="1" ht="15.75" thickTop="1">
      <c r="A80" s="579"/>
      <c r="B80" s="538">
        <f>B25</f>
        <v>111</v>
      </c>
      <c r="C80" s="554"/>
      <c r="D80" s="554"/>
      <c r="E80" s="554"/>
      <c r="F80" s="554"/>
      <c r="G80" s="554"/>
      <c r="H80" s="554"/>
      <c r="I80" s="554"/>
      <c r="J80" s="554"/>
      <c r="K80" s="554"/>
      <c r="L80" s="580"/>
      <c r="M80" s="581"/>
      <c r="N80" s="1153"/>
      <c r="O80" s="1153"/>
      <c r="P80" s="45"/>
      <c r="Q80" s="504"/>
    </row>
    <row r="81" spans="1:17" s="117" customFormat="1" ht="15.75" thickBot="1">
      <c r="A81" s="579"/>
      <c r="B81" s="543"/>
      <c r="C81" s="560"/>
      <c r="D81" s="536"/>
      <c r="E81" s="536"/>
      <c r="F81" s="536"/>
      <c r="G81" s="536"/>
      <c r="H81" s="536"/>
      <c r="I81" s="536"/>
      <c r="J81" s="536"/>
      <c r="K81" s="536"/>
      <c r="L81" s="536"/>
      <c r="M81" s="537"/>
      <c r="N81" s="1155"/>
      <c r="O81" s="1155"/>
      <c r="P81" s="45"/>
      <c r="Q81" s="504"/>
    </row>
    <row r="82" spans="1:17" s="117" customFormat="1" ht="15.75" thickTop="1">
      <c r="A82" s="579"/>
      <c r="B82" s="538">
        <f>B26</f>
        <v>111</v>
      </c>
      <c r="C82" s="554"/>
      <c r="D82" s="554"/>
      <c r="E82" s="554"/>
      <c r="F82" s="554"/>
      <c r="G82" s="554"/>
      <c r="H82" s="554"/>
      <c r="I82" s="554"/>
      <c r="J82" s="554"/>
      <c r="K82" s="554"/>
      <c r="L82" s="580"/>
      <c r="M82" s="581"/>
      <c r="N82" s="1153"/>
      <c r="O82" s="1153"/>
      <c r="P82" s="45"/>
      <c r="Q82" s="504"/>
    </row>
    <row r="83" spans="1:17" s="117" customFormat="1" ht="15.75" thickBot="1">
      <c r="A83" s="579"/>
      <c r="B83" s="543"/>
      <c r="C83" s="560"/>
      <c r="D83" s="536"/>
      <c r="E83" s="536"/>
      <c r="F83" s="536"/>
      <c r="G83" s="536"/>
      <c r="H83" s="536"/>
      <c r="I83" s="536"/>
      <c r="J83" s="536"/>
      <c r="K83" s="536"/>
      <c r="L83" s="536"/>
      <c r="M83" s="537"/>
      <c r="N83" s="1155"/>
      <c r="O83" s="1155"/>
      <c r="P83" s="45"/>
      <c r="Q83" s="504"/>
    </row>
    <row r="84" spans="1:17" s="471" customFormat="1" ht="15.75" thickTop="1">
      <c r="A84" s="553"/>
      <c r="B84" s="538">
        <f>B27</f>
        <v>111</v>
      </c>
      <c r="C84" s="554"/>
      <c r="D84" s="554"/>
      <c r="E84" s="554"/>
      <c r="F84" s="554"/>
      <c r="G84" s="554"/>
      <c r="H84" s="554"/>
      <c r="I84" s="554"/>
      <c r="J84" s="554"/>
      <c r="K84" s="554"/>
      <c r="L84" s="580"/>
      <c r="M84" s="581"/>
      <c r="N84" s="1156"/>
      <c r="O84" s="1156"/>
      <c r="P84" s="558"/>
      <c r="Q84" s="559"/>
    </row>
    <row r="85" spans="1:17" s="471" customFormat="1" ht="15.75" thickBot="1">
      <c r="A85" s="553"/>
      <c r="B85" s="543"/>
      <c r="C85" s="560"/>
      <c r="D85" s="536"/>
      <c r="E85" s="536"/>
      <c r="F85" s="536"/>
      <c r="G85" s="536"/>
      <c r="H85" s="536"/>
      <c r="I85" s="536"/>
      <c r="J85" s="536"/>
      <c r="K85" s="536"/>
      <c r="L85" s="536"/>
      <c r="M85" s="537"/>
      <c r="N85" s="1156"/>
      <c r="O85" s="1156"/>
      <c r="P85" s="558"/>
      <c r="Q85" s="559"/>
    </row>
    <row r="86" spans="1:17" ht="15.75" thickTop="1">
      <c r="A86" s="534"/>
      <c r="B86" s="546">
        <f>B28</f>
        <v>111</v>
      </c>
      <c r="C86" s="523"/>
      <c r="D86" s="523"/>
      <c r="E86" s="523"/>
      <c r="F86" s="523"/>
      <c r="G86" s="587"/>
      <c r="H86" s="587"/>
      <c r="I86" s="587"/>
      <c r="J86" s="587"/>
      <c r="K86" s="588"/>
      <c r="L86" s="589"/>
      <c r="M86" s="590"/>
      <c r="N86" s="1154"/>
      <c r="O86" s="1154"/>
      <c r="P86" s="45"/>
      <c r="Q86" s="504"/>
    </row>
    <row r="87" spans="1:17" ht="15.75" thickBot="1">
      <c r="A87" s="2632"/>
      <c r="B87" s="569"/>
      <c r="C87" s="570"/>
      <c r="D87" s="570"/>
      <c r="E87" s="570"/>
      <c r="F87" s="570"/>
      <c r="G87" s="591"/>
      <c r="H87" s="591"/>
      <c r="I87" s="591"/>
      <c r="J87" s="591"/>
      <c r="K87" s="591"/>
      <c r="L87" s="591"/>
      <c r="M87" s="592"/>
      <c r="N87" s="1155"/>
      <c r="O87" s="1155"/>
      <c r="P87" s="45"/>
      <c r="Q87" s="504"/>
    </row>
    <row r="88" spans="1:17">
      <c r="A88" s="527" t="s">
        <v>2551</v>
      </c>
      <c r="B88" s="528" t="s">
        <v>2600</v>
      </c>
      <c r="C88" s="3310" t="s">
        <v>3122</v>
      </c>
      <c r="D88" s="530"/>
      <c r="E88" s="530"/>
      <c r="F88" s="530"/>
      <c r="G88" s="530"/>
      <c r="H88" s="530"/>
      <c r="I88" s="530"/>
      <c r="J88" s="530"/>
      <c r="K88" s="531"/>
      <c r="L88" s="532"/>
      <c r="M88" s="533"/>
      <c r="N88" s="1154"/>
      <c r="O88" s="1154"/>
      <c r="P88" s="45"/>
      <c r="Q88" s="504"/>
    </row>
    <row r="89" spans="1:17" ht="15.75" thickBot="1">
      <c r="A89" s="534"/>
      <c r="B89" s="543"/>
      <c r="C89" s="544">
        <v>100</v>
      </c>
      <c r="D89" s="544">
        <f t="shared" ref="D89:M89" si="19">C89-$K29</f>
        <v>98</v>
      </c>
      <c r="E89" s="544">
        <f t="shared" si="19"/>
        <v>96</v>
      </c>
      <c r="F89" s="544">
        <f t="shared" si="19"/>
        <v>94</v>
      </c>
      <c r="G89" s="544">
        <f t="shared" si="19"/>
        <v>92</v>
      </c>
      <c r="H89" s="544">
        <f t="shared" si="19"/>
        <v>90</v>
      </c>
      <c r="I89" s="544">
        <f t="shared" si="19"/>
        <v>88</v>
      </c>
      <c r="J89" s="544">
        <f t="shared" si="19"/>
        <v>86</v>
      </c>
      <c r="K89" s="544">
        <f t="shared" si="19"/>
        <v>84</v>
      </c>
      <c r="L89" s="544">
        <f t="shared" si="19"/>
        <v>82</v>
      </c>
      <c r="M89" s="545">
        <f t="shared" si="19"/>
        <v>80</v>
      </c>
      <c r="N89" s="1155"/>
      <c r="O89" s="1155"/>
      <c r="P89" s="45"/>
      <c r="Q89" s="504"/>
    </row>
    <row r="90" spans="1:17" ht="15.75" thickTop="1">
      <c r="A90" s="534"/>
      <c r="B90" s="538" t="s">
        <v>2601</v>
      </c>
      <c r="C90" s="578" t="str">
        <f>C91&amp;"(含)"&amp;"-"&amp;D91</f>
        <v>0(含)-300</v>
      </c>
      <c r="D90" s="578" t="str">
        <f t="shared" ref="D90:L90" si="20">D91&amp;"(含)"&amp;"-"&amp;E91</f>
        <v>300(含)-500</v>
      </c>
      <c r="E90" s="578" t="str">
        <f t="shared" si="20"/>
        <v>500(含)-1000</v>
      </c>
      <c r="F90" s="578" t="str">
        <f t="shared" si="20"/>
        <v>1000(含)-1500</v>
      </c>
      <c r="G90" s="578" t="str">
        <f t="shared" si="20"/>
        <v>1500(含)-2000</v>
      </c>
      <c r="H90" s="578" t="str">
        <f t="shared" si="20"/>
        <v>2000(含)-5000</v>
      </c>
      <c r="I90" s="578" t="str">
        <f t="shared" si="20"/>
        <v>5000(含)-</v>
      </c>
      <c r="J90" s="578" t="str">
        <f t="shared" si="20"/>
        <v>(含)-</v>
      </c>
      <c r="K90" s="578" t="str">
        <f t="shared" si="20"/>
        <v>(含)-</v>
      </c>
      <c r="L90" s="578" t="str">
        <f t="shared" si="20"/>
        <v>(含)-</v>
      </c>
      <c r="M90" s="622" t="str">
        <f>M91&amp;"(含)"&amp;"-"&amp;P91</f>
        <v>(含)-</v>
      </c>
      <c r="N90" s="1153"/>
      <c r="O90" s="1153"/>
      <c r="P90" s="45"/>
      <c r="Q90" s="504"/>
    </row>
    <row r="91" spans="1:17" s="471" customFormat="1">
      <c r="A91" s="593"/>
      <c r="B91" s="594"/>
      <c r="C91" s="595">
        <v>0</v>
      </c>
      <c r="D91" s="595">
        <v>300</v>
      </c>
      <c r="E91" s="595">
        <v>500</v>
      </c>
      <c r="F91" s="595">
        <v>1000</v>
      </c>
      <c r="G91" s="595">
        <v>1500</v>
      </c>
      <c r="H91" s="595">
        <v>2000</v>
      </c>
      <c r="I91" s="595">
        <v>5000</v>
      </c>
      <c r="J91" s="596"/>
      <c r="K91" s="596"/>
      <c r="L91" s="597"/>
      <c r="M91" s="598"/>
      <c r="N91" s="1156"/>
      <c r="O91" s="1156"/>
      <c r="P91" s="558"/>
      <c r="Q91" s="559"/>
    </row>
    <row r="92" spans="1:17" s="471" customFormat="1" ht="15.75" thickBot="1">
      <c r="A92" s="553"/>
      <c r="B92" s="543"/>
      <c r="C92" s="560">
        <f>D92-2</f>
        <v>98</v>
      </c>
      <c r="D92" s="536">
        <v>100</v>
      </c>
      <c r="E92" s="536">
        <f>D92-2</f>
        <v>98</v>
      </c>
      <c r="F92" s="536">
        <f t="shared" ref="F92:I92" si="21">E92-2</f>
        <v>96</v>
      </c>
      <c r="G92" s="536">
        <f t="shared" si="21"/>
        <v>94</v>
      </c>
      <c r="H92" s="536">
        <f t="shared" si="21"/>
        <v>92</v>
      </c>
      <c r="I92" s="536">
        <f t="shared" si="21"/>
        <v>90</v>
      </c>
      <c r="J92" s="536"/>
      <c r="K92" s="536"/>
      <c r="L92" s="536"/>
      <c r="M92" s="537"/>
      <c r="N92" s="1155"/>
      <c r="O92" s="1155"/>
      <c r="P92" s="558"/>
      <c r="Q92" s="559"/>
    </row>
    <row r="93" spans="1:17" ht="15" thickTop="1">
      <c r="A93" s="599"/>
      <c r="B93" s="538" t="s">
        <v>2602</v>
      </c>
      <c r="C93" s="3311" t="s">
        <v>3123</v>
      </c>
      <c r="D93" s="554"/>
      <c r="E93" s="583"/>
      <c r="F93" s="583"/>
      <c r="G93" s="583"/>
      <c r="H93" s="583"/>
      <c r="I93" s="583"/>
      <c r="J93" s="583"/>
      <c r="K93" s="584"/>
      <c r="L93" s="585"/>
      <c r="M93" s="586"/>
      <c r="N93" s="1154"/>
      <c r="O93" s="1154"/>
      <c r="P93" s="45"/>
      <c r="Q93" s="504"/>
    </row>
    <row r="94" spans="1:17" ht="15.75" thickBot="1">
      <c r="A94" s="534"/>
      <c r="B94" s="543"/>
      <c r="C94" s="544">
        <v>100</v>
      </c>
      <c r="D94" s="544">
        <f t="shared" ref="D94:M94" si="22">C94-$K31</f>
        <v>98</v>
      </c>
      <c r="E94" s="544">
        <f t="shared" si="22"/>
        <v>96</v>
      </c>
      <c r="F94" s="544">
        <f t="shared" si="22"/>
        <v>94</v>
      </c>
      <c r="G94" s="544">
        <f t="shared" si="22"/>
        <v>92</v>
      </c>
      <c r="H94" s="544">
        <f t="shared" si="22"/>
        <v>90</v>
      </c>
      <c r="I94" s="544">
        <f t="shared" si="22"/>
        <v>88</v>
      </c>
      <c r="J94" s="544">
        <f t="shared" si="22"/>
        <v>86</v>
      </c>
      <c r="K94" s="544">
        <f t="shared" si="22"/>
        <v>84</v>
      </c>
      <c r="L94" s="544">
        <f t="shared" si="22"/>
        <v>82</v>
      </c>
      <c r="M94" s="545">
        <f t="shared" si="22"/>
        <v>80</v>
      </c>
      <c r="N94" s="1155"/>
      <c r="O94" s="1155"/>
      <c r="P94" s="45"/>
      <c r="Q94" s="504"/>
    </row>
    <row r="95" spans="1:17" ht="15" thickTop="1">
      <c r="A95" s="599"/>
      <c r="B95" s="538" t="s">
        <v>2604</v>
      </c>
      <c r="C95" s="3311" t="s">
        <v>3125</v>
      </c>
      <c r="D95" s="3311" t="s">
        <v>3127</v>
      </c>
      <c r="E95" s="3311" t="s">
        <v>3129</v>
      </c>
      <c r="F95" s="3312" t="s">
        <v>3131</v>
      </c>
      <c r="G95" s="583"/>
      <c r="H95" s="583"/>
      <c r="I95" s="583"/>
      <c r="J95" s="583"/>
      <c r="K95" s="584"/>
      <c r="L95" s="585"/>
      <c r="M95" s="586"/>
      <c r="N95" s="1154"/>
      <c r="O95" s="1154"/>
      <c r="P95" s="45"/>
      <c r="Q95" s="504"/>
    </row>
    <row r="96" spans="1:17" ht="15.75" thickBot="1">
      <c r="A96" s="534"/>
      <c r="B96" s="543"/>
      <c r="C96" s="544">
        <v>100</v>
      </c>
      <c r="D96" s="544">
        <f t="shared" ref="D96:M96" si="23">C96-$K32</f>
        <v>99</v>
      </c>
      <c r="E96" s="544">
        <f t="shared" si="23"/>
        <v>98</v>
      </c>
      <c r="F96" s="544">
        <f t="shared" si="23"/>
        <v>97</v>
      </c>
      <c r="G96" s="544">
        <f t="shared" si="23"/>
        <v>96</v>
      </c>
      <c r="H96" s="544">
        <f t="shared" si="23"/>
        <v>95</v>
      </c>
      <c r="I96" s="544">
        <f t="shared" si="23"/>
        <v>94</v>
      </c>
      <c r="J96" s="544">
        <f t="shared" si="23"/>
        <v>93</v>
      </c>
      <c r="K96" s="544">
        <f t="shared" si="23"/>
        <v>92</v>
      </c>
      <c r="L96" s="544">
        <f t="shared" si="23"/>
        <v>91</v>
      </c>
      <c r="M96" s="545">
        <f t="shared" si="23"/>
        <v>90</v>
      </c>
      <c r="N96" s="1155"/>
      <c r="O96" s="1155"/>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4"/>
      <c r="O97" s="1154"/>
      <c r="P97" s="45"/>
      <c r="Q97" s="504"/>
    </row>
    <row r="98" spans="1:17">
      <c r="A98" s="599"/>
      <c r="B98" s="546"/>
      <c r="C98" s="603">
        <v>0.5</v>
      </c>
      <c r="D98" s="603">
        <v>0.6</v>
      </c>
      <c r="E98" s="603">
        <v>0.7</v>
      </c>
      <c r="F98" s="603">
        <v>0.8</v>
      </c>
      <c r="G98" s="603">
        <v>0.9</v>
      </c>
      <c r="H98" s="603">
        <v>1.0001</v>
      </c>
      <c r="I98" s="623"/>
      <c r="J98" s="623"/>
      <c r="K98" s="624"/>
      <c r="L98" s="625"/>
      <c r="M98" s="626"/>
      <c r="N98" s="1154"/>
      <c r="O98" s="1154"/>
      <c r="P98" s="45"/>
      <c r="Q98" s="504"/>
    </row>
    <row r="99" spans="1:17" ht="15.75" thickBot="1">
      <c r="A99" s="534"/>
      <c r="B99" s="543"/>
      <c r="C99" s="582">
        <v>100</v>
      </c>
      <c r="D99" s="544">
        <f>C99+$K33</f>
        <v>101</v>
      </c>
      <c r="E99" s="544">
        <f t="shared" ref="E99:M99" si="24">D99+$K33</f>
        <v>102</v>
      </c>
      <c r="F99" s="544">
        <f t="shared" si="24"/>
        <v>103</v>
      </c>
      <c r="G99" s="544">
        <f t="shared" si="24"/>
        <v>104</v>
      </c>
      <c r="H99" s="544">
        <f t="shared" si="24"/>
        <v>105</v>
      </c>
      <c r="I99" s="544">
        <f t="shared" si="24"/>
        <v>106</v>
      </c>
      <c r="J99" s="544">
        <f t="shared" si="24"/>
        <v>107</v>
      </c>
      <c r="K99" s="544">
        <f t="shared" si="24"/>
        <v>108</v>
      </c>
      <c r="L99" s="544">
        <f t="shared" si="24"/>
        <v>109</v>
      </c>
      <c r="M99" s="544">
        <f t="shared" si="24"/>
        <v>110</v>
      </c>
      <c r="N99" s="1155"/>
      <c r="O99" s="1155"/>
      <c r="P99" s="45"/>
      <c r="Q99" s="504"/>
    </row>
    <row r="100" spans="1:17" s="471" customFormat="1" ht="15" thickTop="1">
      <c r="A100" s="593"/>
      <c r="B100" s="538" t="s">
        <v>2605</v>
      </c>
      <c r="C100" s="3311" t="s">
        <v>3133</v>
      </c>
      <c r="D100" s="554"/>
      <c r="E100" s="554"/>
      <c r="F100" s="554"/>
      <c r="G100" s="554"/>
      <c r="H100" s="583"/>
      <c r="I100" s="583"/>
      <c r="J100" s="583"/>
      <c r="K100" s="584"/>
      <c r="L100" s="585"/>
      <c r="M100" s="586"/>
      <c r="N100" s="1156"/>
      <c r="O100" s="1156"/>
      <c r="P100" s="558"/>
      <c r="Q100" s="559"/>
    </row>
    <row r="101" spans="1:17" s="471" customFormat="1" ht="15.75" thickBot="1">
      <c r="A101" s="553"/>
      <c r="B101" s="543"/>
      <c r="C101" s="544">
        <v>100</v>
      </c>
      <c r="D101" s="544">
        <f>C101-$K34</f>
        <v>98</v>
      </c>
      <c r="E101" s="544">
        <f t="shared" ref="E101:M101" si="25">D101-$K34</f>
        <v>96</v>
      </c>
      <c r="F101" s="544">
        <f t="shared" si="25"/>
        <v>94</v>
      </c>
      <c r="G101" s="544">
        <f t="shared" si="25"/>
        <v>92</v>
      </c>
      <c r="H101" s="544">
        <f t="shared" si="25"/>
        <v>90</v>
      </c>
      <c r="I101" s="544">
        <f t="shared" si="25"/>
        <v>88</v>
      </c>
      <c r="J101" s="544">
        <f t="shared" si="25"/>
        <v>86</v>
      </c>
      <c r="K101" s="544">
        <f t="shared" si="25"/>
        <v>84</v>
      </c>
      <c r="L101" s="544">
        <f t="shared" si="25"/>
        <v>82</v>
      </c>
      <c r="M101" s="544">
        <f t="shared" si="25"/>
        <v>80</v>
      </c>
      <c r="N101" s="1156"/>
      <c r="O101" s="1156"/>
      <c r="P101" s="558"/>
      <c r="Q101" s="559"/>
    </row>
    <row r="102" spans="1:17" ht="15" thickTop="1">
      <c r="A102" s="599"/>
      <c r="B102" s="538" t="s">
        <v>2606</v>
      </c>
      <c r="C102" s="554" t="s">
        <v>3120</v>
      </c>
      <c r="D102" s="554" t="s">
        <v>3134</v>
      </c>
      <c r="E102" s="554" t="s">
        <v>3135</v>
      </c>
      <c r="F102" s="554" t="s">
        <v>3136</v>
      </c>
      <c r="G102" s="554" t="s">
        <v>3137</v>
      </c>
      <c r="H102" s="583"/>
      <c r="I102" s="583"/>
      <c r="J102" s="583"/>
      <c r="K102" s="584"/>
      <c r="L102" s="585"/>
      <c r="M102" s="586"/>
      <c r="N102" s="1154"/>
      <c r="O102" s="1154"/>
      <c r="P102" s="45"/>
      <c r="Q102" s="504"/>
    </row>
    <row r="103" spans="1:17" ht="15.75" thickBot="1">
      <c r="A103" s="534"/>
      <c r="B103" s="543"/>
      <c r="C103" s="544">
        <v>100</v>
      </c>
      <c r="D103" s="544">
        <f t="shared" ref="D103:M103" si="26">C103-$K35</f>
        <v>99</v>
      </c>
      <c r="E103" s="544">
        <f t="shared" si="26"/>
        <v>98</v>
      </c>
      <c r="F103" s="544">
        <f t="shared" si="26"/>
        <v>97</v>
      </c>
      <c r="G103" s="544">
        <f t="shared" si="26"/>
        <v>96</v>
      </c>
      <c r="H103" s="544">
        <f t="shared" si="26"/>
        <v>95</v>
      </c>
      <c r="I103" s="544">
        <f t="shared" si="26"/>
        <v>94</v>
      </c>
      <c r="J103" s="544">
        <f t="shared" si="26"/>
        <v>93</v>
      </c>
      <c r="K103" s="544">
        <f t="shared" si="26"/>
        <v>92</v>
      </c>
      <c r="L103" s="544">
        <f t="shared" si="26"/>
        <v>91</v>
      </c>
      <c r="M103" s="545">
        <f t="shared" si="26"/>
        <v>90</v>
      </c>
      <c r="N103" s="1155"/>
      <c r="O103" s="1155"/>
      <c r="P103" s="45"/>
      <c r="Q103" s="504"/>
    </row>
    <row r="104" spans="1:17" ht="15" thickTop="1">
      <c r="A104" s="599"/>
      <c r="B104" s="538" t="s">
        <v>2608</v>
      </c>
      <c r="C104" s="554" t="s">
        <v>3124</v>
      </c>
      <c r="D104" s="554" t="s">
        <v>3126</v>
      </c>
      <c r="E104" s="554" t="s">
        <v>3128</v>
      </c>
      <c r="F104" s="554" t="s">
        <v>3130</v>
      </c>
      <c r="G104" s="554"/>
      <c r="H104" s="583"/>
      <c r="I104" s="583"/>
      <c r="J104" s="583"/>
      <c r="K104" s="584"/>
      <c r="L104" s="585"/>
      <c r="M104" s="586"/>
      <c r="N104" s="1154"/>
      <c r="O104" s="1154"/>
      <c r="P104" s="45"/>
      <c r="Q104" s="504"/>
    </row>
    <row r="105" spans="1:17" ht="15.75" thickBot="1">
      <c r="A105" s="534"/>
      <c r="B105" s="543"/>
      <c r="C105" s="544">
        <v>100</v>
      </c>
      <c r="D105" s="544">
        <f>C105-$K36</f>
        <v>98</v>
      </c>
      <c r="E105" s="544">
        <f>D105-$K36</f>
        <v>96</v>
      </c>
      <c r="F105" s="544">
        <f>E105-$K36</f>
        <v>94</v>
      </c>
      <c r="G105" s="544">
        <f>F105-$K36</f>
        <v>92</v>
      </c>
      <c r="H105" s="544"/>
      <c r="I105" s="544"/>
      <c r="J105" s="544"/>
      <c r="K105" s="544"/>
      <c r="L105" s="544"/>
      <c r="M105" s="545"/>
      <c r="N105" s="1155"/>
      <c r="O105" s="1155"/>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5"/>
      <c r="O106" s="1155"/>
      <c r="P106" s="637"/>
      <c r="Q106" s="638"/>
    </row>
    <row r="107" spans="1:17" ht="15.75" thickBot="1">
      <c r="A107" s="534"/>
      <c r="B107" s="543"/>
      <c r="C107" s="582">
        <v>100</v>
      </c>
      <c r="D107" s="544">
        <f t="shared" ref="D107:M107" si="27">C107-$K37</f>
        <v>99</v>
      </c>
      <c r="E107" s="544">
        <f t="shared" si="27"/>
        <v>98</v>
      </c>
      <c r="F107" s="544">
        <f t="shared" si="27"/>
        <v>97</v>
      </c>
      <c r="G107" s="544">
        <f t="shared" si="27"/>
        <v>96</v>
      </c>
      <c r="H107" s="544">
        <f t="shared" si="27"/>
        <v>95</v>
      </c>
      <c r="I107" s="544">
        <f t="shared" si="27"/>
        <v>94</v>
      </c>
      <c r="J107" s="544">
        <f t="shared" si="27"/>
        <v>93</v>
      </c>
      <c r="K107" s="544">
        <f t="shared" si="27"/>
        <v>92</v>
      </c>
      <c r="L107" s="544">
        <f t="shared" si="27"/>
        <v>91</v>
      </c>
      <c r="M107" s="544">
        <f t="shared" si="27"/>
        <v>90</v>
      </c>
      <c r="N107" s="1155"/>
      <c r="O107" s="1155"/>
      <c r="P107" s="45"/>
      <c r="Q107" s="504"/>
    </row>
    <row r="108" spans="1:17" s="471" customFormat="1" ht="15" thickTop="1">
      <c r="A108" s="593"/>
      <c r="B108" s="538">
        <f>B38</f>
        <v>111</v>
      </c>
      <c r="C108" s="554"/>
      <c r="D108" s="554"/>
      <c r="E108" s="554"/>
      <c r="F108" s="554"/>
      <c r="G108" s="554"/>
      <c r="H108" s="555"/>
      <c r="I108" s="555"/>
      <c r="J108" s="555"/>
      <c r="K108" s="555"/>
      <c r="L108" s="556"/>
      <c r="M108" s="557"/>
      <c r="N108" s="1156"/>
      <c r="O108" s="1156"/>
      <c r="P108" s="558"/>
      <c r="Q108" s="559"/>
    </row>
    <row r="109" spans="1:17" s="471" customFormat="1" ht="15.75" thickBot="1">
      <c r="A109" s="553"/>
      <c r="B109" s="535"/>
      <c r="C109" s="560"/>
      <c r="D109" s="536"/>
      <c r="E109" s="536"/>
      <c r="F109" s="536"/>
      <c r="G109" s="560"/>
      <c r="H109" s="562"/>
      <c r="I109" s="562"/>
      <c r="J109" s="562"/>
      <c r="K109" s="562"/>
      <c r="L109" s="562"/>
      <c r="M109" s="563"/>
      <c r="N109" s="1156"/>
      <c r="O109" s="1156"/>
      <c r="P109" s="558"/>
      <c r="Q109" s="559"/>
    </row>
    <row r="110" spans="1:17" ht="15" thickTop="1">
      <c r="A110" s="599"/>
      <c r="B110" s="538">
        <f>B39</f>
        <v>111</v>
      </c>
      <c r="C110" s="554"/>
      <c r="D110" s="554"/>
      <c r="E110" s="554"/>
      <c r="F110" s="554"/>
      <c r="G110" s="554"/>
      <c r="H110" s="555"/>
      <c r="I110" s="555"/>
      <c r="J110" s="555"/>
      <c r="K110" s="555"/>
      <c r="L110" s="556"/>
      <c r="M110" s="557"/>
      <c r="N110" s="1154"/>
      <c r="O110" s="1154"/>
      <c r="P110" s="45"/>
      <c r="Q110" s="504"/>
    </row>
    <row r="111" spans="1:17" ht="15.75" thickBot="1">
      <c r="A111" s="534"/>
      <c r="B111" s="543"/>
      <c r="C111" s="560"/>
      <c r="D111" s="536"/>
      <c r="E111" s="536"/>
      <c r="F111" s="536"/>
      <c r="G111" s="560"/>
      <c r="H111" s="562"/>
      <c r="I111" s="562"/>
      <c r="J111" s="562"/>
      <c r="K111" s="562"/>
      <c r="L111" s="562"/>
      <c r="M111" s="563"/>
      <c r="N111" s="1155"/>
      <c r="O111" s="1155"/>
      <c r="P111" s="45"/>
      <c r="Q111" s="504"/>
    </row>
    <row r="112" spans="1:17" ht="15" thickTop="1">
      <c r="A112" s="599"/>
      <c r="B112" s="546">
        <f>B40</f>
        <v>111</v>
      </c>
      <c r="C112" s="523"/>
      <c r="D112" s="523"/>
      <c r="E112" s="523"/>
      <c r="F112" s="523"/>
      <c r="G112" s="587"/>
      <c r="H112" s="587"/>
      <c r="I112" s="587"/>
      <c r="J112" s="587"/>
      <c r="K112" s="523"/>
      <c r="L112" s="524"/>
      <c r="M112" s="590"/>
      <c r="N112" s="1154"/>
      <c r="O112" s="1154"/>
      <c r="P112" s="45"/>
      <c r="Q112" s="504"/>
    </row>
    <row r="113" spans="1:17" ht="15.75" thickBot="1">
      <c r="A113" s="2632"/>
      <c r="B113" s="569"/>
      <c r="C113" s="570"/>
      <c r="D113" s="570"/>
      <c r="E113" s="570"/>
      <c r="F113" s="570"/>
      <c r="G113" s="591"/>
      <c r="H113" s="591"/>
      <c r="I113" s="591"/>
      <c r="J113" s="591"/>
      <c r="K113" s="591"/>
      <c r="L113" s="591"/>
      <c r="M113" s="592"/>
      <c r="N113" s="1155"/>
      <c r="O113" s="1155"/>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7" priority="16" stopIfTrue="1" operator="containsText" text="超过">
      <formula>NOT(ISERROR(SEARCH("超过",F46)))</formula>
    </cfRule>
  </conditionalFormatting>
  <conditionalFormatting sqref="H48">
    <cfRule type="containsText" dxfId="86" priority="15" stopIfTrue="1" operator="containsText" text="超过">
      <formula>NOT(ISERROR(SEARCH("超过",H48)))</formula>
    </cfRule>
  </conditionalFormatting>
  <conditionalFormatting sqref="F48">
    <cfRule type="containsText" dxfId="85" priority="14" stopIfTrue="1" operator="containsText" text="超过">
      <formula>NOT(ISERROR(SEARCH("超过",F48)))</formula>
    </cfRule>
  </conditionalFormatting>
  <conditionalFormatting sqref="F47 H47">
    <cfRule type="containsText" dxfId="84" priority="13" stopIfTrue="1" operator="containsText" text="超过">
      <formula>NOT(ISERROR(SEARCH("超过",F47)))</formula>
    </cfRule>
  </conditionalFormatting>
  <conditionalFormatting sqref="E46">
    <cfRule type="expression" dxfId="83" priority="12" stopIfTrue="1">
      <formula>$F$46="超过30%"</formula>
    </cfRule>
  </conditionalFormatting>
  <conditionalFormatting sqref="E47">
    <cfRule type="expression" dxfId="82" priority="11" stopIfTrue="1">
      <formula>$F$47="超过20%"</formula>
    </cfRule>
  </conditionalFormatting>
  <conditionalFormatting sqref="E48">
    <cfRule type="expression" dxfId="81" priority="10" stopIfTrue="1">
      <formula>$F$48="超过30%"</formula>
    </cfRule>
  </conditionalFormatting>
  <conditionalFormatting sqref="G48">
    <cfRule type="expression" dxfId="80" priority="9" stopIfTrue="1">
      <formula>$H$48="超过30%"</formula>
    </cfRule>
  </conditionalFormatting>
  <conditionalFormatting sqref="G46">
    <cfRule type="expression" dxfId="79" priority="8" stopIfTrue="1">
      <formula>$H$46="超过30%"</formula>
    </cfRule>
  </conditionalFormatting>
  <conditionalFormatting sqref="G47">
    <cfRule type="expression" dxfId="78" priority="7" stopIfTrue="1">
      <formula>$H$47="超过20%"</formula>
    </cfRule>
  </conditionalFormatting>
  <conditionalFormatting sqref="J46">
    <cfRule type="containsText" dxfId="77" priority="6" stopIfTrue="1" operator="containsText" text="超过">
      <formula>NOT(ISERROR(SEARCH("超过",J46)))</formula>
    </cfRule>
  </conditionalFormatting>
  <conditionalFormatting sqref="J48">
    <cfRule type="containsText" dxfId="76" priority="5" stopIfTrue="1" operator="containsText" text="超过">
      <formula>NOT(ISERROR(SEARCH("超过",J48)))</formula>
    </cfRule>
  </conditionalFormatting>
  <conditionalFormatting sqref="J47">
    <cfRule type="containsText" dxfId="75" priority="4" stopIfTrue="1" operator="containsText" text="超过">
      <formula>NOT(ISERROR(SEARCH("超过",J47)))</formula>
    </cfRule>
  </conditionalFormatting>
  <conditionalFormatting sqref="I46">
    <cfRule type="expression" dxfId="74" priority="3" stopIfTrue="1">
      <formula>$J$46="超过30%"</formula>
    </cfRule>
  </conditionalFormatting>
  <conditionalFormatting sqref="I47">
    <cfRule type="expression" dxfId="73" priority="2" stopIfTrue="1">
      <formula>$J$47="超过20%"</formula>
    </cfRule>
  </conditionalFormatting>
  <conditionalFormatting sqref="I48">
    <cfRule type="expression" dxfId="7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11" sqref="C1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2"/>
      <c r="C1" s="1839" t="s">
        <v>3058</v>
      </c>
      <c r="D1" s="1822" t="s">
        <v>70</v>
      </c>
      <c r="E1" s="1823" t="s">
        <v>1387</v>
      </c>
      <c r="F1" s="1285">
        <f ca="1">J53</f>
        <v>43.03</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1515</v>
      </c>
      <c r="B2" s="1846">
        <f ca="1">C40+J29+L46</f>
        <v>1699</v>
      </c>
      <c r="C2" s="1847" t="s">
        <v>1516</v>
      </c>
      <c r="D2" s="1847"/>
      <c r="E2" s="1848"/>
      <c r="F2" s="1849"/>
      <c r="G2" s="1850"/>
      <c r="H2" s="1842"/>
      <c r="I2" s="1842"/>
      <c r="J2" s="1842"/>
      <c r="K2" s="1843"/>
      <c r="L2" s="1842"/>
      <c r="M2" s="1842"/>
    </row>
    <row r="3" spans="1:37" ht="18" customHeight="1" thickBot="1">
      <c r="A3" s="1851" t="s">
        <v>1517</v>
      </c>
      <c r="B3" s="1852">
        <f ca="1">IF(ISERROR(B2*10000/F43),0,ROUND(B2*10000/F43,0))</f>
        <v>13631</v>
      </c>
      <c r="C3" s="1847" t="s">
        <v>1518</v>
      </c>
      <c r="D3" s="1847"/>
      <c r="E3" s="1848"/>
      <c r="F3" s="1849"/>
      <c r="G3" s="1850"/>
      <c r="H3" s="744" t="s">
        <v>1588</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f ca="1">C6+C10+C12</f>
        <v>104</v>
      </c>
      <c r="D5" s="1824" t="s">
        <v>1402</v>
      </c>
      <c r="E5" s="1295"/>
      <c r="F5" s="1296"/>
      <c r="G5" s="1853"/>
      <c r="H5" s="344">
        <v>1</v>
      </c>
      <c r="I5" s="345" t="s">
        <v>1401</v>
      </c>
      <c r="J5" s="1294">
        <f ca="1">J6+J10+J12</f>
        <v>0</v>
      </c>
      <c r="K5" s="1824" t="s">
        <v>1402</v>
      </c>
      <c r="L5" s="1295"/>
      <c r="M5" s="1296"/>
    </row>
    <row r="6" spans="1:37" ht="18" customHeight="1">
      <c r="A6" s="1293" t="s">
        <v>1035</v>
      </c>
      <c r="B6" s="3169" t="s">
        <v>1403</v>
      </c>
      <c r="C6" s="1298">
        <f ca="1">ROUND(F6*F8*F7*(1-F9)/10000,0)</f>
        <v>104</v>
      </c>
      <c r="D6" s="164" t="s">
        <v>3022</v>
      </c>
      <c r="E6" s="347" t="s">
        <v>1405</v>
      </c>
      <c r="F6" s="348">
        <f ca="1">INDIRECT("'数据-取费表'!u"&amp;$G$1)</f>
        <v>2.7</v>
      </c>
      <c r="G6" s="1853"/>
      <c r="H6" s="1293" t="s">
        <v>1035</v>
      </c>
      <c r="I6" s="3169" t="s">
        <v>1403</v>
      </c>
      <c r="J6" s="346">
        <f ca="1">ROUND(M6*M8*M7*(1-M9)/10000,0)</f>
        <v>0</v>
      </c>
      <c r="K6" s="164" t="s">
        <v>3021</v>
      </c>
      <c r="L6" s="347" t="s">
        <v>1405</v>
      </c>
      <c r="M6" s="348">
        <f ca="1">INDIRECT("'数据-取费表'!z"&amp;$G$1)</f>
        <v>0</v>
      </c>
    </row>
    <row r="7" spans="1:37" ht="18" customHeight="1">
      <c r="A7" s="1297"/>
      <c r="B7" s="3170"/>
      <c r="C7" s="1299"/>
      <c r="D7" s="352"/>
      <c r="E7" s="1300" t="s">
        <v>1406</v>
      </c>
      <c r="F7" s="348">
        <f ca="1">IF(INDIRECT("'数据-取费表'!ah"&amp;$G$1)="",INDIRECT("'数据-取费表'!k"&amp;$G$1),INDIRECT("'数据-取费表'!ah"&amp;$G$1))</f>
        <v>1246.4000000000001</v>
      </c>
      <c r="G7" s="1853"/>
      <c r="H7" s="349"/>
      <c r="I7" s="3170"/>
      <c r="J7" s="351"/>
      <c r="K7" s="352"/>
      <c r="L7" s="347" t="s">
        <v>1406</v>
      </c>
      <c r="M7" s="348">
        <f ca="1">F7</f>
        <v>1246.4000000000001</v>
      </c>
    </row>
    <row r="8" spans="1:37" ht="18" customHeight="1">
      <c r="A8" s="349"/>
      <c r="B8" s="3170"/>
      <c r="C8" s="351"/>
      <c r="D8" s="352"/>
      <c r="E8" s="347" t="s">
        <v>1407</v>
      </c>
      <c r="F8" s="348">
        <f ca="1">INDIRECT("'数据-取费表'!ai"&amp;$G$1)</f>
        <v>365</v>
      </c>
      <c r="G8" s="1853"/>
      <c r="H8" s="349"/>
      <c r="I8" s="3170"/>
      <c r="J8" s="351"/>
      <c r="K8" s="352"/>
      <c r="L8" s="347" t="s">
        <v>1407</v>
      </c>
      <c r="M8" s="348">
        <f ca="1">INDIRECT("'数据-取费表'!ai"&amp;$G$1)</f>
        <v>365</v>
      </c>
    </row>
    <row r="9" spans="1:37" ht="18" customHeight="1">
      <c r="A9" s="349"/>
      <c r="B9" s="3171"/>
      <c r="C9" s="351"/>
      <c r="D9" s="352"/>
      <c r="E9" s="347" t="s">
        <v>1408</v>
      </c>
      <c r="F9" s="357">
        <f ca="1">INDIRECT("'数据-取费表'!w"&amp;$G$1)</f>
        <v>0.15</v>
      </c>
      <c r="G9" s="1853"/>
      <c r="H9" s="349"/>
      <c r="I9" s="3171"/>
      <c r="J9" s="351"/>
      <c r="K9" s="352"/>
      <c r="L9" s="358" t="s">
        <v>1408</v>
      </c>
      <c r="M9" s="359">
        <f ca="1">INDIRECT("'数据-取费表'!ab"&amp;$G$1)</f>
        <v>0</v>
      </c>
    </row>
    <row r="10" spans="1:37" ht="18" customHeight="1">
      <c r="A10" s="1293" t="s">
        <v>1039</v>
      </c>
      <c r="B10" s="1825" t="s">
        <v>1409</v>
      </c>
      <c r="C10" s="361">
        <f ca="1">ROUND(IF(F10="押一",F6*F8*F7/12*F11,IF(F10="押二",F6*F8*F7/12*2*F11,IF(F10="押三",F6*F8*F7/12*3*F11,C11*F11)))/10000,0)</f>
        <v>0</v>
      </c>
      <c r="D10" s="1826" t="s">
        <v>3023</v>
      </c>
      <c r="E10" s="358" t="s">
        <v>1411</v>
      </c>
      <c r="F10" s="3288" t="s">
        <v>3095</v>
      </c>
      <c r="G10" s="1853"/>
      <c r="H10" s="1293" t="s">
        <v>1039</v>
      </c>
      <c r="I10" s="1825" t="s">
        <v>1409</v>
      </c>
      <c r="J10" s="346">
        <f ca="1">ROUND(IF(M10="押一",M6*M8*M7/12*M11,IF(M10="押二",M6*M8*M7/12*2*M11,IF(M10="押三",M6*M8*M7/12*3*M11,J11*M11)))/10000,0)</f>
        <v>0</v>
      </c>
      <c r="K10" s="1826" t="s">
        <v>3024</v>
      </c>
      <c r="L10" s="358" t="s">
        <v>1411</v>
      </c>
      <c r="M10" s="1368" t="s">
        <v>3077</v>
      </c>
    </row>
    <row r="11" spans="1:37" ht="18" customHeight="1">
      <c r="A11" s="353"/>
      <c r="B11" s="1827" t="s">
        <v>1388</v>
      </c>
      <c r="C11" s="3314"/>
      <c r="D11" s="1828"/>
      <c r="E11" s="358" t="s">
        <v>1412</v>
      </c>
      <c r="F11" s="359">
        <f ca="1">'数据-取费表'!B39</f>
        <v>1.4999999999999999E-2</v>
      </c>
      <c r="G11" s="1853"/>
      <c r="H11" s="1301"/>
      <c r="I11" s="1827" t="s">
        <v>1388</v>
      </c>
      <c r="J11" s="1180"/>
      <c r="K11" s="748"/>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509</v>
      </c>
      <c r="D13" s="1333" t="s">
        <v>1415</v>
      </c>
      <c r="E13" s="1333" t="s">
        <v>1416</v>
      </c>
      <c r="F13" s="1334">
        <f ca="1">INDIRECT("'数据-取费表'!y"&amp;$G$1)</f>
        <v>0.95</v>
      </c>
      <c r="G13" s="1853"/>
      <c r="H13" s="1331">
        <v>2</v>
      </c>
      <c r="I13" s="1332" t="s">
        <v>1414</v>
      </c>
      <c r="J13" s="1292">
        <f ca="1">ROUND(J14*J15,0)</f>
        <v>0</v>
      </c>
      <c r="K13" s="1339" t="s">
        <v>1415</v>
      </c>
      <c r="L13" s="1854"/>
      <c r="M13" s="1855"/>
    </row>
    <row r="14" spans="1:37" ht="18" customHeight="1">
      <c r="A14" s="1203" t="s">
        <v>1034</v>
      </c>
      <c r="B14" s="347" t="s">
        <v>1417</v>
      </c>
      <c r="C14" s="363">
        <f ca="1">INDIRECT("'数据-取费表'!m"&amp;$G$1)+INDIRECT("'数据-取费表'!t"&amp;$G$1)</f>
        <v>374</v>
      </c>
      <c r="D14" s="1802" t="s">
        <v>1418</v>
      </c>
      <c r="E14" s="1796"/>
      <c r="F14" s="364"/>
      <c r="G14" s="1853"/>
      <c r="H14" s="1203" t="s">
        <v>1035</v>
      </c>
      <c r="I14" s="347" t="s">
        <v>1419</v>
      </c>
      <c r="J14" s="24">
        <f ca="1">C29</f>
        <v>536</v>
      </c>
      <c r="K14" s="15"/>
      <c r="L14" s="982"/>
      <c r="M14" s="983"/>
    </row>
    <row r="15" spans="1:37" s="1860" customFormat="1" ht="18" customHeight="1" thickBot="1">
      <c r="A15" s="1203" t="s">
        <v>1036</v>
      </c>
      <c r="B15" s="347" t="s">
        <v>1420</v>
      </c>
      <c r="C15" s="24">
        <f ca="1">ROUND(C14*F15,0)</f>
        <v>19</v>
      </c>
      <c r="D15" s="365" t="s">
        <v>1421</v>
      </c>
      <c r="E15" s="365" t="s">
        <v>1422</v>
      </c>
      <c r="F15" s="366">
        <f>'数据-取费表'!B33</f>
        <v>0.05</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ROUND(INDIRECT("'数据-取费表'!m"&amp;$G$1)*F16,0)</f>
        <v>0</v>
      </c>
      <c r="D16" s="347" t="s">
        <v>1421</v>
      </c>
      <c r="E16" s="347" t="s">
        <v>1422</v>
      </c>
      <c r="F16" s="367">
        <f ca="1">IF(INDIRECT("'数据-取费表'!c"&amp;$G$1)="住宅",'数据-取费表'!B34,0)</f>
        <v>0</v>
      </c>
      <c r="G16" s="1853"/>
      <c r="H16" s="1331" t="s">
        <v>1030</v>
      </c>
      <c r="I16" s="1332" t="s">
        <v>1424</v>
      </c>
      <c r="J16" s="355">
        <f ca="1">ROUND(J17+J22+J23+J24,0)</f>
        <v>13</v>
      </c>
      <c r="K16" s="1339" t="s">
        <v>1425</v>
      </c>
      <c r="L16" s="1340"/>
      <c r="M16" s="1296"/>
    </row>
    <row r="17" spans="1:37" s="1860" customFormat="1" ht="18" customHeight="1">
      <c r="A17" s="1203" t="s">
        <v>1390</v>
      </c>
      <c r="B17" s="347" t="s">
        <v>1426</v>
      </c>
      <c r="C17" s="24">
        <f ca="1">ROUND(F17*(F43+INDIRECT("'数据-取费表'!S"&amp;$G$1))/10000,0)</f>
        <v>25</v>
      </c>
      <c r="D17" s="347" t="s">
        <v>1427</v>
      </c>
      <c r="E17" s="347" t="s">
        <v>1428</v>
      </c>
      <c r="F17" s="26">
        <f>'数据-取费表'!B35</f>
        <v>200</v>
      </c>
      <c r="G17" s="1856"/>
      <c r="H17" s="1203" t="s">
        <v>1035</v>
      </c>
      <c r="I17" s="347" t="s">
        <v>1429</v>
      </c>
      <c r="J17" s="24">
        <f ca="1">ROUND(IF(项目基本情况!B11="自然人",J5*M17,J18+J19+J20),1)</f>
        <v>4.5</v>
      </c>
      <c r="K17" s="1802" t="s">
        <v>1430</v>
      </c>
      <c r="L17" s="1800"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6</v>
      </c>
      <c r="D18" s="347" t="s">
        <v>1421</v>
      </c>
      <c r="E18" s="347" t="s">
        <v>1422</v>
      </c>
      <c r="F18" s="367">
        <f>'数据-取费表'!B36</f>
        <v>1.4999999999999999E-2</v>
      </c>
      <c r="G18" s="1856"/>
      <c r="H18" s="1203" t="s">
        <v>1034</v>
      </c>
      <c r="I18" s="347" t="s">
        <v>1433</v>
      </c>
      <c r="J18" s="24">
        <f ca="1">ROUND(J5*M18/(1+'数据-取费表'!C42),2)</f>
        <v>0</v>
      </c>
      <c r="K18" s="1800" t="s">
        <v>1434</v>
      </c>
      <c r="L18" s="347" t="s">
        <v>1422</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424</v>
      </c>
      <c r="D19" s="140" t="s">
        <v>1436</v>
      </c>
      <c r="E19" s="1820"/>
      <c r="F19" s="26"/>
      <c r="G19" s="1853"/>
      <c r="H19" s="1203" t="s">
        <v>1036</v>
      </c>
      <c r="I19" s="347" t="s">
        <v>1437</v>
      </c>
      <c r="J19" s="24">
        <f ca="1">IF(K19="按租金收入计税",ROUND(J5*M19,2),ROUND(C29*M19*0.7,2))</f>
        <v>4.5</v>
      </c>
      <c r="K19" s="1830" t="s">
        <v>1438</v>
      </c>
      <c r="L19" s="347" t="s">
        <v>1422</v>
      </c>
      <c r="M19" s="367">
        <f>IF(K19="按租金收入计税",'数据-取费表'!B51,'数据-取费表'!B50)</f>
        <v>1.2E-2</v>
      </c>
    </row>
    <row r="20" spans="1:37" s="1860" customFormat="1" ht="18" customHeight="1">
      <c r="A20" s="1203" t="s">
        <v>1039</v>
      </c>
      <c r="B20" s="347" t="s">
        <v>1439</v>
      </c>
      <c r="C20" s="24">
        <f ca="1">ROUND(C19*F20,0)</f>
        <v>13</v>
      </c>
      <c r="D20" s="369" t="s">
        <v>1440</v>
      </c>
      <c r="E20" s="347" t="s">
        <v>1422</v>
      </c>
      <c r="F20" s="367">
        <f>'数据-取费表'!B37</f>
        <v>0.03</v>
      </c>
      <c r="G20" s="1856"/>
      <c r="H20" s="1203" t="s">
        <v>1389</v>
      </c>
      <c r="I20" s="164" t="s">
        <v>1441</v>
      </c>
      <c r="J20" s="25">
        <f ca="1">ROUND(M20*M21/10000,2)</f>
        <v>0</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18</v>
      </c>
      <c r="D21" s="369" t="s">
        <v>1445</v>
      </c>
      <c r="E21" s="347" t="s">
        <v>1446</v>
      </c>
      <c r="F21" s="367">
        <f>'数据-取费表'!B38</f>
        <v>0.03</v>
      </c>
      <c r="G21" s="1856"/>
      <c r="H21" s="372"/>
      <c r="I21" s="356"/>
      <c r="J21" s="29"/>
      <c r="K21" s="373"/>
      <c r="L21" s="347" t="s">
        <v>1447</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单利计息。建造成本、管理费用、销售费用产生的利息。</v>
      </c>
      <c r="E22" s="1820"/>
      <c r="F22" s="26"/>
      <c r="G22" s="1853"/>
      <c r="H22" s="1203" t="s">
        <v>1039</v>
      </c>
      <c r="I22" s="347" t="s">
        <v>1449</v>
      </c>
      <c r="J22" s="24">
        <f ca="1">ROUND(J14*M22,1)</f>
        <v>8</v>
      </c>
      <c r="K22" s="1800" t="s">
        <v>1450</v>
      </c>
      <c r="L22" s="347" t="s">
        <v>1422</v>
      </c>
      <c r="M22" s="374">
        <f ca="1">INDIRECT("'数据-取费表'!Ak"&amp;$G$1)</f>
        <v>1.4999999999999999E-2</v>
      </c>
    </row>
    <row r="23" spans="1:37" s="1860" customFormat="1" ht="18" customHeight="1">
      <c r="A23" s="1203" t="s">
        <v>1034</v>
      </c>
      <c r="B23" s="347" t="s">
        <v>1451</v>
      </c>
      <c r="C23" s="24">
        <f ca="1">IF('数据-取费表'!B22&lt;=1,ROUND(C19*F24*F23/2,0)+ROUND(C20*F24*F23/2,0),ROUND(C19*(POWER((1+F24),F23/2)-1),0)+ROUND(C20*(POWER((1+F24),F23/2)-1),0))</f>
        <v>9</v>
      </c>
      <c r="D23" s="375" t="str">
        <f>IF(F23&lt;=1,"(建造成本+管理费用)×利率×(建设周期÷2)","(建造成本+管理费用)×((1+利率)^(建设周期÷2)-1)")</f>
        <v>(建造成本+管理费用)×利率×(建设周期÷2)</v>
      </c>
      <c r="E23" s="347" t="s">
        <v>1452</v>
      </c>
      <c r="F23" s="371">
        <f>'数据-取费表'!B20</f>
        <v>1</v>
      </c>
      <c r="G23" s="1856"/>
      <c r="H23" s="1203" t="s">
        <v>1075</v>
      </c>
      <c r="I23" s="347" t="s">
        <v>1453</v>
      </c>
      <c r="J23" s="24">
        <f ca="1">ROUND(J13*M23,1)</f>
        <v>0</v>
      </c>
      <c r="K23" s="1800" t="s">
        <v>1454</v>
      </c>
      <c r="L23" s="347" t="s">
        <v>1455</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7" t="s">
        <v>1457</v>
      </c>
      <c r="C24" s="24">
        <f ca="1">ROUND(IF('数据-取费表'!B22&lt;=1,F21*F24*F23/2,F21*(POWER((1+F24),F23/2)-1)),4)</f>
        <v>6.9999999999999999E-4</v>
      </c>
      <c r="D24" s="375" t="str">
        <f>IF(F23&lt;=1,"销售费用×利率×(建设周期÷2)","销售费用×((1+利率)^(建设周期÷2)-1)")</f>
        <v>销售费用×利率×(建设周期÷2)</v>
      </c>
      <c r="E24" s="347" t="s">
        <v>1458</v>
      </c>
      <c r="F24" s="377">
        <f ca="1">'数据-取费表'!B40</f>
        <v>4.3499999999999997E-2</v>
      </c>
      <c r="G24" s="1856"/>
      <c r="H24" s="1341" t="s">
        <v>1393</v>
      </c>
      <c r="I24" s="1342" t="s">
        <v>1439</v>
      </c>
      <c r="J24" s="1343">
        <f ca="1">ROUND(J5*M24,1)</f>
        <v>0</v>
      </c>
      <c r="K24" s="1344" t="s">
        <v>1459</v>
      </c>
      <c r="L24" s="1342" t="s">
        <v>1455</v>
      </c>
      <c r="M24" s="1338">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7" t="s">
        <v>1461</v>
      </c>
      <c r="C25" s="24"/>
      <c r="D25" s="140" t="s">
        <v>1462</v>
      </c>
      <c r="E25" s="1820"/>
      <c r="F25" s="26"/>
      <c r="G25" s="1853"/>
      <c r="H25" s="1331" t="s">
        <v>1031</v>
      </c>
      <c r="I25" s="1346" t="s">
        <v>1463</v>
      </c>
      <c r="J25" s="355">
        <f ca="1">J5-J16</f>
        <v>-13</v>
      </c>
      <c r="K25" s="1347" t="s">
        <v>1464</v>
      </c>
      <c r="L25" s="1348"/>
      <c r="M25" s="1349"/>
    </row>
    <row r="26" spans="1:37">
      <c r="A26" s="1203" t="s">
        <v>1034</v>
      </c>
      <c r="B26" s="347" t="s">
        <v>1465</v>
      </c>
      <c r="C26" s="24">
        <f ca="1">ROUND((C19+C20)*F26,0)</f>
        <v>44</v>
      </c>
      <c r="D26" s="369" t="s">
        <v>1466</v>
      </c>
      <c r="E26" s="358" t="s">
        <v>1467</v>
      </c>
      <c r="F26" s="357">
        <f ca="1">INDIRECT("'数据-取费表'!q"&amp;$G$1)</f>
        <v>0.1</v>
      </c>
      <c r="G26" s="1853"/>
      <c r="H26" s="344" t="s">
        <v>1032</v>
      </c>
      <c r="I26" s="345" t="s">
        <v>1468</v>
      </c>
      <c r="J26" s="346">
        <f ca="1">IF(J5&lt;&gt;0,ROUND(J25*(1-((1+M28)/(1+M26))^M27)/(M26-M28),0),0)</f>
        <v>0</v>
      </c>
      <c r="K26" s="370" t="s">
        <v>1469</v>
      </c>
      <c r="L26" s="347" t="s">
        <v>1470</v>
      </c>
      <c r="M26" s="357">
        <f ca="1">INDIRECT("'数据-取费表'!I"&amp;$G$1)</f>
        <v>0.06</v>
      </c>
    </row>
    <row r="27" spans="1:37" ht="18" customHeight="1">
      <c r="A27" s="1203" t="s">
        <v>1036</v>
      </c>
      <c r="B27" s="347" t="s">
        <v>1471</v>
      </c>
      <c r="C27" s="24">
        <f ca="1">ROUND(F21*F26,4)</f>
        <v>3.0000000000000001E-3</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5.2400000000000002E-2</v>
      </c>
      <c r="D28" s="369" t="s">
        <v>1476</v>
      </c>
      <c r="E28" s="347" t="s">
        <v>1422</v>
      </c>
      <c r="F28" s="367">
        <f>'数据-取费表'!B41</f>
        <v>5.5000000000000007E-2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536</v>
      </c>
      <c r="D29" s="1344"/>
      <c r="E29" s="1342"/>
      <c r="F29" s="1345"/>
      <c r="G29" s="1856"/>
      <c r="H29" s="380" t="s">
        <v>1033</v>
      </c>
      <c r="I29" s="381" t="s">
        <v>1479</v>
      </c>
      <c r="J29" s="382">
        <f ca="1">ROUND(J26/(1+F40)^F41,0)</f>
        <v>0</v>
      </c>
      <c r="K29" s="383" t="s">
        <v>1480</v>
      </c>
      <c r="L29" s="384"/>
      <c r="M29" s="385">
        <f ca="1">INDIRECT("'数据-取费表'!k"&amp;$G$1)</f>
        <v>1246.4000000000001</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20</v>
      </c>
      <c r="D30" s="1339" t="s">
        <v>1425</v>
      </c>
      <c r="E30" s="1340"/>
      <c r="F30" s="1296"/>
      <c r="G30" s="1853"/>
      <c r="H30" s="745"/>
      <c r="I30" s="746"/>
      <c r="J30" s="747"/>
      <c r="K30" s="748"/>
      <c r="L30" s="749"/>
      <c r="M30" s="750"/>
    </row>
    <row r="31" spans="1:37" ht="18" customHeight="1">
      <c r="A31" s="1203" t="s">
        <v>1035</v>
      </c>
      <c r="B31" s="347" t="s">
        <v>1429</v>
      </c>
      <c r="C31" s="24">
        <f ca="1">ROUND(IF(项目基本情况!B11="自然人",C5*F31,C32+C33+C34),1)</f>
        <v>10</v>
      </c>
      <c r="D31" s="1802" t="s">
        <v>1430</v>
      </c>
      <c r="E31" s="1800" t="s">
        <v>1481</v>
      </c>
      <c r="F31" s="368" t="str">
        <f ca="1">IF(项目基本情况!B11="企业","",IF(INDIRECT("'数据-取费表'!c"&amp;$G$1)="住宅",5%,IF(F6*F7*F8/12/(1+'数据-取费表'!C42)&gt;20000,12%,7%)))</f>
        <v/>
      </c>
      <c r="G31" s="1853"/>
      <c r="H31" s="745"/>
      <c r="I31" s="746"/>
      <c r="J31" s="747"/>
      <c r="K31" s="748"/>
      <c r="L31" s="749"/>
      <c r="M31" s="750"/>
    </row>
    <row r="32" spans="1:37" ht="18" customHeight="1">
      <c r="A32" s="1203" t="s">
        <v>1034</v>
      </c>
      <c r="B32" s="347" t="s">
        <v>1433</v>
      </c>
      <c r="C32" s="24">
        <f ca="1">IF(项目基本情况!B11="自然人","——",ROUND(C5*F32/(1+'数据-取费表'!C42),2))</f>
        <v>5.45</v>
      </c>
      <c r="D32" s="1800" t="s">
        <v>1434</v>
      </c>
      <c r="E32" s="347" t="s">
        <v>1422</v>
      </c>
      <c r="F32" s="377">
        <f>'数据-取费表'!B41</f>
        <v>5.5000000000000007E-2</v>
      </c>
      <c r="G32" s="1853"/>
      <c r="H32" s="745"/>
      <c r="I32" s="746"/>
      <c r="J32" s="747"/>
      <c r="K32" s="748"/>
      <c r="L32" s="749"/>
      <c r="M32" s="750"/>
    </row>
    <row r="33" spans="1:18" ht="18" customHeight="1">
      <c r="A33" s="1203" t="s">
        <v>1036</v>
      </c>
      <c r="B33" s="347" t="s">
        <v>1437</v>
      </c>
      <c r="C33" s="24">
        <f ca="1">IF(项目基本情况!B11="自然人","——",IF(D33="按租金收入计税",ROUND(C5*F33,2),IF(D33="按房产原值计税",ROUND(C29*F33*0.7,2),INDIRECT("'数据-取费表'!Aj"&amp;$G$1))))</f>
        <v>4.5</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3" t="s">
        <v>1389</v>
      </c>
      <c r="B34" s="164" t="s">
        <v>1441</v>
      </c>
      <c r="C34" s="25">
        <f ca="1">IF(项目基本情况!B11="自然人","——",ROUND(F34*F35/10000,2))</f>
        <v>0</v>
      </c>
      <c r="D34" s="370" t="s">
        <v>1442</v>
      </c>
      <c r="E34" s="347" t="s">
        <v>1443</v>
      </c>
      <c r="F34" s="371">
        <f>'数据-取费表'!B52</f>
        <v>1.5</v>
      </c>
      <c r="G34" s="1853"/>
      <c r="H34" s="745"/>
      <c r="I34" s="1862"/>
      <c r="J34" s="1863"/>
      <c r="K34" s="1865"/>
      <c r="L34" s="1866"/>
      <c r="M34" s="1866"/>
    </row>
    <row r="35" spans="1:18" ht="18" customHeight="1">
      <c r="A35" s="1355"/>
      <c r="B35" s="1353"/>
      <c r="C35" s="29"/>
      <c r="D35" s="373"/>
      <c r="E35" s="347" t="s">
        <v>1447</v>
      </c>
      <c r="F35" s="348">
        <f ca="1">INDIRECT("'数据-取费表'!r"&amp;$G$1)</f>
        <v>0</v>
      </c>
      <c r="G35" s="1853"/>
      <c r="H35" s="745"/>
      <c r="I35" s="1862"/>
      <c r="J35" s="1863"/>
      <c r="K35" s="1864"/>
      <c r="L35" s="1861"/>
      <c r="M35" s="1861"/>
    </row>
    <row r="36" spans="1:18" ht="18" customHeight="1">
      <c r="A36" s="1354" t="s">
        <v>1039</v>
      </c>
      <c r="B36" s="347" t="s">
        <v>1449</v>
      </c>
      <c r="C36" s="24">
        <f ca="1">ROUND(C29*F36,1)</f>
        <v>8</v>
      </c>
      <c r="D36" s="1800" t="s">
        <v>1482</v>
      </c>
      <c r="E36" s="347" t="s">
        <v>1422</v>
      </c>
      <c r="F36" s="374">
        <f ca="1">INDIRECT("'数据-取费表'!Ak"&amp;$G$1)</f>
        <v>1.4999999999999999E-2</v>
      </c>
      <c r="G36" s="1853"/>
      <c r="H36" s="1861"/>
      <c r="I36" s="1862"/>
      <c r="J36" s="1863"/>
      <c r="K36" s="751"/>
      <c r="L36" s="1861"/>
      <c r="M36" s="1861"/>
    </row>
    <row r="37" spans="1:18" ht="18" customHeight="1">
      <c r="A37" s="1203" t="s">
        <v>1075</v>
      </c>
      <c r="B37" s="347" t="s">
        <v>1453</v>
      </c>
      <c r="C37" s="24">
        <f ca="1">ROUND(C13*F37,1)</f>
        <v>0.8</v>
      </c>
      <c r="D37" s="1800" t="s">
        <v>1454</v>
      </c>
      <c r="E37" s="347" t="s">
        <v>1455</v>
      </c>
      <c r="F37" s="376">
        <f ca="1">INDIRECT("'数据-取费表'!Al"&amp;$G$1)</f>
        <v>1.5E-3</v>
      </c>
      <c r="G37" s="1853"/>
      <c r="H37" s="1861"/>
      <c r="I37" s="1862"/>
      <c r="J37" s="1863"/>
      <c r="K37" s="751"/>
      <c r="L37" s="1861"/>
      <c r="M37" s="1861"/>
    </row>
    <row r="38" spans="1:18" ht="18" customHeight="1" thickBot="1">
      <c r="A38" s="1341" t="s">
        <v>1393</v>
      </c>
      <c r="B38" s="1342" t="s">
        <v>1439</v>
      </c>
      <c r="C38" s="1343">
        <f ca="1">ROUND(C5*F38,1)</f>
        <v>1</v>
      </c>
      <c r="D38" s="1344" t="s">
        <v>1459</v>
      </c>
      <c r="E38" s="1342" t="s">
        <v>1455</v>
      </c>
      <c r="F38" s="1338">
        <f ca="1">INDIRECT("'数据-取费表'!Am"&amp;$G$1)</f>
        <v>0.01</v>
      </c>
      <c r="G38" s="1853"/>
      <c r="H38" s="1861"/>
      <c r="I38" s="1862"/>
      <c r="J38" s="1863"/>
      <c r="K38" s="1867"/>
      <c r="L38" s="1861"/>
      <c r="M38" s="1861"/>
    </row>
    <row r="39" spans="1:18" ht="24.6" customHeight="1" thickTop="1">
      <c r="A39" s="1331" t="s">
        <v>1031</v>
      </c>
      <c r="B39" s="1346" t="s">
        <v>1483</v>
      </c>
      <c r="C39" s="355">
        <f ca="1">C5-C30</f>
        <v>84</v>
      </c>
      <c r="D39" s="1347" t="s">
        <v>1484</v>
      </c>
      <c r="E39" s="1348"/>
      <c r="F39" s="1349"/>
      <c r="G39" s="1853"/>
      <c r="H39" s="1861"/>
      <c r="I39" s="1862"/>
      <c r="J39" s="1863"/>
      <c r="K39" s="1867"/>
      <c r="L39" s="1861"/>
      <c r="M39" s="1861"/>
    </row>
    <row r="40" spans="1:18" ht="18" customHeight="1">
      <c r="A40" s="344" t="s">
        <v>1032</v>
      </c>
      <c r="B40" s="345" t="s">
        <v>1485</v>
      </c>
      <c r="C40" s="346">
        <f ca="1">ROUND(C39*(1-((1+F42)/(1+F40))^F41)/(F40-F42),0)</f>
        <v>1699</v>
      </c>
      <c r="D40" s="370" t="s">
        <v>1469</v>
      </c>
      <c r="E40" s="347" t="s">
        <v>1470</v>
      </c>
      <c r="F40" s="357">
        <f ca="1">INDIRECT("'数据-取费表'!I"&amp;$G$1)</f>
        <v>0.06</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43.03</v>
      </c>
      <c r="G41" s="1853"/>
      <c r="H41" s="732"/>
      <c r="I41" s="1862"/>
      <c r="J41" s="1863"/>
      <c r="K41" s="751"/>
      <c r="L41" s="732"/>
      <c r="M41" s="732"/>
    </row>
    <row r="42" spans="1:18" ht="18" customHeight="1">
      <c r="A42" s="353"/>
      <c r="B42" s="354"/>
      <c r="C42" s="355"/>
      <c r="D42" s="373"/>
      <c r="E42" s="347" t="s">
        <v>1477</v>
      </c>
      <c r="F42" s="357">
        <f ca="1">INDIRECT("'数据-取费表'!v"&amp;$G$1)</f>
        <v>0.02</v>
      </c>
      <c r="G42" s="1853"/>
      <c r="H42" s="732"/>
      <c r="I42" s="1862"/>
      <c r="J42" s="1863"/>
      <c r="K42" s="751"/>
      <c r="L42" s="732"/>
      <c r="M42" s="732"/>
    </row>
    <row r="43" spans="1:18" ht="18" customHeight="1" thickBot="1">
      <c r="A43" s="380" t="s">
        <v>1033</v>
      </c>
      <c r="B43" s="381" t="s">
        <v>1487</v>
      </c>
      <c r="C43" s="382">
        <f ca="1">ROUND(C40*10000/F43,0)</f>
        <v>13631</v>
      </c>
      <c r="D43" s="383" t="s">
        <v>1488</v>
      </c>
      <c r="E43" s="384" t="s">
        <v>1489</v>
      </c>
      <c r="F43" s="385">
        <f ca="1">INDIRECT("'数据-取费表'!k"&amp;$G$1)</f>
        <v>1246.4000000000001</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1519</v>
      </c>
      <c r="P45" s="1841"/>
      <c r="Q45" s="1841"/>
      <c r="R45" s="1841"/>
    </row>
    <row r="46" spans="1:18" s="1844" customFormat="1" ht="13.5" thickBot="1">
      <c r="A46" s="1872" t="s">
        <v>1520</v>
      </c>
      <c r="C46" s="1873">
        <f ca="1">C68-C40</f>
        <v>-1898</v>
      </c>
      <c r="D46" s="1874" t="str">
        <f>C2</f>
        <v>万元</v>
      </c>
      <c r="E46" s="1868"/>
      <c r="F46" s="1868"/>
      <c r="I46" s="1875" t="s">
        <v>1521</v>
      </c>
      <c r="J46" s="1876"/>
      <c r="K46" s="1877"/>
      <c r="L46" s="1878" t="str">
        <f ca="1">IF(M47="住宅",0,IF(L48&gt;J51,L60,J60))</f>
        <v>0</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2"/>
      <c r="I47" s="1882" t="s">
        <v>1526</v>
      </c>
      <c r="J47" s="1883" t="s">
        <v>3078</v>
      </c>
      <c r="K47" s="1884" t="s">
        <v>1527</v>
      </c>
      <c r="L47" s="1885">
        <f ca="1">INDIRECT("'数据-取费表'!d"&amp;$G$1)</f>
        <v>50</v>
      </c>
      <c r="M47" s="1840" t="str">
        <f>IF(ISNUMBER(FIND("住宅",C1)),"住宅","非住宅")</f>
        <v>非住宅</v>
      </c>
      <c r="O47" s="1886" t="s">
        <v>1040</v>
      </c>
      <c r="P47" s="1887" t="s">
        <v>1528</v>
      </c>
      <c r="Q47" s="1888">
        <f ca="1">C40+J29</f>
        <v>1699</v>
      </c>
      <c r="R47" s="1888" t="s">
        <v>1529</v>
      </c>
    </row>
    <row r="48" spans="1:18" s="1844" customFormat="1" ht="28.5" thickBot="1">
      <c r="A48" s="1362" t="s">
        <v>1135</v>
      </c>
      <c r="B48" s="345" t="s">
        <v>1401</v>
      </c>
      <c r="C48" s="1819">
        <f ca="1">C49+C53+C55</f>
        <v>0</v>
      </c>
      <c r="D48" s="1364"/>
      <c r="E48" s="1365"/>
      <c r="F48" s="1183"/>
      <c r="G48" s="792"/>
      <c r="H48" s="793"/>
      <c r="I48" s="1889" t="s">
        <v>1530</v>
      </c>
      <c r="J48" s="1890" t="s">
        <v>3079</v>
      </c>
      <c r="K48" s="1891" t="s">
        <v>1531</v>
      </c>
      <c r="L48" s="1892">
        <f ca="1">INDIRECT("'数据-取费表'!f"&amp;$G$1)</f>
        <v>43.03</v>
      </c>
      <c r="O48" s="1886" t="s">
        <v>1041</v>
      </c>
      <c r="P48" s="1887" t="s">
        <v>1532</v>
      </c>
      <c r="Q48" s="1888" t="str">
        <f ca="1">J60</f>
        <v>0</v>
      </c>
      <c r="R48" s="1888" t="s">
        <v>1533</v>
      </c>
    </row>
    <row r="49" spans="1:18" s="1844" customFormat="1" ht="13.5" thickBot="1">
      <c r="A49" s="1196" t="s">
        <v>1136</v>
      </c>
      <c r="B49" s="1831" t="s">
        <v>1490</v>
      </c>
      <c r="C49" s="1366">
        <f ca="1">ROUND(F49*F51*F50*(1-F52)/10000,0)</f>
        <v>0</v>
      </c>
      <c r="D49" s="1278" t="s">
        <v>3025</v>
      </c>
      <c r="E49" s="1832" t="s">
        <v>1491</v>
      </c>
      <c r="F49" s="1283">
        <f ca="1">M6</f>
        <v>0</v>
      </c>
      <c r="G49" s="1893"/>
      <c r="H49" s="793"/>
      <c r="I49" s="1889" t="s">
        <v>1534</v>
      </c>
      <c r="J49" s="1894">
        <v>2015</v>
      </c>
      <c r="K49" s="1891" t="s">
        <v>1535</v>
      </c>
      <c r="L49" s="1895"/>
      <c r="O49" s="1896" t="s">
        <v>1042</v>
      </c>
      <c r="P49" s="1887" t="s">
        <v>1536</v>
      </c>
      <c r="Q49" s="1888">
        <f ca="1">C29</f>
        <v>536</v>
      </c>
      <c r="R49" s="1888" t="s">
        <v>1529</v>
      </c>
    </row>
    <row r="50" spans="1:18" s="1844" customFormat="1" ht="13.5" thickBot="1">
      <c r="A50" s="1197"/>
      <c r="B50" s="1200"/>
      <c r="C50" s="1370"/>
      <c r="D50" s="1174"/>
      <c r="E50" s="1279" t="s">
        <v>1406</v>
      </c>
      <c r="F50" s="1280">
        <f ca="1">F7</f>
        <v>1246.4000000000001</v>
      </c>
      <c r="H50" s="793"/>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8"/>
      <c r="B51" s="1200"/>
      <c r="C51" s="1201"/>
      <c r="D51" s="1174"/>
      <c r="E51" s="1202" t="s">
        <v>1407</v>
      </c>
      <c r="F51" s="348">
        <f ca="1">F8</f>
        <v>365</v>
      </c>
      <c r="I51" s="1900" t="s">
        <v>1540</v>
      </c>
      <c r="J51" s="1901">
        <f>IF(J49="",J50,J49+J50-YEAR('数据-取费表'!B2))</f>
        <v>57</v>
      </c>
      <c r="K51" s="1902" t="s">
        <v>1541</v>
      </c>
      <c r="L51" s="1903">
        <f ca="1">ROUND(-PV(INDIRECT("'数据-取费表'!h"&amp;$G$1),L48,(C39-C13*C76),0),0)</f>
        <v>715</v>
      </c>
      <c r="M51" s="1904"/>
      <c r="O51" s="1896" t="s">
        <v>1044</v>
      </c>
      <c r="P51" s="1887" t="s">
        <v>1542</v>
      </c>
      <c r="Q51" s="1899">
        <f>J52</f>
        <v>0.09</v>
      </c>
      <c r="R51" s="1888"/>
    </row>
    <row r="52" spans="1:18" s="1844" customFormat="1" ht="13.5" thickBot="1">
      <c r="A52" s="1198"/>
      <c r="B52" s="1200"/>
      <c r="C52" s="1201"/>
      <c r="D52" s="1174"/>
      <c r="E52" s="1202" t="s">
        <v>1408</v>
      </c>
      <c r="F52" s="1277">
        <f ca="1">M9</f>
        <v>0</v>
      </c>
      <c r="I52" s="1905" t="s">
        <v>1543</v>
      </c>
      <c r="J52" s="1906">
        <v>0.09</v>
      </c>
      <c r="K52" s="1905" t="s">
        <v>1544</v>
      </c>
      <c r="L52" s="1906"/>
      <c r="O52" s="1896" t="s">
        <v>1045</v>
      </c>
      <c r="P52" s="1887" t="s">
        <v>1545</v>
      </c>
      <c r="Q52" s="1888">
        <f ca="1">J53</f>
        <v>43.03</v>
      </c>
      <c r="R52" s="1888" t="s">
        <v>1546</v>
      </c>
    </row>
    <row r="53" spans="1:18" s="1844" customFormat="1" ht="24.75" thickBot="1">
      <c r="A53" s="1407" t="s">
        <v>1137</v>
      </c>
      <c r="B53" s="1833" t="s">
        <v>1409</v>
      </c>
      <c r="C53" s="361">
        <f ca="1">ROUND(IF(F53="押一",F49*F51*F50/12*F11,IF(F53="押二",F49*F51*F50/12*2*F11,IF(F53="押三",F49*F51*F50/12*3*F11,C54*F11)))/10000,0)</f>
        <v>0</v>
      </c>
      <c r="D53" s="1826" t="s">
        <v>3023</v>
      </c>
      <c r="E53" s="358" t="s">
        <v>1411</v>
      </c>
      <c r="F53" s="1368" t="s">
        <v>3077</v>
      </c>
      <c r="I53" s="1907" t="s">
        <v>1547</v>
      </c>
      <c r="J53" s="1908">
        <f ca="1">IF(M47="住宅",J51,IF(D1="——",MIN(J51,L48),IF(D1="在建（套用方法）",MIN(J51,L48-'数据-取费表'!B24),IF(D1="土地（套用方法）",MIN(J51,L48-'数据-取费表'!B20)))))</f>
        <v>43.03</v>
      </c>
      <c r="K53" s="3167" t="s">
        <v>1548</v>
      </c>
      <c r="L53" s="3168"/>
      <c r="O53" s="1886" t="s">
        <v>1046</v>
      </c>
      <c r="P53" s="1887" t="s">
        <v>1549</v>
      </c>
      <c r="Q53" s="1888">
        <f ca="1">Q47+Q48</f>
        <v>1699</v>
      </c>
      <c r="R53" s="1888" t="s">
        <v>1047</v>
      </c>
    </row>
    <row r="54" spans="1:18" s="1844" customFormat="1" ht="13.5" thickBot="1">
      <c r="A54" s="1408"/>
      <c r="B54" s="1827" t="s">
        <v>1388</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#VALUE!</v>
      </c>
      <c r="K55" s="1914" t="s">
        <v>1552</v>
      </c>
      <c r="L55" s="1915" t="s">
        <v>1553</v>
      </c>
      <c r="O55" s="1879" t="s">
        <v>1522</v>
      </c>
      <c r="P55" s="1880" t="s">
        <v>1523</v>
      </c>
      <c r="Q55" s="1881" t="s">
        <v>1524</v>
      </c>
      <c r="R55" s="1881" t="s">
        <v>1525</v>
      </c>
    </row>
    <row r="56" spans="1:18" s="1844" customFormat="1" ht="25.5" thickTop="1" thickBot="1">
      <c r="A56" s="1178">
        <v>2</v>
      </c>
      <c r="B56" s="1179" t="s">
        <v>1414</v>
      </c>
      <c r="C56" s="276">
        <f ca="1">C13</f>
        <v>509</v>
      </c>
      <c r="D56" s="1916"/>
      <c r="E56" s="1917"/>
      <c r="F56" s="1909"/>
      <c r="I56" s="1918" t="s">
        <v>1554</v>
      </c>
      <c r="J56" s="1919" t="s">
        <v>3045</v>
      </c>
      <c r="K56" s="1889" t="s">
        <v>1555</v>
      </c>
      <c r="L56" s="1892" t="str">
        <f ca="1">IF(L48&lt;J51,"——",L48-J53)</f>
        <v>——</v>
      </c>
      <c r="O56" s="1886" t="s">
        <v>1040</v>
      </c>
      <c r="P56" s="1887" t="s">
        <v>1528</v>
      </c>
      <c r="Q56" s="1888">
        <f ca="1">C40+J29</f>
        <v>1699</v>
      </c>
      <c r="R56" s="1888" t="s">
        <v>1529</v>
      </c>
    </row>
    <row r="57" spans="1:18" s="1844" customFormat="1" ht="24.75" thickBot="1">
      <c r="A57" s="1920"/>
      <c r="B57" s="1171" t="s">
        <v>1478</v>
      </c>
      <c r="C57" s="282">
        <f ca="1">C29</f>
        <v>536</v>
      </c>
      <c r="D57" s="1921"/>
      <c r="E57" s="1922"/>
      <c r="F57" s="1923"/>
      <c r="I57" s="1924" t="s">
        <v>1556</v>
      </c>
      <c r="J57" s="1925" t="str">
        <f ca="1">IF(OR(M47="住宅",J51&lt;L48,J56="是"),"——",J51-L48)</f>
        <v>——</v>
      </c>
      <c r="K57" s="1889" t="s">
        <v>1557</v>
      </c>
      <c r="L57" s="1892" t="str">
        <f ca="1">IF(L48&lt;J51,"——",IF(L55="比较法",L49,IF(L55="基准地价",L50,L51)))</f>
        <v>——</v>
      </c>
      <c r="O57" s="1886" t="s">
        <v>1041</v>
      </c>
      <c r="P57" s="1887" t="s">
        <v>1558</v>
      </c>
      <c r="Q57" s="1888">
        <f ca="1">L60</f>
        <v>0</v>
      </c>
      <c r="R57" s="1888" t="s">
        <v>1559</v>
      </c>
    </row>
    <row r="58" spans="1:18" s="1844" customFormat="1" ht="24.75" thickBot="1">
      <c r="A58" s="360" t="s">
        <v>1030</v>
      </c>
      <c r="B58" s="1179" t="s">
        <v>1424</v>
      </c>
      <c r="C58" s="361">
        <f ca="1">ROUND(C59+C64+C65+C66,0)</f>
        <v>13</v>
      </c>
      <c r="D58" s="1181" t="s">
        <v>1425</v>
      </c>
      <c r="E58" s="1182"/>
      <c r="F58" s="1183"/>
      <c r="I58" s="1924" t="s">
        <v>1560</v>
      </c>
      <c r="J58" s="1926" t="e">
        <f ca="1">IF(J55&lt;0.4,0.4,J55)</f>
        <v>#VALUE!</v>
      </c>
      <c r="K58" s="1902" t="s">
        <v>1561</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4">
        <f ca="1">ROUND(IF(项目基本情况!B11="自然人",C48*F59,C60+C61+C62),1)</f>
        <v>4.5</v>
      </c>
      <c r="D59" s="1184" t="s">
        <v>1430</v>
      </c>
      <c r="E59" s="1185" t="s">
        <v>1431</v>
      </c>
      <c r="F59" s="368" t="str">
        <f ca="1">IF(项目基本情况!B11="企业","",IF(INDIRECT("'数据-取费表'!c"&amp;$G$1)="住宅",5%,IF(F49*F50*F51/12/(1+'数据-取费表'!C42)&gt;20000,12%,7%)))</f>
        <v/>
      </c>
      <c r="I59" s="1924" t="s">
        <v>1563</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4">
        <f ca="1">IF(项目基本情况!B11="自然人","——",ROUND(C48*F60/(1+'数据-取费表'!C42),2))</f>
        <v>0</v>
      </c>
      <c r="D60" s="1185" t="s">
        <v>1434</v>
      </c>
      <c r="E60" s="1171" t="s">
        <v>1422</v>
      </c>
      <c r="F60" s="377">
        <f t="shared" ref="F60:F66" si="0">F32</f>
        <v>5.5000000000000007E-2</v>
      </c>
      <c r="I60" s="1927" t="s">
        <v>1565</v>
      </c>
      <c r="J60" s="1928" t="str">
        <f ca="1">IF(OR(M47="住宅",J51&lt;L48,J56="是"),"0",ROUND(J59/(1+J52)^J53,0))</f>
        <v>0</v>
      </c>
      <c r="K60" s="1929" t="s">
        <v>1566</v>
      </c>
      <c r="L60" s="1928">
        <f ca="1">IF(OR(M47="住宅",L48&lt;J51),0,ROUND(L57*(L58/L59-1),0))</f>
        <v>0</v>
      </c>
      <c r="O60" s="1896" t="s">
        <v>1044</v>
      </c>
      <c r="P60" s="1887" t="s">
        <v>1567</v>
      </c>
      <c r="Q60" s="1888" t="e">
        <f ca="1">L58</f>
        <v>#DIV/0!</v>
      </c>
      <c r="R60" s="1888" t="s">
        <v>1568</v>
      </c>
    </row>
    <row r="61" spans="1:18" s="1844" customFormat="1" ht="13.5" thickBot="1">
      <c r="A61" s="1203" t="s">
        <v>1492</v>
      </c>
      <c r="B61" s="1171" t="s">
        <v>1493</v>
      </c>
      <c r="C61" s="24">
        <f ca="1">IF(项目基本情况!B11="自然人","——",IF(D61="按租金收入计税",ROUND(C48*F61,2),IF(D61="按房产原值计税",ROUND(C57*F61*0.7,2),INDIRECT("'数据-取费表'!Aj"&amp;$G$1))))</f>
        <v>4.5</v>
      </c>
      <c r="D61" s="1830" t="s">
        <v>1438</v>
      </c>
      <c r="E61" s="1171" t="s">
        <v>1494</v>
      </c>
      <c r="F61" s="367">
        <f t="shared" si="0"/>
        <v>1.2E-2</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3" t="s">
        <v>1495</v>
      </c>
      <c r="B62" s="1170" t="s">
        <v>1496</v>
      </c>
      <c r="C62" s="25">
        <f ca="1">IF(项目基本情况!B11="自然人","——",ROUND(F62*F63/10000,2))</f>
        <v>0</v>
      </c>
      <c r="D62" s="1186" t="s">
        <v>1497</v>
      </c>
      <c r="E62" s="1171" t="s">
        <v>1498</v>
      </c>
      <c r="F62" s="371">
        <f t="shared" si="0"/>
        <v>1.5</v>
      </c>
      <c r="I62" s="1931" t="s">
        <v>1570</v>
      </c>
      <c r="J62" s="1932" t="s">
        <v>1571</v>
      </c>
      <c r="K62" s="1932" t="s">
        <v>1572</v>
      </c>
      <c r="L62" s="1932" t="s">
        <v>1573</v>
      </c>
      <c r="M62" s="1933" t="s">
        <v>1574</v>
      </c>
      <c r="O62" s="1886" t="s">
        <v>1046</v>
      </c>
      <c r="P62" s="1887" t="s">
        <v>1575</v>
      </c>
      <c r="Q62" s="1888">
        <f ca="1">Q56+Q57</f>
        <v>1699</v>
      </c>
      <c r="R62" s="1888" t="s">
        <v>1047</v>
      </c>
    </row>
    <row r="63" spans="1:18" s="1844" customFormat="1" ht="13.5" thickBot="1">
      <c r="A63" s="372"/>
      <c r="B63" s="1177"/>
      <c r="C63" s="29"/>
      <c r="D63" s="1187"/>
      <c r="E63" s="1171" t="s">
        <v>1499</v>
      </c>
      <c r="F63" s="348">
        <f t="shared" ca="1" si="0"/>
        <v>0</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4">
        <f ca="1">ROUND(C57*F64,1)</f>
        <v>8</v>
      </c>
      <c r="D64" s="1185" t="s">
        <v>1502</v>
      </c>
      <c r="E64" s="1171" t="s">
        <v>1494</v>
      </c>
      <c r="F64" s="374">
        <f t="shared" ca="1" si="0"/>
        <v>1.4999999999999999E-2</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ROUND(C56*F65,1)</f>
        <v>0.8</v>
      </c>
      <c r="D65" s="1185" t="s">
        <v>1454</v>
      </c>
      <c r="E65" s="1171" t="s">
        <v>1455</v>
      </c>
      <c r="F65" s="376">
        <f t="shared" ca="1" si="0"/>
        <v>1.5E-3</v>
      </c>
      <c r="I65" s="1931" t="s">
        <v>1579</v>
      </c>
      <c r="J65" s="1932">
        <v>40</v>
      </c>
      <c r="K65" s="1932">
        <v>30</v>
      </c>
      <c r="L65" s="1932">
        <v>50</v>
      </c>
      <c r="M65" s="1934">
        <v>0.02</v>
      </c>
      <c r="O65" s="1886" t="s">
        <v>1040</v>
      </c>
      <c r="P65" s="1887" t="s">
        <v>1580</v>
      </c>
      <c r="Q65" s="1888">
        <f ca="1">C40+J29</f>
        <v>1699</v>
      </c>
      <c r="R65" s="1888" t="s">
        <v>1529</v>
      </c>
    </row>
    <row r="66" spans="1:18" s="1844" customFormat="1" ht="16.5" thickBot="1">
      <c r="A66" s="1203" t="s">
        <v>1504</v>
      </c>
      <c r="B66" s="1171" t="s">
        <v>1439</v>
      </c>
      <c r="C66" s="24">
        <f ca="1">ROUND(C48*F66,1)</f>
        <v>0</v>
      </c>
      <c r="D66" s="1185" t="s">
        <v>1505</v>
      </c>
      <c r="E66" s="1171" t="s">
        <v>1422</v>
      </c>
      <c r="F66" s="357">
        <f t="shared" ca="1" si="0"/>
        <v>0.01</v>
      </c>
      <c r="O66" s="1886" t="s">
        <v>1041</v>
      </c>
      <c r="P66" s="1887" t="s">
        <v>1558</v>
      </c>
      <c r="Q66" s="1888">
        <f ca="1">L60</f>
        <v>0</v>
      </c>
      <c r="R66" s="1888" t="s">
        <v>1581</v>
      </c>
    </row>
    <row r="67" spans="1:18" s="1844" customFormat="1" ht="16.5" thickBot="1">
      <c r="A67" s="1178" t="s">
        <v>1031</v>
      </c>
      <c r="B67" s="1188" t="s">
        <v>1463</v>
      </c>
      <c r="C67" s="361">
        <f ca="1">C48-C58</f>
        <v>-13</v>
      </c>
      <c r="D67" s="1184" t="s">
        <v>1464</v>
      </c>
      <c r="E67" s="1189"/>
      <c r="F67" s="1190"/>
      <c r="O67" s="1896" t="s">
        <v>1042</v>
      </c>
      <c r="P67" s="1887" t="s">
        <v>1562</v>
      </c>
      <c r="Q67" s="1935">
        <f ca="1">L51</f>
        <v>715</v>
      </c>
      <c r="R67" s="1888" t="s">
        <v>1582</v>
      </c>
    </row>
    <row r="68" spans="1:18" s="1844" customFormat="1" ht="16.5" thickBot="1">
      <c r="A68" s="1168" t="s">
        <v>1032</v>
      </c>
      <c r="B68" s="1169" t="s">
        <v>1485</v>
      </c>
      <c r="C68" s="346">
        <f ca="1">ROUND(C67*(1-((1+F70)/(1+F68))^F69)/(F68-F70),0)</f>
        <v>-199</v>
      </c>
      <c r="D68" s="1186" t="s">
        <v>1469</v>
      </c>
      <c r="E68" s="1171" t="s">
        <v>1470</v>
      </c>
      <c r="F68" s="357">
        <f ca="1">F40</f>
        <v>0.06</v>
      </c>
      <c r="O68" s="1896" t="s">
        <v>1043</v>
      </c>
      <c r="P68" s="1936" t="s">
        <v>1583</v>
      </c>
      <c r="Q68" s="1888">
        <f ca="1">ROUND(Q69-Q70*Q71,0)</f>
        <v>41</v>
      </c>
      <c r="R68" s="1888" t="s">
        <v>1051</v>
      </c>
    </row>
    <row r="69" spans="1:18" s="1844" customFormat="1" ht="13.5" thickBot="1">
      <c r="A69" s="1172"/>
      <c r="B69" s="1173"/>
      <c r="C69" s="351"/>
      <c r="D69" s="1191" t="s">
        <v>1473</v>
      </c>
      <c r="E69" s="1171" t="s">
        <v>1474</v>
      </c>
      <c r="F69" s="379">
        <f ca="1">F41</f>
        <v>43.03</v>
      </c>
      <c r="O69" s="1896" t="s">
        <v>1048</v>
      </c>
      <c r="P69" s="1936" t="s">
        <v>1584</v>
      </c>
      <c r="Q69" s="1888">
        <f ca="1">C39</f>
        <v>84</v>
      </c>
      <c r="R69" s="1888" t="s">
        <v>1529</v>
      </c>
    </row>
    <row r="70" spans="1:18" s="1844" customFormat="1" ht="13.5" thickBot="1">
      <c r="A70" s="1175"/>
      <c r="B70" s="1176"/>
      <c r="C70" s="355"/>
      <c r="D70" s="1187"/>
      <c r="E70" s="1171" t="s">
        <v>1477</v>
      </c>
      <c r="F70" s="1277">
        <f ca="1">M28</f>
        <v>0</v>
      </c>
      <c r="O70" s="1896" t="s">
        <v>1049</v>
      </c>
      <c r="P70" s="1936" t="s">
        <v>1585</v>
      </c>
      <c r="Q70" s="1888">
        <f ca="1">C13</f>
        <v>509</v>
      </c>
      <c r="R70" s="1888" t="s">
        <v>1529</v>
      </c>
    </row>
    <row r="71" spans="1:18" s="1844" customFormat="1" ht="13.5" thickBot="1">
      <c r="A71" s="1192" t="s">
        <v>1033</v>
      </c>
      <c r="B71" s="1193" t="s">
        <v>1487</v>
      </c>
      <c r="C71" s="382">
        <f ca="1">ROUND(C68*10000/F71,0)</f>
        <v>-1597</v>
      </c>
      <c r="D71" s="1194" t="s">
        <v>1488</v>
      </c>
      <c r="E71" s="1195" t="s">
        <v>1489</v>
      </c>
      <c r="F71" s="385">
        <f ca="1">F43</f>
        <v>1246.4000000000001</v>
      </c>
      <c r="O71" s="1896" t="s">
        <v>1050</v>
      </c>
      <c r="P71" s="1936" t="s">
        <v>1586</v>
      </c>
      <c r="Q71" s="1899">
        <f ca="1">C76</f>
        <v>8.5000000000000006E-2</v>
      </c>
      <c r="R71" s="1888"/>
    </row>
    <row r="72" spans="1:18" s="1844" customFormat="1" ht="13.5" thickBot="1">
      <c r="B72" s="796"/>
      <c r="C72" s="796"/>
      <c r="O72" s="1896" t="s">
        <v>1044</v>
      </c>
      <c r="P72" s="1887" t="s">
        <v>1564</v>
      </c>
      <c r="Q72" s="1899">
        <f>L52</f>
        <v>0</v>
      </c>
      <c r="R72" s="1888"/>
    </row>
    <row r="73" spans="1:18" ht="16.5" thickBot="1">
      <c r="A73" s="1844"/>
      <c r="B73" s="796"/>
      <c r="C73" s="796"/>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6" t="s">
        <v>1506</v>
      </c>
      <c r="C75" s="387">
        <f ca="1">ROUND(C13*C76,0)</f>
        <v>43</v>
      </c>
      <c r="D75" s="1844"/>
      <c r="E75" s="1844"/>
      <c r="F75" s="1844"/>
      <c r="K75" s="1870"/>
      <c r="L75" s="1844"/>
      <c r="O75" s="1886" t="s">
        <v>1046</v>
      </c>
      <c r="P75" s="1887" t="s">
        <v>1549</v>
      </c>
      <c r="Q75" s="1888">
        <f ca="1">Q65+Q66</f>
        <v>1699</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0.48799999999999999</v>
      </c>
    </row>
    <row r="80" spans="1:18">
      <c r="B80" s="386" t="s">
        <v>1511</v>
      </c>
      <c r="C80" s="318">
        <f ca="1">ROUND(C75/C39,3)</f>
        <v>0.51200000000000001</v>
      </c>
    </row>
    <row r="81" spans="2:3">
      <c r="B81" s="314" t="s">
        <v>1512</v>
      </c>
      <c r="C81" s="282"/>
    </row>
    <row r="82" spans="2:3">
      <c r="B82" s="317" t="s">
        <v>1513</v>
      </c>
      <c r="C82" s="319">
        <f ca="1">1-C83</f>
        <v>0.7</v>
      </c>
    </row>
    <row r="83" spans="2:3">
      <c r="B83" s="317" t="s">
        <v>1514</v>
      </c>
      <c r="C83" s="318">
        <f ca="1">ROUND(C13/C40,3)</f>
        <v>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3" priority="56">
      <formula>$L$48&gt;$J$51</formula>
    </cfRule>
  </conditionalFormatting>
  <conditionalFormatting sqref="I55 I60">
    <cfRule type="expression" dxfId="142" priority="57">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2"/>
      <c r="C1" s="1839"/>
      <c r="D1" s="1822"/>
      <c r="E1" s="1823" t="s">
        <v>1387</v>
      </c>
      <c r="F1" s="1285" t="b">
        <f>J53</f>
        <v>0</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1590</v>
      </c>
      <c r="B2" s="1846" t="e">
        <f ca="1">ROUND(D2/10000,0)</f>
        <v>#DIV/0!</v>
      </c>
      <c r="C2" s="1847" t="s">
        <v>1591</v>
      </c>
      <c r="D2" s="1940" t="e">
        <f ca="1">C40+J29+L46</f>
        <v>#DIV/0!</v>
      </c>
      <c r="E2" s="1848" t="s">
        <v>1592</v>
      </c>
      <c r="F2" s="1849"/>
      <c r="G2" s="1850"/>
      <c r="H2" s="1842"/>
      <c r="I2" s="1842"/>
      <c r="J2" s="1842"/>
      <c r="K2" s="1843"/>
      <c r="L2" s="1842"/>
      <c r="M2" s="1842"/>
    </row>
    <row r="3" spans="1:37" ht="18" customHeight="1" thickBot="1">
      <c r="A3" s="1851" t="s">
        <v>1593</v>
      </c>
      <c r="B3" s="1852">
        <f ca="1">IF(ISERROR(D2/F43),0,ROUND(D2/F43,0))</f>
        <v>0</v>
      </c>
      <c r="C3" s="1847" t="s">
        <v>1594</v>
      </c>
      <c r="D3" s="1847"/>
      <c r="E3" s="1848"/>
      <c r="F3" s="1849"/>
      <c r="G3" s="1850"/>
      <c r="H3" s="744" t="s">
        <v>1588</v>
      </c>
      <c r="I3" s="1842"/>
      <c r="J3" s="1842"/>
      <c r="K3" s="1843"/>
      <c r="L3" s="1842"/>
      <c r="M3" s="1842"/>
    </row>
    <row r="4" spans="1:37" ht="18" customHeight="1">
      <c r="A4" s="340" t="s">
        <v>1595</v>
      </c>
      <c r="B4" s="341" t="s">
        <v>1596</v>
      </c>
      <c r="C4" s="341" t="s">
        <v>1597</v>
      </c>
      <c r="D4" s="341" t="s">
        <v>1598</v>
      </c>
      <c r="E4" s="342" t="s">
        <v>1599</v>
      </c>
      <c r="F4" s="343"/>
      <c r="G4" s="1853"/>
      <c r="H4" s="340" t="s">
        <v>1595</v>
      </c>
      <c r="I4" s="341" t="s">
        <v>1596</v>
      </c>
      <c r="J4" s="341" t="s">
        <v>1597</v>
      </c>
      <c r="K4" s="341" t="s">
        <v>1598</v>
      </c>
      <c r="L4" s="342" t="s">
        <v>1599</v>
      </c>
      <c r="M4" s="343"/>
    </row>
    <row r="5" spans="1:37" ht="18" customHeight="1">
      <c r="A5" s="344">
        <v>1</v>
      </c>
      <c r="B5" s="345" t="s">
        <v>1600</v>
      </c>
      <c r="C5" s="1294">
        <f ca="1">C6+C10+C12</f>
        <v>0</v>
      </c>
      <c r="D5" s="1824" t="s">
        <v>1601</v>
      </c>
      <c r="E5" s="1295"/>
      <c r="F5" s="1296"/>
      <c r="G5" s="1853"/>
      <c r="H5" s="344">
        <v>1</v>
      </c>
      <c r="I5" s="345" t="s">
        <v>1600</v>
      </c>
      <c r="J5" s="1294">
        <f ca="1">J6+J10+J12</f>
        <v>0</v>
      </c>
      <c r="K5" s="1824" t="s">
        <v>1601</v>
      </c>
      <c r="L5" s="1295"/>
      <c r="M5" s="1296"/>
    </row>
    <row r="6" spans="1:37" ht="18" customHeight="1">
      <c r="A6" s="1293" t="s">
        <v>1035</v>
      </c>
      <c r="B6" s="3169" t="s">
        <v>1403</v>
      </c>
      <c r="C6" s="1298">
        <f ca="1">ROUND(F6*F8*F7*(1-F9),0)</f>
        <v>0</v>
      </c>
      <c r="D6" s="164" t="s">
        <v>3017</v>
      </c>
      <c r="E6" s="347" t="s">
        <v>1405</v>
      </c>
      <c r="F6" s="348">
        <f ca="1">INDIRECT("'数据-取费表'!u"&amp;$G$1)</f>
        <v>0</v>
      </c>
      <c r="G6" s="1853"/>
      <c r="H6" s="1293" t="s">
        <v>1035</v>
      </c>
      <c r="I6" s="3169" t="s">
        <v>1403</v>
      </c>
      <c r="J6" s="346">
        <f ca="1">ROUND(M6*M8*M7*(1-M9),0)</f>
        <v>0</v>
      </c>
      <c r="K6" s="1836" t="s">
        <v>3020</v>
      </c>
      <c r="L6" s="347" t="s">
        <v>1405</v>
      </c>
      <c r="M6" s="348">
        <f ca="1">INDIRECT("'数据-取费表'!z"&amp;$G$1)</f>
        <v>0</v>
      </c>
    </row>
    <row r="7" spans="1:37" ht="18" customHeight="1">
      <c r="A7" s="1297"/>
      <c r="B7" s="3170"/>
      <c r="C7" s="1299"/>
      <c r="D7" s="352"/>
      <c r="E7" s="1300" t="s">
        <v>1406</v>
      </c>
      <c r="F7" s="348">
        <f ca="1">IF(INDIRECT("'数据-取费表'!ah"&amp;$G$1)="",INDIRECT("'数据-取费表'!k"&amp;$G$1),INDIRECT("'数据-取费表'!ah"&amp;$G$1))</f>
        <v>0</v>
      </c>
      <c r="G7" s="1853"/>
      <c r="H7" s="349"/>
      <c r="I7" s="3170"/>
      <c r="J7" s="351"/>
      <c r="K7" s="352"/>
      <c r="L7" s="347" t="s">
        <v>1406</v>
      </c>
      <c r="M7" s="348">
        <f ca="1">F7</f>
        <v>0</v>
      </c>
    </row>
    <row r="8" spans="1:37" ht="18" customHeight="1">
      <c r="A8" s="349"/>
      <c r="B8" s="3170"/>
      <c r="C8" s="351"/>
      <c r="D8" s="352"/>
      <c r="E8" s="347" t="s">
        <v>1407</v>
      </c>
      <c r="F8" s="348">
        <f ca="1">INDIRECT("'数据-取费表'!ai"&amp;$G$1)</f>
        <v>0</v>
      </c>
      <c r="G8" s="1853"/>
      <c r="H8" s="349"/>
      <c r="I8" s="3170"/>
      <c r="J8" s="351"/>
      <c r="K8" s="352"/>
      <c r="L8" s="347" t="s">
        <v>1407</v>
      </c>
      <c r="M8" s="348">
        <f ca="1">INDIRECT("'数据-取费表'!ai"&amp;$G$1)</f>
        <v>0</v>
      </c>
    </row>
    <row r="9" spans="1:37" ht="18" customHeight="1">
      <c r="A9" s="349"/>
      <c r="B9" s="3171"/>
      <c r="C9" s="351"/>
      <c r="D9" s="352"/>
      <c r="E9" s="347" t="s">
        <v>1408</v>
      </c>
      <c r="F9" s="357">
        <f ca="1">INDIRECT("'数据-取费表'!w"&amp;$G$1)</f>
        <v>0</v>
      </c>
      <c r="G9" s="1853"/>
      <c r="H9" s="349"/>
      <c r="I9" s="3171"/>
      <c r="J9" s="351"/>
      <c r="K9" s="352"/>
      <c r="L9" s="358" t="s">
        <v>1408</v>
      </c>
      <c r="M9" s="359">
        <f ca="1">INDIRECT("'数据-取费表'!ab"&amp;$G$1)</f>
        <v>0</v>
      </c>
    </row>
    <row r="10" spans="1:37" ht="18" customHeight="1">
      <c r="A10" s="1293" t="s">
        <v>1039</v>
      </c>
      <c r="B10" s="1825" t="s">
        <v>1409</v>
      </c>
      <c r="C10" s="361">
        <f ca="1">ROUND(IF(F10="押一",F6*F8*F7/12*F11,IF(F10="押二",F6*F8*F7/12*2*F11,IF(F10="押三",F6*F8*F7/12*3*F11,C11*F11))),0)</f>
        <v>0</v>
      </c>
      <c r="D10" s="1826" t="s">
        <v>3018</v>
      </c>
      <c r="E10" s="358" t="s">
        <v>1411</v>
      </c>
      <c r="F10" s="1368"/>
      <c r="G10" s="1853"/>
      <c r="H10" s="1293" t="s">
        <v>1039</v>
      </c>
      <c r="I10" s="1825" t="s">
        <v>1409</v>
      </c>
      <c r="J10" s="346">
        <f ca="1">ROUND(IF(M10="押一",M6*M8*M7/12*M11,IF(M10="押二",M6*M8*M7/12*2*M11,IF(M10="押三",M6*M8*M7/12*3*M11,J11*M11))),0)</f>
        <v>0</v>
      </c>
      <c r="K10" s="1837" t="s">
        <v>3019</v>
      </c>
      <c r="L10" s="358" t="s">
        <v>1411</v>
      </c>
      <c r="M10" s="1368"/>
    </row>
    <row r="11" spans="1:37" ht="18" customHeight="1">
      <c r="A11" s="353"/>
      <c r="B11" s="1827" t="s">
        <v>1602</v>
      </c>
      <c r="C11" s="1180"/>
      <c r="D11" s="352"/>
      <c r="E11" s="358" t="s">
        <v>1412</v>
      </c>
      <c r="F11" s="359">
        <f ca="1">'数据-取费表'!B39</f>
        <v>1.4999999999999999E-2</v>
      </c>
      <c r="G11" s="1853"/>
      <c r="H11" s="1301"/>
      <c r="I11" s="1827" t="s">
        <v>1603</v>
      </c>
      <c r="J11" s="1180"/>
      <c r="K11" s="748"/>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0</v>
      </c>
      <c r="D13" s="1333" t="s">
        <v>1415</v>
      </c>
      <c r="E13" s="1333" t="s">
        <v>1416</v>
      </c>
      <c r="F13" s="1334">
        <f ca="1">INDIRECT("'数据-取费表'!y"&amp;$G$1)</f>
        <v>0</v>
      </c>
      <c r="G13" s="1853"/>
      <c r="H13" s="1331">
        <v>2</v>
      </c>
      <c r="I13" s="1332" t="s">
        <v>1414</v>
      </c>
      <c r="J13" s="1292">
        <f ca="1">ROUND(J14*J15,0)</f>
        <v>0</v>
      </c>
      <c r="K13" s="1339" t="s">
        <v>1415</v>
      </c>
      <c r="L13" s="1854"/>
      <c r="M13" s="1855"/>
    </row>
    <row r="14" spans="1:37" ht="18" customHeight="1">
      <c r="A14" s="1203" t="s">
        <v>1034</v>
      </c>
      <c r="B14" s="347" t="s">
        <v>1417</v>
      </c>
      <c r="C14" s="363">
        <f ca="1">ROUND(INDIRECT("'数据-取费表'!l"&amp;$G$1)*F43+'数据-取费表'!L14*INDIRECT("'数据-取费表'!S"&amp;$G$1),0)</f>
        <v>0</v>
      </c>
      <c r="D14" s="1802" t="s">
        <v>1418</v>
      </c>
      <c r="E14" s="1796"/>
      <c r="F14" s="364"/>
      <c r="G14" s="1853"/>
      <c r="H14" s="1203" t="s">
        <v>1035</v>
      </c>
      <c r="I14" s="347" t="s">
        <v>1419</v>
      </c>
      <c r="J14" s="24">
        <f ca="1">C29</f>
        <v>0</v>
      </c>
      <c r="K14" s="15"/>
      <c r="L14" s="982"/>
      <c r="M14" s="983"/>
    </row>
    <row r="15" spans="1:37" s="1860" customFormat="1" ht="18" customHeight="1" thickBot="1">
      <c r="A15" s="1203" t="s">
        <v>1036</v>
      </c>
      <c r="B15" s="347" t="s">
        <v>1420</v>
      </c>
      <c r="C15" s="24">
        <f ca="1">ROUND(C14*F15,0)</f>
        <v>0</v>
      </c>
      <c r="D15" s="365" t="s">
        <v>1421</v>
      </c>
      <c r="E15" s="365" t="s">
        <v>1422</v>
      </c>
      <c r="F15" s="366">
        <f>'数据-取费表'!B33</f>
        <v>0.05</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ROUND(INDIRECT("'数据-取费表'!l"&amp;$G$1)*F43*F16,0)</f>
        <v>0</v>
      </c>
      <c r="D16" s="347" t="s">
        <v>1421</v>
      </c>
      <c r="E16" s="347" t="s">
        <v>1422</v>
      </c>
      <c r="F16" s="367">
        <f ca="1">IF(INDIRECT("'数据-取费表'!c"&amp;$G$1)="住宅",'数据-取费表'!B34,0)</f>
        <v>0</v>
      </c>
      <c r="G16" s="1853"/>
      <c r="H16" s="1331" t="s">
        <v>1030</v>
      </c>
      <c r="I16" s="1332" t="s">
        <v>1424</v>
      </c>
      <c r="J16" s="355">
        <f ca="1">ROUND(J17+J22+J23+J24,0)</f>
        <v>0</v>
      </c>
      <c r="K16" s="1339" t="s">
        <v>1425</v>
      </c>
      <c r="L16" s="1340"/>
      <c r="M16" s="1296"/>
    </row>
    <row r="17" spans="1:37" s="1860" customFormat="1" ht="18" customHeight="1">
      <c r="A17" s="1203" t="s">
        <v>1390</v>
      </c>
      <c r="B17" s="347" t="s">
        <v>1426</v>
      </c>
      <c r="C17" s="24">
        <f ca="1">ROUND(F17*(F43+INDIRECT("'数据-取费表'!S"&amp;$G$1)),0)</f>
        <v>0</v>
      </c>
      <c r="D17" s="347" t="s">
        <v>1427</v>
      </c>
      <c r="E17" s="347" t="s">
        <v>1428</v>
      </c>
      <c r="F17" s="26">
        <f>'数据-取费表'!B35</f>
        <v>200</v>
      </c>
      <c r="G17" s="1856"/>
      <c r="H17" s="1203" t="s">
        <v>1035</v>
      </c>
      <c r="I17" s="347" t="s">
        <v>1429</v>
      </c>
      <c r="J17" s="24">
        <f ca="1">ROUND(IF(项目基本情况!B11="自然人",J5*M17,J18+J19+J20),0)</f>
        <v>0</v>
      </c>
      <c r="K17" s="1802" t="s">
        <v>1430</v>
      </c>
      <c r="L17" s="1800"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0</v>
      </c>
      <c r="D18" s="347" t="s">
        <v>1421</v>
      </c>
      <c r="E18" s="347" t="s">
        <v>1422</v>
      </c>
      <c r="F18" s="367">
        <f>'数据-取费表'!B36</f>
        <v>1.4999999999999999E-2</v>
      </c>
      <c r="G18" s="1856"/>
      <c r="H18" s="1203" t="s">
        <v>1034</v>
      </c>
      <c r="I18" s="347" t="s">
        <v>1433</v>
      </c>
      <c r="J18" s="24">
        <f ca="1">ROUND(J5*M18/(1+'数据-取费表'!C42),0)</f>
        <v>0</v>
      </c>
      <c r="K18" s="1800" t="s">
        <v>1434</v>
      </c>
      <c r="L18" s="347" t="s">
        <v>1422</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0</v>
      </c>
      <c r="D19" s="140" t="s">
        <v>1436</v>
      </c>
      <c r="E19" s="1820"/>
      <c r="F19" s="26"/>
      <c r="G19" s="1853"/>
      <c r="H19" s="1203" t="s">
        <v>1036</v>
      </c>
      <c r="I19" s="347" t="s">
        <v>1437</v>
      </c>
      <c r="J19" s="24">
        <f ca="1">IF(K19="按租金收入计税",ROUND(J5*M19,0),ROUND(C29*M19*0.7,0))</f>
        <v>0</v>
      </c>
      <c r="K19" s="1830" t="s">
        <v>1438</v>
      </c>
      <c r="L19" s="347" t="s">
        <v>1422</v>
      </c>
      <c r="M19" s="367">
        <f>IF(K19="按租金收入计税",'数据-取费表'!B51,'数据-取费表'!B50)</f>
        <v>1.2E-2</v>
      </c>
    </row>
    <row r="20" spans="1:37" s="1860" customFormat="1" ht="18" customHeight="1">
      <c r="A20" s="1203" t="s">
        <v>1039</v>
      </c>
      <c r="B20" s="347" t="s">
        <v>1439</v>
      </c>
      <c r="C20" s="24">
        <f ca="1">ROUND(C19*F20,0)</f>
        <v>0</v>
      </c>
      <c r="D20" s="369" t="s">
        <v>1440</v>
      </c>
      <c r="E20" s="347" t="s">
        <v>1422</v>
      </c>
      <c r="F20" s="367">
        <f>'数据-取费表'!B37</f>
        <v>0.03</v>
      </c>
      <c r="G20" s="1856"/>
      <c r="H20" s="1203" t="s">
        <v>1389</v>
      </c>
      <c r="I20" s="164" t="s">
        <v>1441</v>
      </c>
      <c r="J20" s="25">
        <f ca="1">ROUND(M20*M21,0)</f>
        <v>0</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v>
      </c>
      <c r="D21" s="369" t="s">
        <v>1445</v>
      </c>
      <c r="E21" s="347" t="s">
        <v>1446</v>
      </c>
      <c r="F21" s="367">
        <f>'数据-取费表'!B38</f>
        <v>0.03</v>
      </c>
      <c r="G21" s="1856"/>
      <c r="H21" s="372"/>
      <c r="I21" s="356"/>
      <c r="J21" s="29"/>
      <c r="K21" s="373"/>
      <c r="L21" s="347" t="s">
        <v>1447</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单利计息。建造成本、管理费用、销售费用产生的利息。</v>
      </c>
      <c r="E22" s="1820"/>
      <c r="F22" s="26"/>
      <c r="G22" s="1853"/>
      <c r="H22" s="1203" t="s">
        <v>1039</v>
      </c>
      <c r="I22" s="347" t="s">
        <v>1449</v>
      </c>
      <c r="J22" s="24">
        <f ca="1">ROUND(J14*M22,0)</f>
        <v>0</v>
      </c>
      <c r="K22" s="1800" t="s">
        <v>1450</v>
      </c>
      <c r="L22" s="347" t="s">
        <v>1422</v>
      </c>
      <c r="M22" s="374">
        <f ca="1">INDIRECT("'数据-取费表'!Ak"&amp;$G$1)</f>
        <v>0</v>
      </c>
    </row>
    <row r="23" spans="1:37" s="1860" customFormat="1" ht="18" customHeight="1">
      <c r="A23" s="1203"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6"/>
      <c r="H23" s="1203" t="s">
        <v>1075</v>
      </c>
      <c r="I23" s="347" t="s">
        <v>1453</v>
      </c>
      <c r="J23" s="24">
        <f ca="1">ROUND(J13*M23,0)</f>
        <v>0</v>
      </c>
      <c r="K23" s="1800" t="s">
        <v>1454</v>
      </c>
      <c r="L23" s="347" t="s">
        <v>1455</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7" t="s">
        <v>1457</v>
      </c>
      <c r="C24" s="24">
        <f ca="1">ROUND(IF('数据-取费表'!B22&lt;=1,F21*F24*F23/2,F21*(POWER((1+F24),F23/2)-1)),4)</f>
        <v>6.9999999999999999E-4</v>
      </c>
      <c r="D24" s="375" t="str">
        <f>IF(F23&lt;=1,"销售费用×利率×(建设周期÷2)","销售费用×((1+利率)^(建设周期÷2)-1)")</f>
        <v>销售费用×利率×(建设周期÷2)</v>
      </c>
      <c r="E24" s="347" t="s">
        <v>1458</v>
      </c>
      <c r="F24" s="377">
        <f ca="1">'数据-取费表'!B40</f>
        <v>4.3499999999999997E-2</v>
      </c>
      <c r="G24" s="1856"/>
      <c r="H24" s="1341" t="s">
        <v>1393</v>
      </c>
      <c r="I24" s="1342" t="s">
        <v>1439</v>
      </c>
      <c r="J24" s="1343">
        <f ca="1">ROUND(J5*M24,0)</f>
        <v>0</v>
      </c>
      <c r="K24" s="1344" t="s">
        <v>1459</v>
      </c>
      <c r="L24" s="1342" t="s">
        <v>1455</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1460</v>
      </c>
      <c r="B25" s="347" t="s">
        <v>1461</v>
      </c>
      <c r="C25" s="24"/>
      <c r="D25" s="140" t="s">
        <v>1462</v>
      </c>
      <c r="E25" s="1820"/>
      <c r="F25" s="26"/>
      <c r="G25" s="1853"/>
      <c r="H25" s="1331" t="s">
        <v>1031</v>
      </c>
      <c r="I25" s="1346" t="s">
        <v>1463</v>
      </c>
      <c r="J25" s="355">
        <f ca="1">J5-J16</f>
        <v>0</v>
      </c>
      <c r="K25" s="1347" t="s">
        <v>1464</v>
      </c>
      <c r="L25" s="1348"/>
      <c r="M25" s="1349"/>
    </row>
    <row r="26" spans="1:37" ht="18" customHeight="1">
      <c r="A26" s="1203" t="s">
        <v>1034</v>
      </c>
      <c r="B26" s="347" t="s">
        <v>1465</v>
      </c>
      <c r="C26" s="24">
        <f ca="1">ROUND((C19+C20)*F26,0)</f>
        <v>0</v>
      </c>
      <c r="D26" s="369" t="s">
        <v>1466</v>
      </c>
      <c r="E26" s="358" t="s">
        <v>1467</v>
      </c>
      <c r="F26" s="357">
        <f ca="1">INDIRECT("'数据-取费表'!q"&amp;$G$1)</f>
        <v>0</v>
      </c>
      <c r="G26" s="1853"/>
      <c r="H26" s="344" t="s">
        <v>1032</v>
      </c>
      <c r="I26" s="345" t="s">
        <v>1468</v>
      </c>
      <c r="J26" s="346">
        <f ca="1">IF(J5&lt;&gt;0,ROUND(J25*(1-((1+M28)/(1+M26))^M27)/(M26-M28),0),0)</f>
        <v>0</v>
      </c>
      <c r="K26" s="370" t="s">
        <v>1469</v>
      </c>
      <c r="L26" s="347" t="s">
        <v>1470</v>
      </c>
      <c r="M26" s="357">
        <f ca="1">INDIRECT("'数据-取费表'!I"&amp;$G$1)</f>
        <v>0</v>
      </c>
    </row>
    <row r="27" spans="1:37" ht="18" customHeight="1">
      <c r="A27" s="1203" t="s">
        <v>1036</v>
      </c>
      <c r="B27" s="347" t="s">
        <v>1471</v>
      </c>
      <c r="C27" s="24">
        <f ca="1">ROUND(F21*F26,4)</f>
        <v>0</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5.2400000000000002E-2</v>
      </c>
      <c r="D28" s="369" t="s">
        <v>1476</v>
      </c>
      <c r="E28" s="347" t="s">
        <v>1422</v>
      </c>
      <c r="F28" s="367">
        <f>'数据-取费表'!B41</f>
        <v>5.5000000000000007E-2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0</v>
      </c>
      <c r="D29" s="1344"/>
      <c r="E29" s="1342"/>
      <c r="F29" s="1345"/>
      <c r="G29" s="1856"/>
      <c r="H29" s="380" t="s">
        <v>1033</v>
      </c>
      <c r="I29" s="381" t="s">
        <v>1479</v>
      </c>
      <c r="J29" s="382">
        <f ca="1">ROUND(J26/(1+F40)^F41,0)</f>
        <v>0</v>
      </c>
      <c r="K29" s="383" t="s">
        <v>1480</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0</v>
      </c>
      <c r="D30" s="1339" t="s">
        <v>1425</v>
      </c>
      <c r="E30" s="1340"/>
      <c r="F30" s="1296"/>
      <c r="G30" s="1853"/>
      <c r="H30" s="745"/>
      <c r="I30" s="746"/>
      <c r="J30" s="747"/>
      <c r="K30" s="748"/>
      <c r="L30" s="749"/>
      <c r="M30" s="750"/>
    </row>
    <row r="31" spans="1:37" ht="18" customHeight="1">
      <c r="A31" s="1203" t="s">
        <v>1035</v>
      </c>
      <c r="B31" s="347" t="s">
        <v>1429</v>
      </c>
      <c r="C31" s="24">
        <f ca="1">ROUND(IF(项目基本情况!B11="自然人",C5*F31,C32+C33+C34),0)</f>
        <v>0</v>
      </c>
      <c r="D31" s="1802" t="s">
        <v>1430</v>
      </c>
      <c r="E31" s="1800" t="s">
        <v>1481</v>
      </c>
      <c r="F31" s="368" t="str">
        <f ca="1">IF(项目基本情况!B11="企业","",IF(INDIRECT("'数据-取费表'!c"&amp;$G$1)="住宅",5%,IF(F6*F7*F8/12/(1+'数据-取费表'!C42)&gt;20000,12%,7%)))</f>
        <v/>
      </c>
      <c r="G31" s="1853"/>
      <c r="H31" s="745"/>
      <c r="I31" s="746"/>
      <c r="J31" s="747"/>
      <c r="K31" s="748"/>
      <c r="L31" s="749"/>
      <c r="M31" s="750"/>
    </row>
    <row r="32" spans="1:37" ht="18" customHeight="1">
      <c r="A32" s="1203" t="s">
        <v>1034</v>
      </c>
      <c r="B32" s="347" t="s">
        <v>1433</v>
      </c>
      <c r="C32" s="24">
        <f ca="1">IF(项目基本情况!B11="自然人","——",ROUND(C5*F32/(1+'数据-取费表'!C42),0))</f>
        <v>0</v>
      </c>
      <c r="D32" s="1800" t="s">
        <v>1434</v>
      </c>
      <c r="E32" s="347" t="s">
        <v>1422</v>
      </c>
      <c r="F32" s="377">
        <f>'数据-取费表'!B41</f>
        <v>5.5000000000000007E-2</v>
      </c>
      <c r="G32" s="1853"/>
      <c r="H32" s="745"/>
      <c r="I32" s="746"/>
      <c r="J32" s="747"/>
      <c r="K32" s="748"/>
      <c r="L32" s="749"/>
      <c r="M32" s="750"/>
    </row>
    <row r="33" spans="1:18" ht="18" customHeight="1">
      <c r="A33" s="1203" t="s">
        <v>1036</v>
      </c>
      <c r="B33" s="347" t="s">
        <v>1437</v>
      </c>
      <c r="C33" s="24">
        <f ca="1">IF(项目基本情况!B11="自然人","——",IF(D33="按租金收入计税",ROUND(C5*F33,0),IF(D33="按房产原值计税",ROUND(C29*F33*0.7,0),INDIRECT("'数据-取费表'!Aj"&amp;$G$1))))</f>
        <v>0</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3" t="s">
        <v>1389</v>
      </c>
      <c r="B34" s="164" t="s">
        <v>1441</v>
      </c>
      <c r="C34" s="25">
        <f ca="1">IF(项目基本情况!B11="自然人","——",ROUND(F34*F35,))</f>
        <v>0</v>
      </c>
      <c r="D34" s="370" t="s">
        <v>1442</v>
      </c>
      <c r="E34" s="347" t="s">
        <v>1443</v>
      </c>
      <c r="F34" s="371">
        <f>'数据-取费表'!B52</f>
        <v>1.5</v>
      </c>
      <c r="G34" s="1853"/>
      <c r="H34" s="745"/>
      <c r="I34" s="1862"/>
      <c r="J34" s="1863"/>
      <c r="K34" s="1865"/>
      <c r="L34" s="1866"/>
      <c r="M34" s="1866"/>
    </row>
    <row r="35" spans="1:18" ht="18" customHeight="1">
      <c r="A35" s="1355"/>
      <c r="B35" s="1353"/>
      <c r="C35" s="29"/>
      <c r="D35" s="373"/>
      <c r="E35" s="347" t="s">
        <v>1447</v>
      </c>
      <c r="F35" s="348">
        <f ca="1">INDIRECT("'数据-取费表'!r"&amp;$G$1)</f>
        <v>0</v>
      </c>
      <c r="G35" s="1853"/>
      <c r="H35" s="745"/>
      <c r="I35" s="1862"/>
      <c r="J35" s="1863"/>
      <c r="K35" s="1864"/>
      <c r="L35" s="1861"/>
      <c r="M35" s="1861"/>
    </row>
    <row r="36" spans="1:18" ht="18" customHeight="1">
      <c r="A36" s="1354" t="s">
        <v>1039</v>
      </c>
      <c r="B36" s="347" t="s">
        <v>1449</v>
      </c>
      <c r="C36" s="24">
        <f ca="1">ROUND(C29*F36,0)</f>
        <v>0</v>
      </c>
      <c r="D36" s="1800" t="s">
        <v>1482</v>
      </c>
      <c r="E36" s="347" t="s">
        <v>1422</v>
      </c>
      <c r="F36" s="374">
        <f ca="1">INDIRECT("'数据-取费表'!Ak"&amp;$G$1)</f>
        <v>0</v>
      </c>
      <c r="G36" s="1853"/>
      <c r="H36" s="1861"/>
      <c r="I36" s="1862"/>
      <c r="J36" s="1863"/>
      <c r="K36" s="751"/>
      <c r="L36" s="1861"/>
      <c r="M36" s="1861"/>
    </row>
    <row r="37" spans="1:18" ht="18" customHeight="1">
      <c r="A37" s="1203" t="s">
        <v>1075</v>
      </c>
      <c r="B37" s="347" t="s">
        <v>1453</v>
      </c>
      <c r="C37" s="24">
        <f ca="1">ROUND(C13*F37,0)</f>
        <v>0</v>
      </c>
      <c r="D37" s="1800" t="s">
        <v>1454</v>
      </c>
      <c r="E37" s="347" t="s">
        <v>1455</v>
      </c>
      <c r="F37" s="376">
        <f ca="1">INDIRECT("'数据-取费表'!Al"&amp;$G$1)</f>
        <v>0</v>
      </c>
      <c r="G37" s="1853"/>
      <c r="H37" s="1861"/>
      <c r="I37" s="1862"/>
      <c r="J37" s="1863"/>
      <c r="K37" s="751"/>
      <c r="L37" s="1861"/>
      <c r="M37" s="1861"/>
    </row>
    <row r="38" spans="1:18" ht="18" customHeight="1" thickBot="1">
      <c r="A38" s="1341" t="s">
        <v>1393</v>
      </c>
      <c r="B38" s="1342" t="s">
        <v>1439</v>
      </c>
      <c r="C38" s="1343">
        <f ca="1">ROUND(C5*F38,1)</f>
        <v>0</v>
      </c>
      <c r="D38" s="1344" t="s">
        <v>1459</v>
      </c>
      <c r="E38" s="1342" t="s">
        <v>1455</v>
      </c>
      <c r="F38" s="1338">
        <f ca="1">INDIRECT("'数据-取费表'!Am"&amp;$G$1)</f>
        <v>0</v>
      </c>
      <c r="G38" s="1853"/>
      <c r="H38" s="1861"/>
      <c r="I38" s="1862"/>
      <c r="J38" s="1863"/>
      <c r="K38" s="1867"/>
      <c r="L38" s="1861"/>
      <c r="M38" s="1861"/>
    </row>
    <row r="39" spans="1:18" ht="24.6" customHeight="1" thickTop="1">
      <c r="A39" s="1331" t="s">
        <v>1031</v>
      </c>
      <c r="B39" s="1346" t="s">
        <v>1483</v>
      </c>
      <c r="C39" s="355">
        <f ca="1">C5-C30</f>
        <v>0</v>
      </c>
      <c r="D39" s="1347" t="s">
        <v>1484</v>
      </c>
      <c r="E39" s="1348"/>
      <c r="F39" s="1349"/>
      <c r="G39" s="1853"/>
      <c r="H39" s="1861"/>
      <c r="I39" s="1862"/>
      <c r="J39" s="1863"/>
      <c r="K39" s="1867"/>
      <c r="L39" s="1861"/>
      <c r="M39" s="1861"/>
    </row>
    <row r="40" spans="1:18" ht="18" customHeight="1">
      <c r="A40" s="344" t="s">
        <v>1032</v>
      </c>
      <c r="B40" s="345" t="s">
        <v>1485</v>
      </c>
      <c r="C40" s="346" t="e">
        <f ca="1">ROUND(C39*(1-((1+F42)/(1+F40))^F41)/(F40-F42),0)</f>
        <v>#DIV/0!</v>
      </c>
      <c r="D40" s="370" t="s">
        <v>1469</v>
      </c>
      <c r="E40" s="347" t="s">
        <v>1470</v>
      </c>
      <c r="F40" s="357">
        <f ca="1">INDIRECT("'数据-取费表'!I"&amp;$G$1)</f>
        <v>0</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1477</v>
      </c>
      <c r="F42" s="357">
        <f ca="1">INDIRECT("'数据-取费表'!v"&amp;$G$1)</f>
        <v>0</v>
      </c>
      <c r="G42" s="1853"/>
      <c r="H42" s="732"/>
      <c r="I42" s="1862"/>
      <c r="J42" s="1863"/>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1604</v>
      </c>
      <c r="E45" s="1868"/>
      <c r="F45" s="1868"/>
      <c r="O45" s="1871" t="s">
        <v>1519</v>
      </c>
      <c r="P45" s="1841"/>
      <c r="Q45" s="1841"/>
      <c r="R45" s="1841"/>
    </row>
    <row r="46" spans="1:18" s="1844" customFormat="1" ht="13.5" thickBot="1">
      <c r="A46" s="1872" t="s">
        <v>1520</v>
      </c>
      <c r="C46" s="1873" t="e">
        <f ca="1">ROUND(C45/10000,0)</f>
        <v>#DIV/0!</v>
      </c>
      <c r="D46" s="1874" t="str">
        <f>C2</f>
        <v>万元</v>
      </c>
      <c r="I46" s="1875" t="s">
        <v>1521</v>
      </c>
      <c r="J46" s="1876"/>
      <c r="K46" s="1877"/>
      <c r="L46" s="1878" t="e">
        <f ca="1">IF(M47="住宅",0,IF(L48&gt;J51,L60,J60))</f>
        <v>#DIV/0!</v>
      </c>
      <c r="O46" s="1879" t="s">
        <v>1522</v>
      </c>
      <c r="P46" s="1880" t="s">
        <v>1523</v>
      </c>
      <c r="Q46" s="1881" t="s">
        <v>1524</v>
      </c>
      <c r="R46" s="1881" t="s">
        <v>1525</v>
      </c>
    </row>
    <row r="47" spans="1:18" s="1844" customFormat="1" ht="13.5" thickBot="1">
      <c r="A47" s="1167" t="s">
        <v>1396</v>
      </c>
      <c r="B47" s="1199" t="s">
        <v>1397</v>
      </c>
      <c r="C47" s="1199" t="s">
        <v>1398</v>
      </c>
      <c r="D47" s="1199" t="s">
        <v>1399</v>
      </c>
      <c r="E47" s="1281" t="s">
        <v>1400</v>
      </c>
      <c r="F47" s="1282"/>
      <c r="G47" s="792"/>
      <c r="I47" s="1882" t="s">
        <v>1526</v>
      </c>
      <c r="J47" s="1883"/>
      <c r="K47" s="1884" t="s">
        <v>1527</v>
      </c>
      <c r="L47" s="1885">
        <f ca="1">INDIRECT("'数据-取费表'!d"&amp;$G$1)</f>
        <v>0</v>
      </c>
      <c r="M47" s="1840" t="str">
        <f>IF(ISNUMBER(FIND("住宅",C1)),"住宅","非住宅")</f>
        <v>非住宅</v>
      </c>
      <c r="O47" s="1886" t="s">
        <v>1040</v>
      </c>
      <c r="P47" s="1887" t="s">
        <v>1528</v>
      </c>
      <c r="Q47" s="1888" t="e">
        <f ca="1">C40+J29</f>
        <v>#DIV/0!</v>
      </c>
      <c r="R47" s="1888" t="s">
        <v>1529</v>
      </c>
    </row>
    <row r="48" spans="1:18" s="1844" customFormat="1" ht="28.5" thickBot="1">
      <c r="A48" s="1362" t="s">
        <v>1135</v>
      </c>
      <c r="B48" s="345" t="s">
        <v>1401</v>
      </c>
      <c r="C48" s="1819">
        <f ca="1">C49+C53+C55</f>
        <v>0</v>
      </c>
      <c r="D48" s="1364"/>
      <c r="E48" s="1365"/>
      <c r="F48" s="1183"/>
      <c r="G48" s="792"/>
      <c r="H48" s="793"/>
      <c r="I48" s="1889" t="s">
        <v>1530</v>
      </c>
      <c r="J48" s="1890"/>
      <c r="K48" s="1891" t="s">
        <v>1531</v>
      </c>
      <c r="L48" s="1892">
        <f ca="1">INDIRECT("'数据-取费表'!f"&amp;$G$1)</f>
        <v>0</v>
      </c>
      <c r="O48" s="1886" t="s">
        <v>1041</v>
      </c>
      <c r="P48" s="1887" t="s">
        <v>1532</v>
      </c>
      <c r="Q48" s="1888" t="e">
        <f ca="1">J60</f>
        <v>#DIV/0!</v>
      </c>
      <c r="R48" s="1888" t="s">
        <v>1533</v>
      </c>
    </row>
    <row r="49" spans="1:18" s="1844" customFormat="1" ht="13.5" thickBot="1">
      <c r="A49" s="1196" t="s">
        <v>1136</v>
      </c>
      <c r="B49" s="1831" t="s">
        <v>1490</v>
      </c>
      <c r="C49" s="1366">
        <f ca="1">ROUND(F49*F51*F50*(1-F52),0)</f>
        <v>0</v>
      </c>
      <c r="D49" s="1278" t="s">
        <v>1404</v>
      </c>
      <c r="E49" s="1832" t="s">
        <v>1491</v>
      </c>
      <c r="F49" s="1283"/>
      <c r="G49" s="1893"/>
      <c r="H49" s="793"/>
      <c r="I49" s="1889" t="s">
        <v>1534</v>
      </c>
      <c r="J49" s="1894"/>
      <c r="K49" s="1891" t="s">
        <v>1535</v>
      </c>
      <c r="L49" s="1895"/>
      <c r="O49" s="1896" t="s">
        <v>1042</v>
      </c>
      <c r="P49" s="1887" t="s">
        <v>1536</v>
      </c>
      <c r="Q49" s="1888">
        <f ca="1">C29</f>
        <v>0</v>
      </c>
      <c r="R49" s="1888" t="s">
        <v>1529</v>
      </c>
    </row>
    <row r="50" spans="1:18" s="1844" customFormat="1" ht="13.5" thickBot="1">
      <c r="A50" s="1197"/>
      <c r="B50" s="1200"/>
      <c r="C50" s="1201"/>
      <c r="D50" s="1174"/>
      <c r="E50" s="1279" t="s">
        <v>1406</v>
      </c>
      <c r="F50" s="1280">
        <f ca="1">F7</f>
        <v>0</v>
      </c>
      <c r="H50" s="793"/>
      <c r="I50" s="1889" t="s">
        <v>1537</v>
      </c>
      <c r="J50" s="1897">
        <f>SUMPRODUCT((I63:I65=J47)*(J62:L62=J48)*(J63:L65))</f>
        <v>0</v>
      </c>
      <c r="K50" s="1891" t="s">
        <v>1538</v>
      </c>
      <c r="L50" s="1895"/>
      <c r="M50" s="1898"/>
      <c r="O50" s="1896" t="s">
        <v>1043</v>
      </c>
      <c r="P50" s="1887" t="s">
        <v>1539</v>
      </c>
      <c r="Q50" s="1899" t="e">
        <f ca="1">J58</f>
        <v>#DIV/0!</v>
      </c>
      <c r="R50" s="1888"/>
    </row>
    <row r="51" spans="1:18" s="1844" customFormat="1" ht="13.5" thickBot="1">
      <c r="A51" s="1198"/>
      <c r="B51" s="1200"/>
      <c r="C51" s="1201"/>
      <c r="D51" s="1174"/>
      <c r="E51" s="1202" t="s">
        <v>1407</v>
      </c>
      <c r="F51" s="348">
        <f ca="1">F8</f>
        <v>0</v>
      </c>
      <c r="I51" s="1900" t="s">
        <v>1540</v>
      </c>
      <c r="J51" s="1901">
        <f>IF(J49="",J50,J49+J50-YEAR('数据-取费表'!B2))</f>
        <v>0</v>
      </c>
      <c r="K51" s="1902" t="s">
        <v>1541</v>
      </c>
      <c r="L51" s="1903">
        <f ca="1">ROUND(-PV(INDIRECT("'数据-取费表'!h"&amp;$G$1),L48,(C39-C13*C76),0),0)</f>
        <v>0</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b">
        <f>J53</f>
        <v>0</v>
      </c>
      <c r="R52" s="1888" t="s">
        <v>1546</v>
      </c>
    </row>
    <row r="53" spans="1:18" s="1844" customFormat="1" ht="30.75" customHeight="1" thickBot="1">
      <c r="A53" s="1363" t="s">
        <v>1137</v>
      </c>
      <c r="B53" s="369" t="s">
        <v>1409</v>
      </c>
      <c r="C53" s="361">
        <f ca="1">ROUND(IF(F53="押一",F49*F51*F50/12*F11,IF(F53="押二",F49*F51*F50/12*2*F11,IF(F53="押三",F49*F51*F50/12*3*F11,C54*F11))),0)</f>
        <v>0</v>
      </c>
      <c r="D53" s="1826" t="s">
        <v>1410</v>
      </c>
      <c r="E53" s="358" t="s">
        <v>1411</v>
      </c>
      <c r="F53" s="1368"/>
      <c r="I53" s="1907" t="s">
        <v>1547</v>
      </c>
      <c r="J53" s="1908" t="b">
        <f>IF(M47="住宅",J51,IF(D1="——",MIN(J51,L48),IF(D1="在建（套用方法）",MIN(J51,L48-'数据-取费表'!B24),IF(D1="土地（套用方法）",MIN(J51,L48-'数据-取费表'!B20)))))</f>
        <v>0</v>
      </c>
      <c r="K53" s="3167" t="s">
        <v>1548</v>
      </c>
      <c r="L53" s="3168"/>
      <c r="O53" s="1886" t="s">
        <v>1046</v>
      </c>
      <c r="P53" s="1887" t="s">
        <v>1549</v>
      </c>
      <c r="Q53" s="1888" t="e">
        <f ca="1">Q47+Q48</f>
        <v>#DIV/0!</v>
      </c>
      <c r="R53" s="1888" t="s">
        <v>1047</v>
      </c>
    </row>
    <row r="54" spans="1:18" s="1844" customFormat="1" ht="13.5" thickBot="1">
      <c r="A54" s="1196"/>
      <c r="B54" s="1943" t="s">
        <v>1603</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#DIV/0!</v>
      </c>
      <c r="K55" s="1914" t="s">
        <v>1552</v>
      </c>
      <c r="L55" s="1915"/>
      <c r="O55" s="1879" t="s">
        <v>1522</v>
      </c>
      <c r="P55" s="1880" t="s">
        <v>1523</v>
      </c>
      <c r="Q55" s="1881" t="s">
        <v>1524</v>
      </c>
      <c r="R55" s="1881" t="s">
        <v>1525</v>
      </c>
    </row>
    <row r="56" spans="1:18" s="1844" customFormat="1" ht="36" customHeight="1" thickTop="1" thickBot="1">
      <c r="A56" s="1178">
        <v>2</v>
      </c>
      <c r="B56" s="1179" t="s">
        <v>1414</v>
      </c>
      <c r="C56" s="276">
        <f ca="1">C13</f>
        <v>0</v>
      </c>
      <c r="D56" s="1916"/>
      <c r="E56" s="1917"/>
      <c r="F56" s="1909"/>
      <c r="I56" s="1918" t="s">
        <v>1554</v>
      </c>
      <c r="J56" s="1919"/>
      <c r="K56" s="1889" t="s">
        <v>1555</v>
      </c>
      <c r="L56" s="1892">
        <f ca="1">IF(L48&lt;J51,"——",L48-J51)</f>
        <v>0</v>
      </c>
      <c r="O56" s="1886" t="s">
        <v>1040</v>
      </c>
      <c r="P56" s="1887" t="s">
        <v>1528</v>
      </c>
      <c r="Q56" s="1888" t="e">
        <f ca="1">C40+J29</f>
        <v>#DIV/0!</v>
      </c>
      <c r="R56" s="1888" t="s">
        <v>1529</v>
      </c>
    </row>
    <row r="57" spans="1:18" s="1844" customFormat="1" ht="24.75" thickBot="1">
      <c r="A57" s="1920"/>
      <c r="B57" s="1171" t="s">
        <v>1478</v>
      </c>
      <c r="C57" s="282">
        <f ca="1">C29</f>
        <v>0</v>
      </c>
      <c r="D57" s="1921"/>
      <c r="E57" s="1922"/>
      <c r="F57" s="1923"/>
      <c r="I57" s="1924" t="s">
        <v>1556</v>
      </c>
      <c r="J57" s="1925">
        <f ca="1">IF(OR(M47="住宅",J51&lt;L48,J56="是"),"——",J51-L48)</f>
        <v>0</v>
      </c>
      <c r="K57" s="1889" t="s">
        <v>1605</v>
      </c>
      <c r="L57" s="1892">
        <f ca="1">IF(L48&lt;J51,"——",IF(L55="比较法",L49,IF(L55="基准地价",L50,L51)))</f>
        <v>0</v>
      </c>
      <c r="O57" s="1886" t="s">
        <v>1041</v>
      </c>
      <c r="P57" s="1887" t="s">
        <v>1606</v>
      </c>
      <c r="Q57" s="1888" t="e">
        <f ca="1">L60</f>
        <v>#DIV/0!</v>
      </c>
      <c r="R57" s="1888" t="s">
        <v>1607</v>
      </c>
    </row>
    <row r="58" spans="1:18" s="1844" customFormat="1" ht="24.75" thickBot="1">
      <c r="A58" s="360" t="s">
        <v>1030</v>
      </c>
      <c r="B58" s="1179" t="s">
        <v>1424</v>
      </c>
      <c r="C58" s="361">
        <f ca="1">ROUND(C59+C64+C65+C66,0)</f>
        <v>0</v>
      </c>
      <c r="D58" s="1181" t="s">
        <v>1425</v>
      </c>
      <c r="E58" s="1182"/>
      <c r="F58" s="1183"/>
      <c r="I58" s="1924" t="s">
        <v>1560</v>
      </c>
      <c r="J58" s="1926" t="e">
        <f ca="1">IF(J55&lt;0.4,0.4,J55)</f>
        <v>#DIV/0!</v>
      </c>
      <c r="K58" s="1902" t="s">
        <v>1608</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4">
        <f ca="1">ROUND(IF(项目基本情况!B11="自然人",C48*F59,C60+C61+C62),0)</f>
        <v>0</v>
      </c>
      <c r="D59" s="1184" t="s">
        <v>1430</v>
      </c>
      <c r="E59" s="1185" t="s">
        <v>1431</v>
      </c>
      <c r="F59" s="368" t="str">
        <f ca="1">IF(项目基本情况!B11="企业","",IF(INDIRECT("'数据-取费表'!c"&amp;$G$1)="住宅",5%,IF(F49*F50*F51/12/(1+'数据-取费表'!C42)&gt;20000,12%,7%)))</f>
        <v/>
      </c>
      <c r="I59" s="1924" t="s">
        <v>1563</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4">
        <f ca="1">IF(项目基本情况!B11="自然人","——",ROUND(C48*F60/(1+'数据-取费表'!C42),0))</f>
        <v>0</v>
      </c>
      <c r="D60" s="1185" t="s">
        <v>1434</v>
      </c>
      <c r="E60" s="1171" t="s">
        <v>1422</v>
      </c>
      <c r="F60" s="377">
        <f t="shared" ref="F60:F66" si="0">F32</f>
        <v>5.5000000000000007E-2</v>
      </c>
      <c r="I60" s="1927" t="s">
        <v>1565</v>
      </c>
      <c r="J60" s="1928" t="e">
        <f ca="1">IF(OR(M47="住宅",J51&lt;L48,J56="是"),"0",ROUND(J59/(1+J52)^J53,0))</f>
        <v>#DIV/0!</v>
      </c>
      <c r="K60" s="1929" t="s">
        <v>1566</v>
      </c>
      <c r="L60" s="1928" t="e">
        <f ca="1">IF(OR(M47="住宅",L48&lt;J51),0,ROUND(L57*(L58/L59-1),0))</f>
        <v>#DIV/0!</v>
      </c>
      <c r="O60" s="1896" t="s">
        <v>1044</v>
      </c>
      <c r="P60" s="1887" t="s">
        <v>1567</v>
      </c>
      <c r="Q60" s="1888" t="e">
        <f ca="1">L58</f>
        <v>#DIV/0!</v>
      </c>
      <c r="R60" s="1888" t="s">
        <v>1568</v>
      </c>
    </row>
    <row r="61" spans="1:18" s="1844" customFormat="1" ht="13.5" thickBot="1">
      <c r="A61" s="1203" t="s">
        <v>1492</v>
      </c>
      <c r="B61" s="1171" t="s">
        <v>1493</v>
      </c>
      <c r="C61" s="24">
        <f ca="1">IF(项目基本情况!B11="自然人","——",IF(D61="按租金收入计税",ROUND(C48*F61,0),IF(D61="按房产原值计税",ROUND(C57*F61*0.7,0),INDIRECT("'数据-取费表'!Aj"&amp;$G$1))))</f>
        <v>0</v>
      </c>
      <c r="D61" s="1830" t="s">
        <v>1438</v>
      </c>
      <c r="E61" s="1171" t="s">
        <v>1494</v>
      </c>
      <c r="F61" s="367">
        <f t="shared" si="0"/>
        <v>1.2E-2</v>
      </c>
      <c r="I61" s="1930"/>
      <c r="J61" s="1930"/>
      <c r="K61" s="1930"/>
      <c r="L61" s="1930"/>
      <c r="O61" s="1896" t="s">
        <v>1045</v>
      </c>
      <c r="P61" s="1887" t="str">
        <f>K59</f>
        <v>建设期及建筑物耐用年限下的土地年期修正系数Kn</v>
      </c>
      <c r="Q61" s="1888" t="e">
        <f ca="1">L59</f>
        <v>#DIV/0!</v>
      </c>
      <c r="R61" s="1888" t="s">
        <v>1569</v>
      </c>
    </row>
    <row r="62" spans="1:18" s="1844" customFormat="1" ht="13.5" thickBot="1">
      <c r="A62" s="1203" t="s">
        <v>1495</v>
      </c>
      <c r="B62" s="1170" t="s">
        <v>1496</v>
      </c>
      <c r="C62" s="25">
        <f ca="1">IF(项目基本情况!B11="自然人","——",ROUND(F62*F63,0))</f>
        <v>0</v>
      </c>
      <c r="D62" s="1186" t="s">
        <v>1497</v>
      </c>
      <c r="E62" s="1171" t="s">
        <v>1498</v>
      </c>
      <c r="F62" s="371">
        <f t="shared" si="0"/>
        <v>1.5</v>
      </c>
      <c r="I62" s="1931" t="s">
        <v>1570</v>
      </c>
      <c r="J62" s="1932" t="s">
        <v>1571</v>
      </c>
      <c r="K62" s="1932" t="s">
        <v>1572</v>
      </c>
      <c r="L62" s="1932" t="s">
        <v>1573</v>
      </c>
      <c r="M62" s="1933" t="s">
        <v>1574</v>
      </c>
      <c r="O62" s="1886" t="s">
        <v>1046</v>
      </c>
      <c r="P62" s="1887" t="s">
        <v>1575</v>
      </c>
      <c r="Q62" s="1888" t="e">
        <f ca="1">Q56+Q57</f>
        <v>#DIV/0!</v>
      </c>
      <c r="R62" s="1888" t="s">
        <v>1047</v>
      </c>
    </row>
    <row r="63" spans="1:18" s="1844" customFormat="1" ht="13.5" thickBot="1">
      <c r="A63" s="372"/>
      <c r="B63" s="1177"/>
      <c r="C63" s="29"/>
      <c r="D63" s="1187"/>
      <c r="E63" s="1171" t="s">
        <v>1499</v>
      </c>
      <c r="F63" s="348">
        <f t="shared" ca="1" si="0"/>
        <v>0</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4">
        <f ca="1">ROUND(C57*F64,0)</f>
        <v>0</v>
      </c>
      <c r="D64" s="1185" t="s">
        <v>1502</v>
      </c>
      <c r="E64" s="1171" t="s">
        <v>1494</v>
      </c>
      <c r="F64" s="374">
        <f t="shared" ca="1" si="0"/>
        <v>0</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ROUND(C56*F65,0)</f>
        <v>0</v>
      </c>
      <c r="D65" s="1185" t="s">
        <v>1454</v>
      </c>
      <c r="E65" s="1171" t="s">
        <v>1455</v>
      </c>
      <c r="F65" s="376">
        <f t="shared" ca="1" si="0"/>
        <v>0</v>
      </c>
      <c r="I65" s="1931" t="s">
        <v>1579</v>
      </c>
      <c r="J65" s="1932">
        <v>40</v>
      </c>
      <c r="K65" s="1932">
        <v>30</v>
      </c>
      <c r="L65" s="1932">
        <v>50</v>
      </c>
      <c r="M65" s="1934">
        <v>0.02</v>
      </c>
      <c r="O65" s="1886" t="s">
        <v>1040</v>
      </c>
      <c r="P65" s="1887" t="s">
        <v>1580</v>
      </c>
      <c r="Q65" s="1888" t="e">
        <f ca="1">C40+J29</f>
        <v>#DIV/0!</v>
      </c>
      <c r="R65" s="1888" t="s">
        <v>1529</v>
      </c>
    </row>
    <row r="66" spans="1:18" s="1844" customFormat="1" ht="16.5" thickBot="1">
      <c r="A66" s="1203" t="s">
        <v>1504</v>
      </c>
      <c r="B66" s="1171" t="s">
        <v>1439</v>
      </c>
      <c r="C66" s="24">
        <f ca="1">ROUND(C48*F66,0)</f>
        <v>0</v>
      </c>
      <c r="D66" s="1185" t="s">
        <v>1505</v>
      </c>
      <c r="E66" s="1171" t="s">
        <v>1422</v>
      </c>
      <c r="F66" s="357">
        <f t="shared" ca="1" si="0"/>
        <v>0</v>
      </c>
      <c r="O66" s="1886" t="s">
        <v>1041</v>
      </c>
      <c r="P66" s="1887" t="s">
        <v>1558</v>
      </c>
      <c r="Q66" s="1888" t="e">
        <f ca="1">L60</f>
        <v>#DIV/0!</v>
      </c>
      <c r="R66" s="1888" t="s">
        <v>1581</v>
      </c>
    </row>
    <row r="67" spans="1:18" s="1844" customFormat="1" ht="16.5" thickBot="1">
      <c r="A67" s="1178" t="s">
        <v>1031</v>
      </c>
      <c r="B67" s="1188" t="s">
        <v>1463</v>
      </c>
      <c r="C67" s="361">
        <f ca="1">C48-C58</f>
        <v>0</v>
      </c>
      <c r="D67" s="1184" t="s">
        <v>1464</v>
      </c>
      <c r="E67" s="1189"/>
      <c r="F67" s="1190"/>
      <c r="O67" s="1896" t="s">
        <v>1042</v>
      </c>
      <c r="P67" s="1887" t="s">
        <v>1562</v>
      </c>
      <c r="Q67" s="1935">
        <f ca="1">L51</f>
        <v>0</v>
      </c>
      <c r="R67" s="1888" t="s">
        <v>1582</v>
      </c>
    </row>
    <row r="68" spans="1:18" s="1844" customFormat="1" ht="16.5" thickBot="1">
      <c r="A68" s="1168" t="s">
        <v>1032</v>
      </c>
      <c r="B68" s="1169" t="s">
        <v>1485</v>
      </c>
      <c r="C68" s="346" t="e">
        <f ca="1">ROUND(C67*(1-((1+F70)/(1+F68))^F69)/(F68-F70),0)</f>
        <v>#DIV/0!</v>
      </c>
      <c r="D68" s="1186" t="s">
        <v>1469</v>
      </c>
      <c r="E68" s="1171" t="s">
        <v>1470</v>
      </c>
      <c r="F68" s="357">
        <f ca="1">F40</f>
        <v>0</v>
      </c>
      <c r="O68" s="1896" t="s">
        <v>1043</v>
      </c>
      <c r="P68" s="1936" t="s">
        <v>1583</v>
      </c>
      <c r="Q68" s="1888">
        <f ca="1">ROUND(Q69-Q70*Q71,0)</f>
        <v>0</v>
      </c>
      <c r="R68" s="1888" t="s">
        <v>1051</v>
      </c>
    </row>
    <row r="69" spans="1:18" s="1844" customFormat="1" ht="13.5" thickBot="1">
      <c r="A69" s="1172"/>
      <c r="B69" s="1173"/>
      <c r="C69" s="351"/>
      <c r="D69" s="1191" t="s">
        <v>1473</v>
      </c>
      <c r="E69" s="1171" t="s">
        <v>1474</v>
      </c>
      <c r="F69" s="379">
        <f ca="1">F41</f>
        <v>0</v>
      </c>
      <c r="O69" s="1896" t="s">
        <v>1048</v>
      </c>
      <c r="P69" s="1936" t="s">
        <v>1584</v>
      </c>
      <c r="Q69" s="1888">
        <f ca="1">C39</f>
        <v>0</v>
      </c>
      <c r="R69" s="1888" t="s">
        <v>1529</v>
      </c>
    </row>
    <row r="70" spans="1:18" s="1844" customFormat="1" ht="13.5" thickBot="1">
      <c r="A70" s="1175"/>
      <c r="B70" s="1176"/>
      <c r="C70" s="355"/>
      <c r="D70" s="1187"/>
      <c r="E70" s="1171" t="s">
        <v>1477</v>
      </c>
      <c r="F70" s="1277">
        <f ca="1">F42</f>
        <v>0</v>
      </c>
      <c r="O70" s="1896" t="s">
        <v>1049</v>
      </c>
      <c r="P70" s="1936" t="s">
        <v>1585</v>
      </c>
      <c r="Q70" s="1888">
        <f ca="1">C13</f>
        <v>0</v>
      </c>
      <c r="R70" s="1888" t="s">
        <v>1529</v>
      </c>
    </row>
    <row r="71" spans="1:18" s="1844" customFormat="1" ht="13.5" thickBot="1">
      <c r="A71" s="1192" t="s">
        <v>1033</v>
      </c>
      <c r="B71" s="1193" t="s">
        <v>1487</v>
      </c>
      <c r="C71" s="382" t="e">
        <f ca="1">ROUND(C68/F71,0)</f>
        <v>#DIV/0!</v>
      </c>
      <c r="D71" s="1194" t="s">
        <v>1488</v>
      </c>
      <c r="E71" s="1195" t="s">
        <v>1489</v>
      </c>
      <c r="F71" s="385">
        <f ca="1">F43</f>
        <v>0</v>
      </c>
      <c r="O71" s="1896" t="s">
        <v>1050</v>
      </c>
      <c r="P71" s="1936" t="s">
        <v>1586</v>
      </c>
      <c r="Q71" s="1899">
        <f ca="1">C76</f>
        <v>0</v>
      </c>
      <c r="R71" s="1888"/>
    </row>
    <row r="72" spans="1:18" s="1844" customFormat="1" ht="13.5" thickBot="1">
      <c r="B72" s="796"/>
      <c r="C72" s="796"/>
      <c r="O72" s="1896" t="s">
        <v>1044</v>
      </c>
      <c r="P72" s="1887" t="s">
        <v>1564</v>
      </c>
      <c r="Q72" s="1899">
        <f>L52</f>
        <v>0</v>
      </c>
      <c r="R72" s="1888"/>
    </row>
    <row r="73" spans="1:18" ht="16.5" thickBot="1">
      <c r="A73" s="1844"/>
      <c r="B73" s="796"/>
      <c r="C73" s="796"/>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建设期及建筑物耐用年限下的土地年期修正系数Kn</v>
      </c>
      <c r="Q74" s="1888" t="e">
        <f ca="1">L59</f>
        <v>#DIV/0!</v>
      </c>
      <c r="R74" s="1888" t="s">
        <v>1569</v>
      </c>
    </row>
    <row r="75" spans="1:18" ht="13.5" thickBot="1">
      <c r="A75" s="1844"/>
      <c r="B75" s="386" t="s">
        <v>1506</v>
      </c>
      <c r="C75" s="387">
        <f ca="1">ROUND(C13*C76,0)</f>
        <v>0</v>
      </c>
      <c r="D75" s="1844"/>
      <c r="E75" s="1844"/>
      <c r="F75" s="1844"/>
      <c r="K75" s="1870"/>
      <c r="L75" s="1844"/>
      <c r="O75" s="1886" t="s">
        <v>1046</v>
      </c>
      <c r="P75" s="1887" t="s">
        <v>1549</v>
      </c>
      <c r="Q75" s="1888" t="e">
        <f ca="1">Q65+Q66</f>
        <v>#DIV/0!</v>
      </c>
      <c r="R75" s="1888" t="s">
        <v>1047</v>
      </c>
    </row>
    <row r="76" spans="1:18">
      <c r="B76" s="388" t="s">
        <v>1507</v>
      </c>
      <c r="C76" s="389">
        <f ca="1">INDIRECT("'数据-取费表'!j"&amp;$G$1)</f>
        <v>0</v>
      </c>
      <c r="I76" s="1844"/>
      <c r="J76" s="1844"/>
      <c r="K76" s="1870"/>
      <c r="L76" s="1844"/>
    </row>
    <row r="77" spans="1:18">
      <c r="B77" s="390" t="s">
        <v>1508</v>
      </c>
      <c r="C77" s="391"/>
      <c r="I77" s="1844"/>
      <c r="J77" s="1844"/>
      <c r="K77" s="1870"/>
      <c r="L77" s="1844"/>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8" priority="4">
      <formula>$L$48&gt;$J$51</formula>
    </cfRule>
  </conditionalFormatting>
  <conditionalFormatting sqref="I55 I60">
    <cfRule type="expression" dxfId="137" priority="5">
      <formula>$J$51&gt;$L$48</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4">
    <cfRule type="expression" dxfId="13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57" t="s">
        <v>2514</v>
      </c>
      <c r="B1" s="2558"/>
      <c r="C1" s="2558"/>
      <c r="D1" s="2558"/>
      <c r="E1" s="2559"/>
    </row>
    <row r="2" spans="1:6" ht="15.75">
      <c r="A2" s="2560" t="s">
        <v>2315</v>
      </c>
      <c r="B2" s="2561">
        <f ca="1">SUMIF(B6:B13,"&lt;&gt;#ref!",B6:B13)</f>
        <v>1699</v>
      </c>
      <c r="C2" s="2562" t="s">
        <v>2507</v>
      </c>
      <c r="D2" s="2563" t="s">
        <v>2508</v>
      </c>
      <c r="E2" s="2564">
        <f>SUM(E6:E13)</f>
        <v>1246.4000000000001</v>
      </c>
    </row>
    <row r="3" spans="1:6" ht="15.75">
      <c r="A3" s="2560" t="s">
        <v>1395</v>
      </c>
      <c r="B3" s="2561">
        <f ca="1">ROUND(B2*10000/E2,0)</f>
        <v>13631</v>
      </c>
      <c r="C3" s="2562" t="s">
        <v>2515</v>
      </c>
      <c r="D3" s="2565"/>
      <c r="E3" s="2566"/>
    </row>
    <row r="4" spans="1:6" ht="15.75">
      <c r="A4" s="2567"/>
      <c r="B4" s="2565"/>
      <c r="C4" s="2565"/>
      <c r="D4" s="2565"/>
      <c r="E4" s="2566"/>
    </row>
    <row r="5" spans="1:6" ht="15">
      <c r="A5" s="2568" t="s">
        <v>2509</v>
      </c>
      <c r="B5" s="3172" t="s">
        <v>2510</v>
      </c>
      <c r="C5" s="3172"/>
      <c r="D5" s="2569"/>
      <c r="E5" s="2570" t="s">
        <v>2511</v>
      </c>
      <c r="F5" s="2571" t="s">
        <v>2512</v>
      </c>
    </row>
    <row r="6" spans="1:6">
      <c r="A6" s="2572" t="str">
        <f>'数据-取费表'!AN6</f>
        <v>收益法</v>
      </c>
      <c r="B6" s="2571">
        <f ca="1">IF(F6="是",'数据-取费表'!AO6,0)</f>
        <v>1699</v>
      </c>
      <c r="C6" s="2562" t="s">
        <v>2507</v>
      </c>
      <c r="D6" s="2565"/>
      <c r="E6" s="2573">
        <f>IF(OR(A6=0,F6="否"),0,'数据-取费表'!K6+'数据-取费表'!S6)</f>
        <v>1246.4000000000001</v>
      </c>
      <c r="F6" s="2574" t="s">
        <v>2513</v>
      </c>
    </row>
    <row r="7" spans="1:6">
      <c r="A7" s="2572">
        <f>'数据-取费表'!AN7</f>
        <v>0</v>
      </c>
      <c r="B7" s="2571" t="e">
        <f ca="1">IF(F7="是",'数据-取费表'!AO7,0)</f>
        <v>#REF!</v>
      </c>
      <c r="C7" s="2562" t="s">
        <v>2507</v>
      </c>
      <c r="D7" s="2565"/>
      <c r="E7" s="2573">
        <f>IF(OR(A7=0,F7="否"),0,'数据-取费表'!K7+'数据-取费表'!S7)</f>
        <v>0</v>
      </c>
      <c r="F7" s="2574" t="s">
        <v>2513</v>
      </c>
    </row>
    <row r="8" spans="1:6">
      <c r="A8" s="2572">
        <f>'数据-取费表'!AN8</f>
        <v>0</v>
      </c>
      <c r="B8" s="2571" t="e">
        <f ca="1">IF(F8="是",'数据-取费表'!AO8,0)</f>
        <v>#REF!</v>
      </c>
      <c r="C8" s="2562" t="s">
        <v>2507</v>
      </c>
      <c r="D8" s="2565"/>
      <c r="E8" s="2573">
        <f>IF(OR(A8=0,F8="否"),0,'数据-取费表'!K8+'数据-取费表'!S8)</f>
        <v>0</v>
      </c>
      <c r="F8" s="2574" t="s">
        <v>2513</v>
      </c>
    </row>
    <row r="9" spans="1:6">
      <c r="A9" s="2572">
        <f>'数据-取费表'!AN9</f>
        <v>0</v>
      </c>
      <c r="B9" s="2571" t="e">
        <f ca="1">IF(F9="是",'数据-取费表'!AO9,0)</f>
        <v>#REF!</v>
      </c>
      <c r="C9" s="2562" t="s">
        <v>2507</v>
      </c>
      <c r="D9" s="2565"/>
      <c r="E9" s="2573">
        <f>IF(OR(A9=0,F9="否"),0,'数据-取费表'!K9+'数据-取费表'!S9)</f>
        <v>0</v>
      </c>
      <c r="F9" s="2574" t="s">
        <v>2513</v>
      </c>
    </row>
    <row r="10" spans="1:6">
      <c r="A10" s="2572">
        <f>'数据-取费表'!AN10</f>
        <v>0</v>
      </c>
      <c r="B10" s="2571" t="e">
        <f ca="1">IF(F10="是",'数据-取费表'!AO10,0)</f>
        <v>#REF!</v>
      </c>
      <c r="C10" s="2562" t="s">
        <v>2507</v>
      </c>
      <c r="D10" s="2565"/>
      <c r="E10" s="2573">
        <f>IF(OR(A10=0,F10="否"),0,'数据-取费表'!K10+'数据-取费表'!S10)</f>
        <v>0</v>
      </c>
      <c r="F10" s="2574" t="s">
        <v>2513</v>
      </c>
    </row>
    <row r="11" spans="1:6">
      <c r="A11" s="2572">
        <f>'数据-取费表'!AN11</f>
        <v>0</v>
      </c>
      <c r="B11" s="2571" t="e">
        <f ca="1">IF(F11="是",'数据-取费表'!AO11,0)</f>
        <v>#REF!</v>
      </c>
      <c r="C11" s="2562" t="s">
        <v>2507</v>
      </c>
      <c r="D11" s="2565"/>
      <c r="E11" s="2573">
        <f>IF(OR(A11=0,F11="否"),0,'数据-取费表'!K11+'数据-取费表'!S11)</f>
        <v>0</v>
      </c>
      <c r="F11" s="2574" t="s">
        <v>2513</v>
      </c>
    </row>
    <row r="12" spans="1:6">
      <c r="A12" s="2572">
        <f>'数据-取费表'!AN12</f>
        <v>0</v>
      </c>
      <c r="B12" s="2571" t="e">
        <f ca="1">IF(F12="是",'数据-取费表'!AO12,0)</f>
        <v>#REF!</v>
      </c>
      <c r="C12" s="2562" t="s">
        <v>2507</v>
      </c>
      <c r="D12" s="2565"/>
      <c r="E12" s="2573">
        <f>IF(OR(A12=0,F12="否"),0,'数据-取费表'!K12+'数据-取费表'!S12)</f>
        <v>0</v>
      </c>
      <c r="F12" s="2574" t="s">
        <v>2513</v>
      </c>
    </row>
    <row r="13" spans="1:6" ht="15" thickBot="1">
      <c r="A13" s="2575">
        <f>'数据-取费表'!AN13</f>
        <v>0</v>
      </c>
      <c r="B13" s="2571" t="e">
        <f ca="1">IF(F13="是",'数据-取费表'!AO13,0)</f>
        <v>#REF!</v>
      </c>
      <c r="C13" s="2576" t="s">
        <v>2507</v>
      </c>
      <c r="D13" s="2577"/>
      <c r="E13" s="2573">
        <f>IF(OR(A13=0,F13="否"),0,'数据-取费表'!K13+'数据-取费表'!S13)</f>
        <v>0</v>
      </c>
      <c r="F13" s="2574" t="s">
        <v>2513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3" t="s">
        <v>1076</v>
      </c>
      <c r="B1" s="3174"/>
      <c r="C1" s="3175"/>
      <c r="D1" s="3176">
        <f>SUM(I10,I15,I20,I21,I23)</f>
        <v>0</v>
      </c>
      <c r="E1" s="3176"/>
      <c r="F1" s="3176"/>
      <c r="G1" s="3176"/>
      <c r="H1" s="3176"/>
      <c r="I1" s="3177"/>
    </row>
    <row r="2" spans="1:9">
      <c r="A2" s="3178" t="s">
        <v>1077</v>
      </c>
      <c r="B2" s="3179" t="s">
        <v>1078</v>
      </c>
      <c r="C2" s="3179"/>
      <c r="D2" s="1303" t="s">
        <v>1079</v>
      </c>
      <c r="E2" s="1303" t="s">
        <v>1080</v>
      </c>
      <c r="F2" s="1303" t="s">
        <v>1081</v>
      </c>
      <c r="G2" s="1303" t="s">
        <v>1082</v>
      </c>
      <c r="H2" s="1303" t="s">
        <v>1083</v>
      </c>
      <c r="I2" s="1304" t="s">
        <v>1084</v>
      </c>
    </row>
    <row r="3" spans="1:9">
      <c r="A3" s="3178"/>
      <c r="B3" s="3179" t="s">
        <v>1085</v>
      </c>
      <c r="C3" s="3179"/>
      <c r="D3" s="1305"/>
      <c r="E3" s="1303"/>
      <c r="F3" s="1306"/>
      <c r="G3" s="1306"/>
      <c r="H3" s="1307"/>
      <c r="I3" s="1308">
        <f>ROUND(D3*E3*F3*G3*H3/10000,0)</f>
        <v>0</v>
      </c>
    </row>
    <row r="4" spans="1:9">
      <c r="A4" s="3178"/>
      <c r="B4" s="3179" t="s">
        <v>1086</v>
      </c>
      <c r="C4" s="3179"/>
      <c r="D4" s="1305"/>
      <c r="E4" s="1303"/>
      <c r="F4" s="1306"/>
      <c r="G4" s="1306"/>
      <c r="H4" s="1307"/>
      <c r="I4" s="1308">
        <f t="shared" ref="I4:I9" si="0">ROUND(D4*E4*F4*G4*H4/10000,0)</f>
        <v>0</v>
      </c>
    </row>
    <row r="5" spans="1:9">
      <c r="A5" s="3178"/>
      <c r="B5" s="3179" t="s">
        <v>1087</v>
      </c>
      <c r="C5" s="3179"/>
      <c r="D5" s="1305"/>
      <c r="E5" s="1303"/>
      <c r="F5" s="1306"/>
      <c r="G5" s="1306"/>
      <c r="H5" s="1307"/>
      <c r="I5" s="1308">
        <f t="shared" si="0"/>
        <v>0</v>
      </c>
    </row>
    <row r="6" spans="1:9">
      <c r="A6" s="3178"/>
      <c r="B6" s="3179" t="s">
        <v>1088</v>
      </c>
      <c r="C6" s="3179"/>
      <c r="D6" s="1305"/>
      <c r="E6" s="1303"/>
      <c r="F6" s="1306"/>
      <c r="G6" s="1306"/>
      <c r="H6" s="1307"/>
      <c r="I6" s="1308">
        <f t="shared" si="0"/>
        <v>0</v>
      </c>
    </row>
    <row r="7" spans="1:9">
      <c r="A7" s="3178"/>
      <c r="B7" s="3179" t="s">
        <v>1089</v>
      </c>
      <c r="C7" s="3179"/>
      <c r="D7" s="1305"/>
      <c r="E7" s="1303"/>
      <c r="F7" s="1306"/>
      <c r="G7" s="1306"/>
      <c r="H7" s="1307"/>
      <c r="I7" s="1308">
        <f t="shared" si="0"/>
        <v>0</v>
      </c>
    </row>
    <row r="8" spans="1:9">
      <c r="A8" s="3178"/>
      <c r="B8" s="3179" t="s">
        <v>1090</v>
      </c>
      <c r="C8" s="3179"/>
      <c r="D8" s="1305"/>
      <c r="E8" s="1303"/>
      <c r="F8" s="1306"/>
      <c r="G8" s="1306"/>
      <c r="H8" s="1307"/>
      <c r="I8" s="1308">
        <f t="shared" si="0"/>
        <v>0</v>
      </c>
    </row>
    <row r="9" spans="1:9">
      <c r="A9" s="3178"/>
      <c r="B9" s="3179" t="s">
        <v>1091</v>
      </c>
      <c r="C9" s="3179"/>
      <c r="D9" s="1305"/>
      <c r="E9" s="1303"/>
      <c r="F9" s="1306"/>
      <c r="G9" s="1306"/>
      <c r="H9" s="1307"/>
      <c r="I9" s="1308">
        <f t="shared" si="0"/>
        <v>0</v>
      </c>
    </row>
    <row r="10" spans="1:9">
      <c r="A10" s="3178"/>
      <c r="B10" s="3180" t="s">
        <v>1092</v>
      </c>
      <c r="C10" s="3180"/>
      <c r="D10" s="1309"/>
      <c r="E10" s="1309" t="e">
        <f>ROUND(D1*10000/D10/H9,0)</f>
        <v>#DIV/0!</v>
      </c>
      <c r="F10" s="1310"/>
      <c r="G10" s="1310"/>
      <c r="H10" s="1311"/>
      <c r="I10" s="1312">
        <f>SUM(I3:I9)</f>
        <v>0</v>
      </c>
    </row>
    <row r="11" spans="1:9" ht="14.25">
      <c r="A11" s="3178" t="s">
        <v>1093</v>
      </c>
      <c r="B11" s="3179" t="s">
        <v>1094</v>
      </c>
      <c r="C11" s="3179"/>
      <c r="D11" s="1305" t="s">
        <v>1095</v>
      </c>
      <c r="E11" s="1305" t="s">
        <v>1096</v>
      </c>
      <c r="F11" s="1306" t="s">
        <v>1097</v>
      </c>
      <c r="G11" s="1306" t="s">
        <v>1083</v>
      </c>
      <c r="H11" s="1313" t="s">
        <v>1098</v>
      </c>
      <c r="I11" s="1304" t="s">
        <v>1084</v>
      </c>
    </row>
    <row r="12" spans="1:9">
      <c r="A12" s="3178"/>
      <c r="B12" s="3179" t="s">
        <v>1099</v>
      </c>
      <c r="C12" s="3179"/>
      <c r="D12" s="1305"/>
      <c r="E12" s="1305"/>
      <c r="F12" s="1306"/>
      <c r="G12" s="1307"/>
      <c r="H12" s="1314"/>
      <c r="I12" s="1304">
        <f>ROUND(D12*E12*F12*G12/10000,0)</f>
        <v>0</v>
      </c>
    </row>
    <row r="13" spans="1:9">
      <c r="A13" s="3178"/>
      <c r="B13" s="3179" t="s">
        <v>1100</v>
      </c>
      <c r="C13" s="3179"/>
      <c r="D13" s="1305"/>
      <c r="E13" s="1305"/>
      <c r="F13" s="1306"/>
      <c r="G13" s="1307"/>
      <c r="H13" s="1314"/>
      <c r="I13" s="1304">
        <f>ROUND(D13*E13*F13*G13/10000,0)</f>
        <v>0</v>
      </c>
    </row>
    <row r="14" spans="1:9">
      <c r="A14" s="3178"/>
      <c r="B14" s="3179" t="s">
        <v>1101</v>
      </c>
      <c r="C14" s="3179"/>
      <c r="D14" s="1305"/>
      <c r="E14" s="1305"/>
      <c r="F14" s="1306"/>
      <c r="G14" s="1307"/>
      <c r="H14" s="1314"/>
      <c r="I14" s="1304">
        <f>ROUND(D14*E14*F14*G14/10000,0)</f>
        <v>0</v>
      </c>
    </row>
    <row r="15" spans="1:9">
      <c r="A15" s="3178"/>
      <c r="B15" s="3180" t="s">
        <v>1092</v>
      </c>
      <c r="C15" s="3180"/>
      <c r="D15" s="1309"/>
      <c r="E15" s="1309">
        <f>SUM(E12:E14)</f>
        <v>0</v>
      </c>
      <c r="F15" s="1310"/>
      <c r="G15" s="1307"/>
      <c r="H15" s="1314"/>
      <c r="I15" s="1315">
        <f>SUM(I12:I14)</f>
        <v>0</v>
      </c>
    </row>
    <row r="16" spans="1:9" ht="24">
      <c r="A16" s="3178" t="s">
        <v>1102</v>
      </c>
      <c r="B16" s="3179" t="s">
        <v>1103</v>
      </c>
      <c r="C16" s="3179"/>
      <c r="D16" s="1305" t="s">
        <v>1079</v>
      </c>
      <c r="E16" s="1316" t="s">
        <v>1104</v>
      </c>
      <c r="F16" s="1306" t="s">
        <v>1105</v>
      </c>
      <c r="G16" s="1307" t="s">
        <v>1083</v>
      </c>
      <c r="H16" s="1313" t="s">
        <v>1098</v>
      </c>
      <c r="I16" s="1304" t="s">
        <v>1084</v>
      </c>
    </row>
    <row r="17" spans="1:9" ht="14.25">
      <c r="A17" s="3178"/>
      <c r="B17" s="3179" t="s">
        <v>1106</v>
      </c>
      <c r="C17" s="3179"/>
      <c r="D17" s="1305"/>
      <c r="E17" s="1305"/>
      <c r="F17" s="1306"/>
      <c r="G17" s="1307"/>
      <c r="H17" s="1317"/>
      <c r="I17" s="1318">
        <f>ROUND(D17*E17*F17*G17/10000,0)</f>
        <v>0</v>
      </c>
    </row>
    <row r="18" spans="1:9" ht="14.25">
      <c r="A18" s="3178"/>
      <c r="B18" s="3179" t="s">
        <v>1107</v>
      </c>
      <c r="C18" s="3179"/>
      <c r="D18" s="1305"/>
      <c r="E18" s="1305"/>
      <c r="F18" s="1306"/>
      <c r="G18" s="1307"/>
      <c r="H18" s="1317"/>
      <c r="I18" s="1318">
        <f>ROUND(D18*E18*F18*G18/10000,0)</f>
        <v>0</v>
      </c>
    </row>
    <row r="19" spans="1:9" ht="14.25">
      <c r="A19" s="3178"/>
      <c r="B19" s="3179" t="s">
        <v>1108</v>
      </c>
      <c r="C19" s="3179"/>
      <c r="D19" s="1305"/>
      <c r="E19" s="1305"/>
      <c r="F19" s="1306"/>
      <c r="G19" s="1307"/>
      <c r="H19" s="1317"/>
      <c r="I19" s="1318">
        <f>ROUND(D19*E19*F19*G19/10000,0)</f>
        <v>0</v>
      </c>
    </row>
    <row r="20" spans="1:9">
      <c r="A20" s="3178"/>
      <c r="B20" s="3180" t="s">
        <v>1092</v>
      </c>
      <c r="C20" s="3180"/>
      <c r="D20" s="1309">
        <f>SUM(D17:D19)</f>
        <v>0</v>
      </c>
      <c r="E20" s="1309"/>
      <c r="F20" s="1310"/>
      <c r="G20" s="1307"/>
      <c r="H20" s="1314"/>
      <c r="I20" s="1315">
        <f>SUM(I17:I19)</f>
        <v>0</v>
      </c>
    </row>
    <row r="21" spans="1:9">
      <c r="A21" s="3178" t="s">
        <v>1109</v>
      </c>
      <c r="B21" s="3182"/>
      <c r="C21" s="3182"/>
      <c r="D21" s="3182"/>
      <c r="E21" s="3182"/>
      <c r="F21" s="3182"/>
      <c r="G21" s="3182"/>
      <c r="H21" s="1767">
        <v>0.1</v>
      </c>
      <c r="I21" s="1312">
        <f>ROUND(I10*H21,0)</f>
        <v>0</v>
      </c>
    </row>
    <row r="22" spans="1:9" ht="14.25">
      <c r="A22" s="3183" t="s">
        <v>1110</v>
      </c>
      <c r="B22" s="3184"/>
      <c r="C22" s="3185"/>
      <c r="D22" s="1319" t="s">
        <v>1111</v>
      </c>
      <c r="E22" s="1319" t="s">
        <v>1112</v>
      </c>
      <c r="F22" s="1320" t="s">
        <v>1113</v>
      </c>
      <c r="G22" s="1320" t="s">
        <v>1114</v>
      </c>
      <c r="H22" s="1313" t="s">
        <v>1115</v>
      </c>
      <c r="I22" s="1304" t="s">
        <v>1116</v>
      </c>
    </row>
    <row r="23" spans="1:9" ht="14.25" thickBot="1">
      <c r="A23" s="3186"/>
      <c r="B23" s="3187"/>
      <c r="C23" s="3188"/>
      <c r="D23" s="1321"/>
      <c r="E23" s="1321"/>
      <c r="F23" s="1321"/>
      <c r="G23" s="1322"/>
      <c r="H23" s="1323"/>
      <c r="I23" s="1324">
        <f>ROUND(E23*D23*F23*(1-G23)/10000,0)</f>
        <v>0</v>
      </c>
    </row>
    <row r="26" spans="1:9">
      <c r="A26" s="1325" t="s">
        <v>1117</v>
      </c>
      <c r="B26" s="1325"/>
      <c r="C26" s="1325"/>
      <c r="D26" s="1325"/>
      <c r="E26" s="3189">
        <f>C27-C30-C31-C32</f>
        <v>0</v>
      </c>
      <c r="F26" s="3189"/>
      <c r="G26" s="3189"/>
      <c r="H26" s="1739" t="s">
        <v>1340</v>
      </c>
    </row>
    <row r="27" spans="1:9">
      <c r="A27" s="1326">
        <v>1</v>
      </c>
      <c r="B27" s="1327" t="s">
        <v>1118</v>
      </c>
      <c r="C27" s="1327">
        <f>C28+C29</f>
        <v>0</v>
      </c>
      <c r="D27" s="1327"/>
      <c r="E27" s="3190"/>
      <c r="F27" s="3190"/>
      <c r="G27" s="3190"/>
    </row>
    <row r="28" spans="1:9">
      <c r="A28" s="1328" t="s">
        <v>1119</v>
      </c>
      <c r="B28" s="1327" t="s">
        <v>1120</v>
      </c>
      <c r="C28" s="1327"/>
      <c r="D28" s="1327"/>
      <c r="E28" s="3190"/>
      <c r="F28" s="3190"/>
      <c r="G28" s="3190"/>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181"/>
      <c r="F32" s="3181"/>
      <c r="G32" s="3181"/>
    </row>
    <row r="33" spans="1:7" hidden="1">
      <c r="A33" s="3191" t="s">
        <v>1129</v>
      </c>
      <c r="B33" s="3192"/>
      <c r="C33" s="3192"/>
      <c r="D33" s="3193"/>
      <c r="E33" s="3189"/>
      <c r="F33" s="3189"/>
      <c r="G33" s="3189"/>
    </row>
    <row r="34" spans="1:7" hidden="1">
      <c r="A34" s="1330">
        <v>1</v>
      </c>
      <c r="B34" s="1327" t="s">
        <v>1130</v>
      </c>
      <c r="C34" s="1327"/>
      <c r="D34" s="1327"/>
      <c r="E34" s="3190"/>
      <c r="F34" s="3190"/>
      <c r="G34" s="3190"/>
    </row>
    <row r="35" spans="1:7" hidden="1">
      <c r="A35" s="1330">
        <v>2</v>
      </c>
      <c r="B35" s="1327" t="s">
        <v>1131</v>
      </c>
      <c r="C35" s="1327"/>
      <c r="D35" s="1327"/>
      <c r="E35" s="3190"/>
      <c r="F35" s="3190"/>
      <c r="G35" s="3190"/>
    </row>
    <row r="36" spans="1:7" hidden="1">
      <c r="A36" s="1330">
        <v>3</v>
      </c>
      <c r="B36" s="1327" t="s">
        <v>1132</v>
      </c>
      <c r="C36" s="1327"/>
      <c r="D36" s="1327"/>
      <c r="E36" s="3190"/>
      <c r="F36" s="3190"/>
      <c r="G36" s="3190"/>
    </row>
    <row r="37" spans="1:7" hidden="1">
      <c r="A37" s="1330">
        <v>4</v>
      </c>
      <c r="B37" s="1327" t="s">
        <v>1133</v>
      </c>
      <c r="C37" s="1327"/>
      <c r="D37" s="1327"/>
      <c r="E37" s="3190"/>
      <c r="F37" s="3190"/>
      <c r="G37" s="3190"/>
    </row>
    <row r="38" spans="1:7" hidden="1">
      <c r="A38" s="3191" t="s">
        <v>1134</v>
      </c>
      <c r="B38" s="3192"/>
      <c r="C38" s="3192"/>
      <c r="D38" s="3193"/>
      <c r="E38" s="3189"/>
      <c r="F38" s="3189"/>
      <c r="G38" s="318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578" t="s">
        <v>2517</v>
      </c>
      <c r="C1" s="1636" t="s">
        <v>2518</v>
      </c>
      <c r="D1" s="1623"/>
      <c r="E1" s="2579"/>
      <c r="F1" s="2580" t="s">
        <v>2519</v>
      </c>
      <c r="G1" s="1633" t="s">
        <v>2520</v>
      </c>
      <c r="H1" s="1632"/>
      <c r="I1" s="1632"/>
      <c r="J1" s="1632"/>
      <c r="K1" s="1634"/>
      <c r="L1" s="1635"/>
      <c r="M1" s="1636"/>
      <c r="N1" s="1636"/>
      <c r="O1" s="1636"/>
      <c r="P1" s="2581"/>
      <c r="Q1" s="1622"/>
      <c r="R1" s="1622"/>
      <c r="S1" s="1622"/>
      <c r="T1" s="1622"/>
      <c r="U1" s="1622"/>
      <c r="V1" s="1622"/>
      <c r="W1" s="1622"/>
      <c r="X1" s="1622"/>
      <c r="Y1" s="1622"/>
      <c r="Z1" s="1622"/>
      <c r="AA1" s="1622"/>
      <c r="AB1" s="1622"/>
      <c r="AC1" s="1630"/>
    </row>
    <row r="2" spans="1:29" s="393" customFormat="1" ht="28.5" customHeight="1" thickTop="1">
      <c r="A2" s="1619" t="s">
        <v>1394</v>
      </c>
      <c r="B2" s="1420" t="e">
        <f ca="1">IF(C2="——",ROUND(C49*D3/10000,0),ROUND(C49*D3/10000,0)-D2)</f>
        <v>#DIV/0!</v>
      </c>
      <c r="C2" s="2582"/>
      <c r="D2" s="1367" t="e">
        <f ca="1">SUMIF(INDIRECT("'"&amp;F2&amp;"'"&amp;"!A:A"),"承租人权益价值",INDIRECT("'"&amp;F2&amp;"'"&amp;"!c:c"))</f>
        <v>#REF!</v>
      </c>
      <c r="E2" s="2583" t="s">
        <v>2521</v>
      </c>
      <c r="F2" s="2584"/>
      <c r="G2" s="1126"/>
      <c r="H2" s="1126"/>
      <c r="I2" s="1126"/>
      <c r="J2" s="1126"/>
      <c r="K2" s="2585"/>
      <c r="L2" s="2586"/>
      <c r="M2" s="2587"/>
      <c r="N2" s="2587"/>
      <c r="O2" s="2587"/>
      <c r="P2" s="2588"/>
      <c r="Q2" s="2589"/>
      <c r="R2" s="2589"/>
      <c r="S2" s="2589"/>
      <c r="T2" s="2589"/>
      <c r="U2" s="2589"/>
      <c r="V2" s="2589"/>
      <c r="W2" s="2589"/>
      <c r="X2" s="2589"/>
      <c r="Y2" s="2589"/>
      <c r="Z2" s="2589"/>
      <c r="AA2" s="2589"/>
      <c r="AB2" s="2589"/>
      <c r="AC2" s="2590"/>
    </row>
    <row r="3" spans="1:29" s="393" customFormat="1" ht="28.5" customHeight="1" thickBot="1">
      <c r="A3" s="247" t="s">
        <v>1395</v>
      </c>
      <c r="B3" s="399" t="e">
        <f ca="1">IF(C2="——",C49,ROUND(B2*10000/D3,0))</f>
        <v>#DIV/0!</v>
      </c>
      <c r="C3" s="400" t="s">
        <v>2522</v>
      </c>
      <c r="D3" s="399">
        <f>IF(D1="",'数据-汇总表'!E3,SUMIF('数据-汇总表'!$C19:$C33,D1,'数据-汇总表'!$E19:$E33))</f>
        <v>1246.4000000000001</v>
      </c>
      <c r="E3" s="1126"/>
      <c r="F3" s="2591"/>
      <c r="G3" s="1126"/>
      <c r="H3" s="1126"/>
      <c r="I3" s="1126"/>
      <c r="J3" s="1126"/>
      <c r="K3" s="2585"/>
      <c r="L3" s="2586"/>
      <c r="M3" s="2587"/>
      <c r="N3" s="2587"/>
      <c r="O3" s="2587"/>
      <c r="P3" s="2588"/>
      <c r="Q3" s="2589"/>
      <c r="R3" s="2589"/>
      <c r="S3" s="2589"/>
      <c r="T3" s="2589"/>
      <c r="U3" s="2589"/>
      <c r="V3" s="2589"/>
      <c r="W3" s="2589"/>
      <c r="X3" s="2589"/>
      <c r="Y3" s="2589"/>
      <c r="Z3" s="2589"/>
      <c r="AA3" s="2589"/>
      <c r="AB3" s="2589"/>
      <c r="AC3" s="1284"/>
    </row>
    <row r="4" spans="1:29" ht="15">
      <c r="A4" s="401" t="s">
        <v>2523</v>
      </c>
      <c r="B4" s="402"/>
      <c r="C4" s="3212" t="s">
        <v>2524</v>
      </c>
      <c r="D4" s="3213"/>
      <c r="E4" s="3214" t="s">
        <v>2525</v>
      </c>
      <c r="F4" s="3215"/>
      <c r="G4" s="3212" t="s">
        <v>2526</v>
      </c>
      <c r="H4" s="3213"/>
      <c r="I4" s="3212" t="s">
        <v>2527</v>
      </c>
      <c r="J4" s="3213"/>
      <c r="K4" s="2592" t="s">
        <v>2528</v>
      </c>
      <c r="L4" s="1132"/>
      <c r="M4" s="1133"/>
      <c r="N4" s="1133"/>
      <c r="O4" s="1133"/>
      <c r="P4" s="3216" t="s">
        <v>2529</v>
      </c>
      <c r="Q4" s="3217"/>
      <c r="R4" s="3199" t="s">
        <v>2525</v>
      </c>
      <c r="S4" s="3200"/>
      <c r="T4" s="3199" t="s">
        <v>2526</v>
      </c>
      <c r="U4" s="3200"/>
      <c r="V4" s="3224" t="s">
        <v>2527</v>
      </c>
      <c r="W4" s="3224"/>
      <c r="X4" s="1815"/>
      <c r="Y4" s="3199" t="s">
        <v>2529</v>
      </c>
      <c r="Z4" s="3200"/>
      <c r="AA4" s="3194" t="s">
        <v>2525</v>
      </c>
      <c r="AB4" s="3194" t="s">
        <v>2526</v>
      </c>
      <c r="AC4" s="3194" t="s">
        <v>2527</v>
      </c>
    </row>
    <row r="5" spans="1:29" ht="15">
      <c r="A5" s="404"/>
      <c r="B5" s="405"/>
      <c r="C5" s="3205" t="s">
        <v>2530</v>
      </c>
      <c r="D5" s="3206"/>
      <c r="E5" s="3203" t="s">
        <v>2531</v>
      </c>
      <c r="F5" s="3204"/>
      <c r="G5" s="3205" t="s">
        <v>2532</v>
      </c>
      <c r="H5" s="3206"/>
      <c r="I5" s="3205" t="s">
        <v>2533</v>
      </c>
      <c r="J5" s="3206"/>
      <c r="K5" s="2593"/>
      <c r="L5" s="1132"/>
      <c r="M5" s="1133"/>
      <c r="N5" s="1133"/>
      <c r="O5" s="1133"/>
      <c r="P5" s="3218"/>
      <c r="Q5" s="3219"/>
      <c r="R5" s="3201"/>
      <c r="S5" s="3202"/>
      <c r="T5" s="3201"/>
      <c r="U5" s="3202"/>
      <c r="V5" s="3224"/>
      <c r="W5" s="3224"/>
      <c r="X5" s="1815"/>
      <c r="Y5" s="3201"/>
      <c r="Z5" s="3202"/>
      <c r="AA5" s="3195"/>
      <c r="AB5" s="3195"/>
      <c r="AC5" s="3195"/>
    </row>
    <row r="6" spans="1:29" ht="15.75" thickBot="1">
      <c r="A6" s="406"/>
      <c r="B6" s="407"/>
      <c r="C6" s="3207" t="s">
        <v>2534</v>
      </c>
      <c r="D6" s="3208"/>
      <c r="E6" s="3209" t="s">
        <v>2534</v>
      </c>
      <c r="F6" s="3210"/>
      <c r="G6" s="3207" t="s">
        <v>2534</v>
      </c>
      <c r="H6" s="3208"/>
      <c r="I6" s="3207" t="s">
        <v>2534</v>
      </c>
      <c r="J6" s="3208"/>
      <c r="K6" s="2593" t="s">
        <v>2535</v>
      </c>
      <c r="L6" s="1132"/>
      <c r="M6" s="1133"/>
      <c r="N6" s="1133"/>
      <c r="O6" s="1133"/>
      <c r="P6" s="3220"/>
      <c r="Q6" s="3221"/>
      <c r="R6" s="3201"/>
      <c r="S6" s="3202"/>
      <c r="T6" s="3222"/>
      <c r="U6" s="3223"/>
      <c r="V6" s="3224"/>
      <c r="W6" s="3224"/>
      <c r="X6" s="1815"/>
      <c r="Y6" s="3222"/>
      <c r="Z6" s="3223"/>
      <c r="AA6" s="3196"/>
      <c r="AB6" s="3196"/>
      <c r="AC6" s="3196"/>
    </row>
    <row r="7" spans="1:29" s="117" customFormat="1" ht="15.75" thickBot="1">
      <c r="A7" s="408" t="s">
        <v>2536</v>
      </c>
      <c r="B7" s="409"/>
      <c r="C7" s="410">
        <f>'数据-取费表'!B2</f>
        <v>43165</v>
      </c>
      <c r="D7" s="411">
        <v>100</v>
      </c>
      <c r="E7" s="412"/>
      <c r="F7" s="413">
        <f>SUMIF(58:58,YEAR(E7)&amp;"-"&amp;MONTH(E7),59:59)</f>
        <v>0</v>
      </c>
      <c r="G7" s="412"/>
      <c r="H7" s="411">
        <f>SUMIF(58:58,YEAR(G7)&amp;"-"&amp;MONTH(G7),59:59)</f>
        <v>0</v>
      </c>
      <c r="I7" s="412"/>
      <c r="J7" s="411">
        <f>SUMIF(58:58,YEAR(I7)&amp;"-"&amp;MONTH(I7),59:59)</f>
        <v>0</v>
      </c>
      <c r="K7" s="2594"/>
      <c r="L7" s="1134"/>
      <c r="M7" s="1135"/>
      <c r="N7" s="1135"/>
      <c r="O7" s="1135"/>
      <c r="P7" s="3197" t="s">
        <v>2537</v>
      </c>
      <c r="Q7" s="3225"/>
      <c r="R7" s="770" t="s">
        <v>23</v>
      </c>
      <c r="S7" s="771">
        <f t="shared" ref="S7:S15" si="0">F7</f>
        <v>0</v>
      </c>
      <c r="T7" s="770" t="s">
        <v>23</v>
      </c>
      <c r="U7" s="771">
        <f t="shared" ref="U7:U15" si="1">H7</f>
        <v>0</v>
      </c>
      <c r="V7" s="770" t="s">
        <v>23</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2539</v>
      </c>
      <c r="D8" s="411">
        <v>100</v>
      </c>
      <c r="E8" s="2595"/>
      <c r="F8" s="413">
        <f>SUMIF(61:61,E8,62:62)-SUMIF(61:61,C8,62:62)+100</f>
        <v>0</v>
      </c>
      <c r="G8" s="414"/>
      <c r="H8" s="411">
        <f>SUMIF(61:61,G8,62:62)-SUMIF(61:61,C8,62:62)+100</f>
        <v>0</v>
      </c>
      <c r="I8" s="2595"/>
      <c r="J8" s="411">
        <f>SUMIF(61:61,I8,62:62)-SUMIF(61:61,C8,62:62)+100</f>
        <v>0</v>
      </c>
      <c r="K8" s="2594"/>
      <c r="L8" s="1134"/>
      <c r="M8" s="1135"/>
      <c r="N8" s="1135"/>
      <c r="O8" s="1135"/>
      <c r="P8" s="3197" t="s">
        <v>2540</v>
      </c>
      <c r="Q8" s="3198"/>
      <c r="R8" s="770" t="s">
        <v>23</v>
      </c>
      <c r="S8" s="771">
        <f t="shared" si="0"/>
        <v>0</v>
      </c>
      <c r="T8" s="770" t="s">
        <v>23</v>
      </c>
      <c r="U8" s="771">
        <f t="shared" si="1"/>
        <v>0</v>
      </c>
      <c r="V8" s="770" t="s">
        <v>23</v>
      </c>
      <c r="W8" s="771">
        <f t="shared" si="2"/>
        <v>0</v>
      </c>
      <c r="X8" s="772"/>
      <c r="Y8" s="3197" t="s">
        <v>2540</v>
      </c>
      <c r="Z8" s="3198"/>
      <c r="AA8" s="773" t="e">
        <f t="shared" ref="AA8:AA19" si="3">D8/F8</f>
        <v>#DIV/0!</v>
      </c>
      <c r="AB8" s="773" t="e">
        <f t="shared" ref="AB8:AB19" si="4">D8/H8</f>
        <v>#DIV/0!</v>
      </c>
      <c r="AC8" s="773" t="e">
        <f t="shared" ref="AC8:AC19" si="5">D8/J8</f>
        <v>#DIV/0!</v>
      </c>
    </row>
    <row r="9" spans="1:29" s="117" customFormat="1">
      <c r="A9" s="415" t="s">
        <v>2541</v>
      </c>
      <c r="B9" s="71" t="s">
        <v>2542</v>
      </c>
      <c r="C9" s="416"/>
      <c r="D9" s="135">
        <v>100</v>
      </c>
      <c r="E9" s="417"/>
      <c r="F9" s="418">
        <f>SUMIF(63:63,E9,64:64)-SUMIF(63:63,C9,64:64)+100</f>
        <v>100</v>
      </c>
      <c r="G9" s="419"/>
      <c r="H9" s="135">
        <f>SUMIF(63:63,G9,64:64)-SUMIF(63:63,C9,64:64)+100</f>
        <v>100</v>
      </c>
      <c r="I9" s="419"/>
      <c r="J9" s="135">
        <f>SUMIF(63:63,I9,64:64)-SUMIF(63:63,C9,64:64)+100</f>
        <v>100</v>
      </c>
      <c r="K9" s="2594"/>
      <c r="L9" s="1134"/>
      <c r="M9" s="1135"/>
      <c r="N9" s="1135"/>
      <c r="O9" s="1135"/>
      <c r="P9" s="3211" t="s">
        <v>2543</v>
      </c>
      <c r="Q9" s="1797" t="str">
        <f t="shared" ref="Q9:Q15" si="6">B9</f>
        <v>用途</v>
      </c>
      <c r="R9" s="770" t="s">
        <v>17</v>
      </c>
      <c r="S9" s="771">
        <f t="shared" si="0"/>
        <v>100</v>
      </c>
      <c r="T9" s="770" t="s">
        <v>17</v>
      </c>
      <c r="U9" s="771">
        <f t="shared" si="1"/>
        <v>100</v>
      </c>
      <c r="V9" s="770" t="s">
        <v>17</v>
      </c>
      <c r="W9" s="771">
        <f t="shared" si="2"/>
        <v>100</v>
      </c>
      <c r="X9" s="772"/>
      <c r="Y9" s="3024"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426"/>
      <c r="L10" s="1137"/>
      <c r="M10" s="1138"/>
      <c r="N10" s="1138"/>
      <c r="O10" s="1138"/>
      <c r="P10" s="3211"/>
      <c r="Q10" s="1797" t="str">
        <f t="shared" si="6"/>
        <v>土地使用年限（年）</v>
      </c>
      <c r="R10" s="770" t="s">
        <v>17</v>
      </c>
      <c r="S10" s="771">
        <f t="shared" si="0"/>
        <v>100</v>
      </c>
      <c r="T10" s="770" t="s">
        <v>17</v>
      </c>
      <c r="U10" s="771">
        <f t="shared" si="1"/>
        <v>100</v>
      </c>
      <c r="V10" s="770" t="s">
        <v>17</v>
      </c>
      <c r="W10" s="771">
        <f t="shared" si="2"/>
        <v>100</v>
      </c>
      <c r="X10" s="772"/>
      <c r="Y10" s="3024"/>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0"/>
      <c r="M11" s="1133"/>
      <c r="N11" s="1133"/>
      <c r="O11" s="1133"/>
      <c r="P11" s="3211"/>
      <c r="Q11" s="1797" t="str">
        <f t="shared" si="6"/>
        <v>容积率</v>
      </c>
      <c r="R11" s="770" t="s">
        <v>21</v>
      </c>
      <c r="S11" s="771" t="e">
        <f t="shared" si="0"/>
        <v>#N/A</v>
      </c>
      <c r="T11" s="770" t="s">
        <v>21</v>
      </c>
      <c r="U11" s="771" t="e">
        <f t="shared" si="1"/>
        <v>#N/A</v>
      </c>
      <c r="V11" s="770" t="s">
        <v>21</v>
      </c>
      <c r="W11" s="771" t="e">
        <f t="shared" si="2"/>
        <v>#N/A</v>
      </c>
      <c r="X11" s="772"/>
      <c r="Y11" s="3024"/>
      <c r="Z11" s="55" t="str">
        <f t="shared" si="7"/>
        <v>容积率</v>
      </c>
      <c r="AA11" s="773" t="e">
        <f t="shared" si="3"/>
        <v>#N/A</v>
      </c>
      <c r="AB11" s="773" t="e">
        <f t="shared" si="4"/>
        <v>#N/A</v>
      </c>
      <c r="AC11" s="773" t="e">
        <f t="shared" si="5"/>
        <v>#N/A</v>
      </c>
    </row>
    <row r="12" spans="1:29" s="117" customFormat="1" ht="15">
      <c r="A12" s="431"/>
      <c r="B12" s="2596">
        <v>111</v>
      </c>
      <c r="C12" s="432"/>
      <c r="D12" s="433">
        <v>100</v>
      </c>
      <c r="E12" s="432"/>
      <c r="F12" s="425">
        <f>SUMIF(70:70,E12,71:71)-SUMIF(70:70,C12,71:71)+100</f>
        <v>100</v>
      </c>
      <c r="G12" s="432"/>
      <c r="H12" s="136">
        <f>SUMIF(70:70,G12,71:71)-SUMIF(70:70,C12,71:71)+100</f>
        <v>100</v>
      </c>
      <c r="I12" s="432"/>
      <c r="J12" s="136">
        <f>SUMIF(70:70,I12,71:71)-SUMIF(70:70,C12,71:71)+100</f>
        <v>100</v>
      </c>
      <c r="K12" s="2597"/>
      <c r="L12" s="1134"/>
      <c r="M12" s="1135"/>
      <c r="N12" s="1135"/>
      <c r="O12" s="1135"/>
      <c r="P12" s="3211"/>
      <c r="Q12" s="1797">
        <f t="shared" si="6"/>
        <v>111</v>
      </c>
      <c r="R12" s="770" t="s">
        <v>21</v>
      </c>
      <c r="S12" s="771">
        <f t="shared" si="0"/>
        <v>100</v>
      </c>
      <c r="T12" s="770" t="s">
        <v>21</v>
      </c>
      <c r="U12" s="771">
        <f t="shared" si="1"/>
        <v>100</v>
      </c>
      <c r="V12" s="770" t="s">
        <v>21</v>
      </c>
      <c r="W12" s="771">
        <f t="shared" si="2"/>
        <v>100</v>
      </c>
      <c r="X12" s="772"/>
      <c r="Y12" s="3024"/>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2597"/>
      <c r="L13" s="1142"/>
      <c r="M13" s="1133"/>
      <c r="N13" s="1133"/>
      <c r="O13" s="1133"/>
      <c r="P13" s="3211"/>
      <c r="Q13" s="1797">
        <f t="shared" si="6"/>
        <v>111</v>
      </c>
      <c r="R13" s="770" t="s">
        <v>21</v>
      </c>
      <c r="S13" s="771">
        <f t="shared" si="0"/>
        <v>100</v>
      </c>
      <c r="T13" s="770" t="s">
        <v>21</v>
      </c>
      <c r="U13" s="771">
        <f t="shared" si="1"/>
        <v>100</v>
      </c>
      <c r="V13" s="770" t="s">
        <v>21</v>
      </c>
      <c r="W13" s="771">
        <f t="shared" si="2"/>
        <v>100</v>
      </c>
      <c r="X13" s="772"/>
      <c r="Y13" s="3024"/>
      <c r="Z13" s="55">
        <f t="shared" si="7"/>
        <v>111</v>
      </c>
      <c r="AA13" s="773">
        <f t="shared" si="3"/>
        <v>1</v>
      </c>
      <c r="AB13" s="773">
        <f t="shared" si="4"/>
        <v>1</v>
      </c>
      <c r="AC13" s="773">
        <f t="shared" si="5"/>
        <v>1</v>
      </c>
    </row>
    <row r="14" spans="1:29" ht="15.75" thickBot="1">
      <c r="A14" s="436"/>
      <c r="B14" s="2598">
        <v>111</v>
      </c>
      <c r="C14" s="437"/>
      <c r="D14" s="438">
        <v>100</v>
      </c>
      <c r="E14" s="437"/>
      <c r="F14" s="439">
        <f>SUMIF(74:74,E14,75:75)-SUMIF(74:74,C14,75:75)+100</f>
        <v>100</v>
      </c>
      <c r="G14" s="437"/>
      <c r="H14" s="438">
        <f>SUMIF(74:74,G14,75:75)-SUMIF(74:74,C14,75:75)+100</f>
        <v>100</v>
      </c>
      <c r="I14" s="437"/>
      <c r="J14" s="438">
        <f>SUMIF(74:74,I14,75:75)-SUMIF(74:74,C14,75:75)+100</f>
        <v>100</v>
      </c>
      <c r="K14" s="2597"/>
      <c r="L14" s="1142"/>
      <c r="M14" s="1133"/>
      <c r="N14" s="1133"/>
      <c r="O14" s="1133"/>
      <c r="P14" s="3211"/>
      <c r="Q14" s="1797">
        <f t="shared" si="6"/>
        <v>111</v>
      </c>
      <c r="R14" s="770" t="s">
        <v>21</v>
      </c>
      <c r="S14" s="771">
        <f t="shared" si="0"/>
        <v>100</v>
      </c>
      <c r="T14" s="770" t="s">
        <v>21</v>
      </c>
      <c r="U14" s="771">
        <f t="shared" si="1"/>
        <v>100</v>
      </c>
      <c r="V14" s="770" t="s">
        <v>21</v>
      </c>
      <c r="W14" s="771">
        <f t="shared" si="2"/>
        <v>100</v>
      </c>
      <c r="X14" s="772"/>
      <c r="Y14" s="3024"/>
      <c r="Z14" s="55">
        <f t="shared" si="7"/>
        <v>111</v>
      </c>
      <c r="AA14" s="773">
        <f t="shared" si="3"/>
        <v>1</v>
      </c>
      <c r="AB14" s="773">
        <f t="shared" si="4"/>
        <v>1</v>
      </c>
      <c r="AC14" s="773">
        <f t="shared" si="5"/>
        <v>1</v>
      </c>
    </row>
    <row r="15" spans="1:29" ht="15">
      <c r="A15" s="440" t="s">
        <v>2547</v>
      </c>
      <c r="B15" s="69" t="s">
        <v>2083</v>
      </c>
      <c r="C15" s="2599">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2"/>
      <c r="M15" s="1133"/>
      <c r="N15" s="1133"/>
      <c r="O15" s="1133"/>
      <c r="P15" s="3238" t="s">
        <v>2548</v>
      </c>
      <c r="Q15" s="1812" t="str">
        <f t="shared" si="6"/>
        <v>居住社区成熟度</v>
      </c>
      <c r="R15" s="774" t="s">
        <v>21</v>
      </c>
      <c r="S15" s="775">
        <f t="shared" si="0"/>
        <v>100</v>
      </c>
      <c r="T15" s="774" t="s">
        <v>21</v>
      </c>
      <c r="U15" s="775">
        <f t="shared" si="1"/>
        <v>100</v>
      </c>
      <c r="V15" s="774" t="s">
        <v>21</v>
      </c>
      <c r="W15" s="775">
        <f t="shared" si="2"/>
        <v>100</v>
      </c>
      <c r="X15" s="1815"/>
      <c r="Y15" s="3231" t="s">
        <v>2548</v>
      </c>
      <c r="Z15" s="1816" t="str">
        <f t="shared" si="7"/>
        <v>居住社区成熟度</v>
      </c>
      <c r="AA15" s="1813">
        <f t="shared" si="3"/>
        <v>1</v>
      </c>
      <c r="AB15" s="1813">
        <f t="shared" si="4"/>
        <v>1</v>
      </c>
      <c r="AC15" s="1813">
        <f t="shared" si="5"/>
        <v>1</v>
      </c>
    </row>
    <row r="16" spans="1:29" ht="15">
      <c r="A16" s="428"/>
      <c r="B16" s="446"/>
      <c r="C16" s="447"/>
      <c r="D16" s="448"/>
      <c r="E16" s="2600"/>
      <c r="F16" s="448"/>
      <c r="G16" s="2601"/>
      <c r="H16" s="450"/>
      <c r="I16" s="2601"/>
      <c r="J16" s="448"/>
      <c r="K16" s="2602"/>
      <c r="L16" s="1142"/>
      <c r="M16" s="1133"/>
      <c r="N16" s="1133"/>
      <c r="O16" s="1133"/>
      <c r="P16" s="3239"/>
      <c r="Q16" s="1812"/>
      <c r="R16" s="774"/>
      <c r="S16" s="775"/>
      <c r="T16" s="774"/>
      <c r="U16" s="775"/>
      <c r="V16" s="774"/>
      <c r="W16" s="775"/>
      <c r="X16" s="1815"/>
      <c r="Y16" s="3232"/>
      <c r="Z16" s="1816"/>
      <c r="AA16" s="1813">
        <v>1</v>
      </c>
      <c r="AB16" s="1813">
        <v>1</v>
      </c>
      <c r="AC16" s="1813">
        <v>1</v>
      </c>
    </row>
    <row r="17" spans="1:29" ht="15">
      <c r="A17" s="428"/>
      <c r="B17" s="451" t="s">
        <v>2089</v>
      </c>
      <c r="C17" s="2603">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2"/>
      <c r="M17" s="1133"/>
      <c r="N17" s="1133"/>
      <c r="O17" s="1133"/>
      <c r="P17" s="3239"/>
      <c r="Q17" s="1812" t="str">
        <f>B17</f>
        <v>交通便捷度</v>
      </c>
      <c r="R17" s="774" t="s">
        <v>21</v>
      </c>
      <c r="S17" s="775">
        <f>F17</f>
        <v>100</v>
      </c>
      <c r="T17" s="774" t="s">
        <v>21</v>
      </c>
      <c r="U17" s="775">
        <f>H17</f>
        <v>100</v>
      </c>
      <c r="V17" s="774" t="s">
        <v>21</v>
      </c>
      <c r="W17" s="775">
        <f>J17</f>
        <v>100</v>
      </c>
      <c r="X17" s="1815"/>
      <c r="Y17" s="3232"/>
      <c r="Z17" s="1816" t="str">
        <f>Q17</f>
        <v>交通便捷度</v>
      </c>
      <c r="AA17" s="1813">
        <f t="shared" si="3"/>
        <v>1</v>
      </c>
      <c r="AB17" s="1813">
        <f t="shared" si="4"/>
        <v>1</v>
      </c>
      <c r="AC17" s="1813">
        <f t="shared" si="5"/>
        <v>1</v>
      </c>
    </row>
    <row r="18" spans="1:29" ht="15">
      <c r="A18" s="428"/>
      <c r="B18" s="456"/>
      <c r="C18" s="2604"/>
      <c r="D18" s="450"/>
      <c r="E18" s="2605"/>
      <c r="F18" s="450"/>
      <c r="G18" s="2606"/>
      <c r="H18" s="448"/>
      <c r="I18" s="2606"/>
      <c r="J18" s="448"/>
      <c r="K18" s="2602"/>
      <c r="L18" s="1142"/>
      <c r="M18" s="1133"/>
      <c r="N18" s="1133"/>
      <c r="O18" s="1133"/>
      <c r="P18" s="3239"/>
      <c r="Q18" s="1812"/>
      <c r="R18" s="774"/>
      <c r="S18" s="775"/>
      <c r="T18" s="774"/>
      <c r="U18" s="775"/>
      <c r="V18" s="774"/>
      <c r="W18" s="775"/>
      <c r="X18" s="1815"/>
      <c r="Y18" s="3232"/>
      <c r="Z18" s="1816"/>
      <c r="AA18" s="1813">
        <v>1</v>
      </c>
      <c r="AB18" s="1813">
        <v>1</v>
      </c>
      <c r="AC18" s="1813">
        <v>1</v>
      </c>
    </row>
    <row r="19" spans="1:29" ht="15">
      <c r="A19" s="428"/>
      <c r="B19" s="451" t="s">
        <v>2088</v>
      </c>
      <c r="C19" s="2603">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2"/>
      <c r="M19" s="1133"/>
      <c r="N19" s="1133"/>
      <c r="O19" s="1133"/>
      <c r="P19" s="3239"/>
      <c r="Q19" s="1812" t="str">
        <f>B19</f>
        <v>公共配套设施</v>
      </c>
      <c r="R19" s="774" t="s">
        <v>21</v>
      </c>
      <c r="S19" s="775">
        <f>F19</f>
        <v>100</v>
      </c>
      <c r="T19" s="774" t="s">
        <v>21</v>
      </c>
      <c r="U19" s="775">
        <f>H19</f>
        <v>100</v>
      </c>
      <c r="V19" s="774" t="s">
        <v>21</v>
      </c>
      <c r="W19" s="775">
        <f>J19</f>
        <v>100</v>
      </c>
      <c r="X19" s="1815"/>
      <c r="Y19" s="3232"/>
      <c r="Z19" s="1816" t="str">
        <f>Q19</f>
        <v>公共配套设施</v>
      </c>
      <c r="AA19" s="1813">
        <f t="shared" si="3"/>
        <v>1</v>
      </c>
      <c r="AB19" s="1813">
        <f t="shared" si="4"/>
        <v>1</v>
      </c>
      <c r="AC19" s="1813">
        <f t="shared" si="5"/>
        <v>1</v>
      </c>
    </row>
    <row r="20" spans="1:29" ht="15">
      <c r="A20" s="428"/>
      <c r="B20" s="456"/>
      <c r="C20" s="447"/>
      <c r="D20" s="448"/>
      <c r="E20" s="2600"/>
      <c r="F20" s="448"/>
      <c r="G20" s="2601"/>
      <c r="H20" s="448"/>
      <c r="I20" s="2601"/>
      <c r="J20" s="448"/>
      <c r="K20" s="2602"/>
      <c r="L20" s="1142"/>
      <c r="M20" s="1133"/>
      <c r="N20" s="1133"/>
      <c r="O20" s="1133"/>
      <c r="P20" s="3239"/>
      <c r="Q20" s="1812"/>
      <c r="R20" s="774"/>
      <c r="S20" s="775"/>
      <c r="T20" s="774"/>
      <c r="U20" s="775"/>
      <c r="V20" s="774"/>
      <c r="W20" s="775"/>
      <c r="X20" s="1815"/>
      <c r="Y20" s="3232"/>
      <c r="Z20" s="1816"/>
      <c r="AA20" s="1813">
        <v>1</v>
      </c>
      <c r="AB20" s="1813">
        <v>1</v>
      </c>
      <c r="AC20" s="1813">
        <v>1</v>
      </c>
    </row>
    <row r="21" spans="1:29" ht="15">
      <c r="A21" s="428"/>
      <c r="B21" s="1386" t="s">
        <v>2090</v>
      </c>
      <c r="C21" s="2603">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2"/>
      <c r="M21" s="1133"/>
      <c r="N21" s="1133"/>
      <c r="O21" s="1133"/>
      <c r="P21" s="3239"/>
      <c r="Q21" s="1812" t="str">
        <f>B21</f>
        <v>基础设施水平</v>
      </c>
      <c r="R21" s="774" t="s">
        <v>17</v>
      </c>
      <c r="S21" s="775">
        <f>F21</f>
        <v>100</v>
      </c>
      <c r="T21" s="774" t="s">
        <v>17</v>
      </c>
      <c r="U21" s="775">
        <f>H21</f>
        <v>100</v>
      </c>
      <c r="V21" s="774" t="s">
        <v>17</v>
      </c>
      <c r="W21" s="775">
        <f>J21</f>
        <v>100</v>
      </c>
      <c r="X21" s="1815"/>
      <c r="Y21" s="3232"/>
      <c r="Z21" s="1816" t="str">
        <f>Q21</f>
        <v>基础设施水平</v>
      </c>
      <c r="AA21" s="1813">
        <f t="shared" ref="AA21" si="8">D21/F21</f>
        <v>1</v>
      </c>
      <c r="AB21" s="1813">
        <f t="shared" ref="AB21" si="9">D21/H21</f>
        <v>1</v>
      </c>
      <c r="AC21" s="1813">
        <f t="shared" ref="AC21" si="10">D21/J21</f>
        <v>1</v>
      </c>
    </row>
    <row r="22" spans="1:29" ht="15">
      <c r="A22" s="428"/>
      <c r="B22" s="1386"/>
      <c r="C22" s="2604"/>
      <c r="D22" s="448"/>
      <c r="E22" s="447"/>
      <c r="F22" s="448"/>
      <c r="G22" s="2607"/>
      <c r="H22" s="448"/>
      <c r="I22" s="447"/>
      <c r="J22" s="448"/>
      <c r="K22" s="2608"/>
      <c r="L22" s="1142"/>
      <c r="M22" s="1133"/>
      <c r="N22" s="1133"/>
      <c r="O22" s="1133"/>
      <c r="P22" s="3239"/>
      <c r="Q22" s="1812"/>
      <c r="R22" s="774"/>
      <c r="S22" s="775"/>
      <c r="T22" s="774"/>
      <c r="U22" s="775"/>
      <c r="V22" s="774"/>
      <c r="W22" s="775"/>
      <c r="X22" s="1815"/>
      <c r="Y22" s="3232"/>
      <c r="Z22" s="1816"/>
      <c r="AA22" s="1813">
        <v>1</v>
      </c>
      <c r="AB22" s="1813">
        <v>1</v>
      </c>
      <c r="AC22" s="1813">
        <v>1</v>
      </c>
    </row>
    <row r="23" spans="1:29" ht="15">
      <c r="A23" s="428"/>
      <c r="B23" s="451" t="s">
        <v>2092</v>
      </c>
      <c r="C23" s="2603">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2"/>
      <c r="M23" s="1133"/>
      <c r="N23" s="1133"/>
      <c r="O23" s="1133"/>
      <c r="P23" s="3239"/>
      <c r="Q23" s="1812" t="str">
        <f>B23</f>
        <v>自然及人文环境</v>
      </c>
      <c r="R23" s="774" t="s">
        <v>21</v>
      </c>
      <c r="S23" s="775">
        <f>F23</f>
        <v>100</v>
      </c>
      <c r="T23" s="774" t="s">
        <v>21</v>
      </c>
      <c r="U23" s="775">
        <f>H23</f>
        <v>100</v>
      </c>
      <c r="V23" s="774" t="s">
        <v>21</v>
      </c>
      <c r="W23" s="775">
        <f>J23</f>
        <v>100</v>
      </c>
      <c r="X23" s="1815"/>
      <c r="Y23" s="3232"/>
      <c r="Z23" s="1816" t="str">
        <f>Q23</f>
        <v>自然及人文环境</v>
      </c>
      <c r="AA23" s="1813">
        <f>D23/F23</f>
        <v>1</v>
      </c>
      <c r="AB23" s="1813">
        <f>D23/H23</f>
        <v>1</v>
      </c>
      <c r="AC23" s="1813">
        <f>D23/J23</f>
        <v>1</v>
      </c>
    </row>
    <row r="24" spans="1:29" ht="15">
      <c r="A24" s="428"/>
      <c r="B24" s="456"/>
      <c r="C24" s="447"/>
      <c r="D24" s="448"/>
      <c r="E24" s="2600"/>
      <c r="F24" s="448"/>
      <c r="G24" s="2601"/>
      <c r="H24" s="448"/>
      <c r="I24" s="2601"/>
      <c r="J24" s="448"/>
      <c r="K24" s="2602"/>
      <c r="L24" s="1142"/>
      <c r="M24" s="1133"/>
      <c r="N24" s="1133"/>
      <c r="O24" s="1133"/>
      <c r="P24" s="3239"/>
      <c r="Q24" s="1812"/>
      <c r="R24" s="774"/>
      <c r="S24" s="775"/>
      <c r="T24" s="774"/>
      <c r="U24" s="775"/>
      <c r="V24" s="774"/>
      <c r="W24" s="775"/>
      <c r="X24" s="1815"/>
      <c r="Y24" s="3232"/>
      <c r="Z24" s="1816"/>
      <c r="AA24" s="1813">
        <v>1</v>
      </c>
      <c r="AB24" s="1813">
        <v>1</v>
      </c>
      <c r="AC24" s="1813">
        <v>1</v>
      </c>
    </row>
    <row r="25" spans="1:29" ht="15">
      <c r="A25" s="428"/>
      <c r="B25" s="422" t="s">
        <v>2549</v>
      </c>
      <c r="C25" s="460"/>
      <c r="D25" s="435">
        <v>100</v>
      </c>
      <c r="E25" s="2609"/>
      <c r="F25" s="435">
        <f>SUMIF(86:86,E25,87:87)-SUMIF(86:86,C25,87:87)+100</f>
        <v>100</v>
      </c>
      <c r="G25" s="2610"/>
      <c r="H25" s="435">
        <f>SUMIF(86:86,G25,87:87)-SUMIF(86:86,C25,87:87)+100</f>
        <v>100</v>
      </c>
      <c r="I25" s="2610"/>
      <c r="J25" s="435">
        <f>SUMIF(86:86,I25,87:87)-SUMIF(86:86,C25,87:87)+100</f>
        <v>100</v>
      </c>
      <c r="K25" s="426"/>
      <c r="L25" s="1142"/>
      <c r="M25" s="1133"/>
      <c r="N25" s="1133"/>
      <c r="O25" s="1133"/>
      <c r="P25" s="3239"/>
      <c r="Q25" s="1812" t="str">
        <f t="shared" ref="Q25:Q46" si="11">B25</f>
        <v>楼层-1</v>
      </c>
      <c r="R25" s="774" t="s">
        <v>21</v>
      </c>
      <c r="S25" s="775">
        <f t="shared" ref="S25:S46" si="12">F25</f>
        <v>100</v>
      </c>
      <c r="T25" s="774" t="s">
        <v>21</v>
      </c>
      <c r="U25" s="775">
        <f t="shared" ref="U25:U46" si="13">H25</f>
        <v>100</v>
      </c>
      <c r="V25" s="774" t="s">
        <v>21</v>
      </c>
      <c r="W25" s="775">
        <f t="shared" ref="W25:W46" si="14">J25</f>
        <v>100</v>
      </c>
      <c r="X25" s="1815"/>
      <c r="Y25" s="3232"/>
      <c r="Z25" s="1816" t="str">
        <f>Q25</f>
        <v>楼层-1</v>
      </c>
      <c r="AA25" s="1813">
        <f t="shared" ref="AA25:AA46" si="15">D25/F25</f>
        <v>1</v>
      </c>
      <c r="AB25" s="1813">
        <f t="shared" ref="AB25:AB46" si="16">D25/H25</f>
        <v>1</v>
      </c>
      <c r="AC25" s="1813">
        <f t="shared" ref="AC25:AC46" si="17">D25/J25</f>
        <v>1</v>
      </c>
    </row>
    <row r="26" spans="1:29" ht="15">
      <c r="A26" s="428"/>
      <c r="B26" s="422" t="s">
        <v>2550</v>
      </c>
      <c r="C26" s="460"/>
      <c r="D26" s="435">
        <v>100</v>
      </c>
      <c r="E26" s="2609"/>
      <c r="F26" s="435">
        <f>SUMIF(88:88,E26,89:89)-SUMIF(88:88,C26,89:89)+100</f>
        <v>100</v>
      </c>
      <c r="G26" s="2610"/>
      <c r="H26" s="435">
        <f>SUMIF(88:88,G26,89:89)-SUMIF(88:88,C26,89:89)+100</f>
        <v>100</v>
      </c>
      <c r="I26" s="2610"/>
      <c r="J26" s="435">
        <f>SUMIF(88:88,I26,89:89)-SUMIF(88:88,C26,89:89)+100</f>
        <v>100</v>
      </c>
      <c r="K26" s="426"/>
      <c r="L26" s="1142"/>
      <c r="M26" s="1133"/>
      <c r="N26" s="1133"/>
      <c r="O26" s="1133"/>
      <c r="P26" s="3239"/>
      <c r="Q26" s="1812" t="str">
        <f t="shared" si="11"/>
        <v>朝向</v>
      </c>
      <c r="R26" s="774" t="s">
        <v>21</v>
      </c>
      <c r="S26" s="775">
        <f t="shared" si="12"/>
        <v>100</v>
      </c>
      <c r="T26" s="774" t="s">
        <v>21</v>
      </c>
      <c r="U26" s="775">
        <f t="shared" si="13"/>
        <v>100</v>
      </c>
      <c r="V26" s="774" t="s">
        <v>21</v>
      </c>
      <c r="W26" s="775">
        <f t="shared" si="14"/>
        <v>100</v>
      </c>
      <c r="X26" s="1815"/>
      <c r="Y26" s="3232"/>
      <c r="Z26" s="1816" t="str">
        <f>Q26</f>
        <v>朝向</v>
      </c>
      <c r="AA26" s="1813">
        <f t="shared" si="15"/>
        <v>1</v>
      </c>
      <c r="AB26" s="1813">
        <f t="shared" si="16"/>
        <v>1</v>
      </c>
      <c r="AC26" s="1813">
        <f t="shared" si="17"/>
        <v>1</v>
      </c>
    </row>
    <row r="27" spans="1:29" s="117" customFormat="1" ht="15">
      <c r="A27" s="431"/>
      <c r="B27" s="1388">
        <v>111</v>
      </c>
      <c r="C27" s="432"/>
      <c r="D27" s="462">
        <v>100</v>
      </c>
      <c r="E27" s="465"/>
      <c r="F27" s="462">
        <f>SUMIF(90:90,E27,91:91)-SUMIF(90:90,C27,91:91)+100</f>
        <v>100</v>
      </c>
      <c r="G27" s="463"/>
      <c r="H27" s="462">
        <f>SUMIF(90:90,G27,91:91)-SUMIF(90:90,C27,91:91)+100</f>
        <v>100</v>
      </c>
      <c r="I27" s="463"/>
      <c r="J27" s="462">
        <f>SUMIF(90:90,I27,91:91)-SUMIF(90:90,C27,91:91)+100</f>
        <v>100</v>
      </c>
      <c r="K27" s="2597"/>
      <c r="L27" s="1134"/>
      <c r="M27" s="1135"/>
      <c r="N27" s="1135"/>
      <c r="O27" s="1135"/>
      <c r="P27" s="3239"/>
      <c r="Q27" s="1797">
        <f t="shared" si="11"/>
        <v>111</v>
      </c>
      <c r="R27" s="770" t="s">
        <v>21</v>
      </c>
      <c r="S27" s="771">
        <f t="shared" si="12"/>
        <v>100</v>
      </c>
      <c r="T27" s="770" t="s">
        <v>21</v>
      </c>
      <c r="U27" s="771">
        <f t="shared" si="13"/>
        <v>100</v>
      </c>
      <c r="V27" s="770" t="s">
        <v>21</v>
      </c>
      <c r="W27" s="771">
        <f t="shared" si="14"/>
        <v>100</v>
      </c>
      <c r="X27" s="772"/>
      <c r="Y27" s="3232"/>
      <c r="Z27" s="55">
        <f>Q27</f>
        <v>111</v>
      </c>
      <c r="AA27" s="1813">
        <f t="shared" si="15"/>
        <v>1</v>
      </c>
      <c r="AB27" s="1813">
        <f t="shared" si="16"/>
        <v>1</v>
      </c>
      <c r="AC27" s="1813">
        <f t="shared" si="17"/>
        <v>1</v>
      </c>
    </row>
    <row r="28" spans="1:29" ht="15">
      <c r="A28" s="428"/>
      <c r="B28" s="1388">
        <v>111</v>
      </c>
      <c r="C28" s="434"/>
      <c r="D28" s="435">
        <v>100</v>
      </c>
      <c r="E28" s="434"/>
      <c r="F28" s="435">
        <f>SUMIF(92:92,E28,93:93)-SUMIF(92:92,C28,93:93)+100</f>
        <v>100</v>
      </c>
      <c r="G28" s="2611"/>
      <c r="H28" s="435">
        <f>SUMIF(92:92,G28,93:93)-SUMIF(92:92,C28,93:93)+100</f>
        <v>100</v>
      </c>
      <c r="I28" s="434"/>
      <c r="J28" s="435">
        <f>SUMIF(92:92,I28,93:93)-SUMIF(92:92,C28,93:93)+100</f>
        <v>100</v>
      </c>
      <c r="K28" s="2597"/>
      <c r="L28" s="1142"/>
      <c r="M28" s="1133"/>
      <c r="N28" s="1133"/>
      <c r="O28" s="1133"/>
      <c r="P28" s="3239"/>
      <c r="Q28" s="1812">
        <f t="shared" si="11"/>
        <v>111</v>
      </c>
      <c r="R28" s="774" t="s">
        <v>21</v>
      </c>
      <c r="S28" s="775">
        <f t="shared" si="12"/>
        <v>100</v>
      </c>
      <c r="T28" s="774" t="s">
        <v>21</v>
      </c>
      <c r="U28" s="775">
        <f t="shared" si="13"/>
        <v>100</v>
      </c>
      <c r="V28" s="774" t="s">
        <v>21</v>
      </c>
      <c r="W28" s="775">
        <f t="shared" si="14"/>
        <v>100</v>
      </c>
      <c r="X28" s="1815"/>
      <c r="Y28" s="3232"/>
      <c r="Z28" s="1816">
        <f t="shared" ref="Z28:Z46" si="18">Q28</f>
        <v>111</v>
      </c>
      <c r="AA28" s="1813">
        <f t="shared" si="15"/>
        <v>1</v>
      </c>
      <c r="AB28" s="1813">
        <f t="shared" si="16"/>
        <v>1</v>
      </c>
      <c r="AC28" s="1813">
        <f t="shared" si="17"/>
        <v>1</v>
      </c>
    </row>
    <row r="29" spans="1:29" ht="15">
      <c r="A29" s="428"/>
      <c r="B29" s="1388">
        <v>111</v>
      </c>
      <c r="C29" s="434"/>
      <c r="D29" s="435">
        <v>100</v>
      </c>
      <c r="E29" s="434"/>
      <c r="F29" s="435">
        <f>SUMIF(94:94,E29,95:95)-SUMIF(94:94,C29,95:95)+100</f>
        <v>100</v>
      </c>
      <c r="G29" s="2611"/>
      <c r="H29" s="435">
        <f>SUMIF(94:94,G29,95:95)-SUMIF(94:94,C29,95:95)+100</f>
        <v>100</v>
      </c>
      <c r="I29" s="434"/>
      <c r="J29" s="435">
        <f>SUMIF(94:94,I29,95:95)-SUMIF(94:94,C29,95:95)+100</f>
        <v>100</v>
      </c>
      <c r="K29" s="2597"/>
      <c r="L29" s="1142"/>
      <c r="M29" s="1133"/>
      <c r="N29" s="1133"/>
      <c r="O29" s="1133"/>
      <c r="P29" s="3239"/>
      <c r="Q29" s="1812">
        <f t="shared" si="11"/>
        <v>111</v>
      </c>
      <c r="R29" s="774" t="s">
        <v>21</v>
      </c>
      <c r="S29" s="775">
        <f t="shared" si="12"/>
        <v>100</v>
      </c>
      <c r="T29" s="774" t="s">
        <v>21</v>
      </c>
      <c r="U29" s="775">
        <f t="shared" si="13"/>
        <v>100</v>
      </c>
      <c r="V29" s="774" t="s">
        <v>21</v>
      </c>
      <c r="W29" s="775">
        <f t="shared" si="14"/>
        <v>100</v>
      </c>
      <c r="X29" s="1815"/>
      <c r="Y29" s="3232"/>
      <c r="Z29" s="1816">
        <f t="shared" si="18"/>
        <v>111</v>
      </c>
      <c r="AA29" s="1813">
        <f t="shared" si="15"/>
        <v>1</v>
      </c>
      <c r="AB29" s="1813">
        <f t="shared" si="16"/>
        <v>1</v>
      </c>
      <c r="AC29" s="1813">
        <f t="shared" si="17"/>
        <v>1</v>
      </c>
    </row>
    <row r="30" spans="1:29" ht="15">
      <c r="A30" s="428"/>
      <c r="B30" s="1388">
        <v>111</v>
      </c>
      <c r="C30" s="434"/>
      <c r="D30" s="435">
        <v>100</v>
      </c>
      <c r="E30" s="434"/>
      <c r="F30" s="435">
        <f>SUMIF(96:96,E30,97:97)-SUMIF(96:96,C30,97:97)+100</f>
        <v>100</v>
      </c>
      <c r="G30" s="2611"/>
      <c r="H30" s="435">
        <f>SUMIF(96:96,G30,97:97)-SUMIF(96:96,C30,97:97)+100</f>
        <v>100</v>
      </c>
      <c r="I30" s="434"/>
      <c r="J30" s="435">
        <f>SUMIF(96:96,I30,97:97)-SUMIF(96:96,C30,97:97)+100</f>
        <v>100</v>
      </c>
      <c r="K30" s="2597"/>
      <c r="L30" s="1142"/>
      <c r="M30" s="1133"/>
      <c r="N30" s="1133"/>
      <c r="O30" s="1133"/>
      <c r="P30" s="3239"/>
      <c r="Q30" s="1812">
        <f t="shared" si="11"/>
        <v>111</v>
      </c>
      <c r="R30" s="774" t="s">
        <v>21</v>
      </c>
      <c r="S30" s="775">
        <f t="shared" si="12"/>
        <v>100</v>
      </c>
      <c r="T30" s="774" t="s">
        <v>21</v>
      </c>
      <c r="U30" s="775">
        <f t="shared" si="13"/>
        <v>100</v>
      </c>
      <c r="V30" s="774" t="s">
        <v>21</v>
      </c>
      <c r="W30" s="775">
        <f t="shared" si="14"/>
        <v>100</v>
      </c>
      <c r="X30" s="1815"/>
      <c r="Y30" s="3232"/>
      <c r="Z30" s="1816">
        <f t="shared" si="18"/>
        <v>111</v>
      </c>
      <c r="AA30" s="1813">
        <f t="shared" si="15"/>
        <v>1</v>
      </c>
      <c r="AB30" s="1813">
        <f t="shared" si="16"/>
        <v>1</v>
      </c>
      <c r="AC30" s="1813">
        <f t="shared" si="17"/>
        <v>1</v>
      </c>
    </row>
    <row r="31" spans="1:29" ht="15.75" thickBot="1">
      <c r="A31" s="436"/>
      <c r="B31" s="1388">
        <v>111</v>
      </c>
      <c r="C31" s="437"/>
      <c r="D31" s="438">
        <v>100</v>
      </c>
      <c r="E31" s="437"/>
      <c r="F31" s="438">
        <f>SUMIF(98:98,E31,99:99)-SUMIF(98:98,C31,99:99)+100</f>
        <v>100</v>
      </c>
      <c r="G31" s="2612"/>
      <c r="H31" s="438">
        <f>SUMIF(98:98,G31,99:99)-SUMIF(98:98,C31,99:99)+100</f>
        <v>100</v>
      </c>
      <c r="I31" s="437"/>
      <c r="J31" s="438">
        <f>SUMIF(98:98,I31,99:99)-SUMIF(98:98,C31,99:99)+100</f>
        <v>100</v>
      </c>
      <c r="K31" s="2597"/>
      <c r="L31" s="1142"/>
      <c r="M31" s="1133"/>
      <c r="N31" s="1133"/>
      <c r="O31" s="1133"/>
      <c r="P31" s="3239"/>
      <c r="Q31" s="1812">
        <f t="shared" si="11"/>
        <v>111</v>
      </c>
      <c r="R31" s="774" t="s">
        <v>21</v>
      </c>
      <c r="S31" s="775">
        <f t="shared" si="12"/>
        <v>100</v>
      </c>
      <c r="T31" s="774" t="s">
        <v>21</v>
      </c>
      <c r="U31" s="775">
        <f t="shared" si="13"/>
        <v>100</v>
      </c>
      <c r="V31" s="774" t="s">
        <v>21</v>
      </c>
      <c r="W31" s="775">
        <f t="shared" si="14"/>
        <v>100</v>
      </c>
      <c r="X31" s="1815"/>
      <c r="Y31" s="3232"/>
      <c r="Z31" s="1816">
        <f t="shared" si="18"/>
        <v>111</v>
      </c>
      <c r="AA31" s="1813">
        <f t="shared" si="15"/>
        <v>1</v>
      </c>
      <c r="AB31" s="1813">
        <f t="shared" si="16"/>
        <v>1</v>
      </c>
      <c r="AC31" s="1813">
        <f t="shared" si="17"/>
        <v>1</v>
      </c>
    </row>
    <row r="32" spans="1:29" ht="15">
      <c r="A32" s="440" t="s">
        <v>2551</v>
      </c>
      <c r="B32" s="71" t="s">
        <v>2552</v>
      </c>
      <c r="C32" s="2613"/>
      <c r="D32" s="467">
        <v>100</v>
      </c>
      <c r="E32" s="2614"/>
      <c r="F32" s="461">
        <f>SUMIF(100:100,E32,101:101)-SUMIF(100:100,C32,101:101)+100</f>
        <v>100</v>
      </c>
      <c r="G32" s="2613"/>
      <c r="H32" s="467">
        <f>SUMIF(100:100,G32,101:101)-SUMIF(100:100,C32,101:101)+100</f>
        <v>100</v>
      </c>
      <c r="I32" s="2614"/>
      <c r="J32" s="435">
        <f>SUMIF(100:100,I32,101:101)-SUMIF(100:100,C32,101:101)+100</f>
        <v>100</v>
      </c>
      <c r="K32" s="426"/>
      <c r="L32" s="1142"/>
      <c r="M32" s="1133"/>
      <c r="N32" s="1133"/>
      <c r="O32" s="1133"/>
      <c r="P32" s="3233" t="s">
        <v>2553</v>
      </c>
      <c r="Q32" s="1812" t="str">
        <f t="shared" si="11"/>
        <v>建筑类型</v>
      </c>
      <c r="R32" s="774" t="s">
        <v>21</v>
      </c>
      <c r="S32" s="775">
        <f t="shared" si="12"/>
        <v>100</v>
      </c>
      <c r="T32" s="774" t="s">
        <v>21</v>
      </c>
      <c r="U32" s="775">
        <f t="shared" si="13"/>
        <v>100</v>
      </c>
      <c r="V32" s="774" t="s">
        <v>21</v>
      </c>
      <c r="W32" s="775">
        <f t="shared" si="14"/>
        <v>100</v>
      </c>
      <c r="X32" s="1815"/>
      <c r="Y32" s="3236" t="s">
        <v>2553</v>
      </c>
      <c r="Z32" s="1816" t="str">
        <f t="shared" si="18"/>
        <v>建筑类型</v>
      </c>
      <c r="AA32" s="1813">
        <f t="shared" si="15"/>
        <v>1</v>
      </c>
      <c r="AB32" s="1813">
        <f t="shared" si="16"/>
        <v>1</v>
      </c>
      <c r="AC32" s="1813">
        <f t="shared" si="17"/>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7"/>
      <c r="L33" s="1140"/>
      <c r="M33" s="1143"/>
      <c r="N33" s="1143"/>
      <c r="O33" s="1143"/>
      <c r="P33" s="3234"/>
      <c r="Q33" s="776" t="str">
        <f t="shared" si="11"/>
        <v>项目建筑规模</v>
      </c>
      <c r="R33" s="777" t="s">
        <v>21</v>
      </c>
      <c r="S33" s="778" t="e">
        <f t="shared" si="12"/>
        <v>#N/A</v>
      </c>
      <c r="T33" s="777" t="s">
        <v>21</v>
      </c>
      <c r="U33" s="778" t="e">
        <f t="shared" si="13"/>
        <v>#N/A</v>
      </c>
      <c r="V33" s="777" t="s">
        <v>21</v>
      </c>
      <c r="W33" s="778" t="e">
        <f t="shared" si="14"/>
        <v>#N/A</v>
      </c>
      <c r="X33" s="779"/>
      <c r="Y33" s="3236"/>
      <c r="Z33" s="780" t="str">
        <f t="shared" si="18"/>
        <v>项目建筑规模</v>
      </c>
      <c r="AA33" s="1813" t="e">
        <f t="shared" si="15"/>
        <v>#N/A</v>
      </c>
      <c r="AB33" s="1813" t="e">
        <f t="shared" si="16"/>
        <v>#N/A</v>
      </c>
      <c r="AC33" s="1813" t="e">
        <f t="shared" si="17"/>
        <v>#N/A</v>
      </c>
    </row>
    <row r="34" spans="1:29" ht="15">
      <c r="A34" s="472"/>
      <c r="B34" s="422" t="s">
        <v>2555</v>
      </c>
      <c r="C34" s="2615"/>
      <c r="D34" s="435">
        <v>100</v>
      </c>
      <c r="E34" s="2616"/>
      <c r="F34" s="461">
        <f>SUMIF(105:105,E34,106:106)-SUMIF(105:105,C34,106:106)+100</f>
        <v>100</v>
      </c>
      <c r="G34" s="2615"/>
      <c r="H34" s="435">
        <f>SUMIF(105:105,G34,106:106)-SUMIF(105:105,C34,106:106)+100</f>
        <v>100</v>
      </c>
      <c r="I34" s="2616"/>
      <c r="J34" s="435">
        <f>SUMIF(105:105,I34,106:106)-SUMIF(105:105,C34,106:106)+100</f>
        <v>100</v>
      </c>
      <c r="K34" s="426"/>
      <c r="L34" s="1142"/>
      <c r="M34" s="1133"/>
      <c r="N34" s="1133"/>
      <c r="O34" s="1133"/>
      <c r="P34" s="3234"/>
      <c r="Q34" s="1812" t="str">
        <f t="shared" si="11"/>
        <v>建筑结构</v>
      </c>
      <c r="R34" s="774" t="s">
        <v>21</v>
      </c>
      <c r="S34" s="775">
        <f t="shared" si="12"/>
        <v>100</v>
      </c>
      <c r="T34" s="774" t="s">
        <v>21</v>
      </c>
      <c r="U34" s="775">
        <f t="shared" si="13"/>
        <v>100</v>
      </c>
      <c r="V34" s="774" t="s">
        <v>21</v>
      </c>
      <c r="W34" s="775">
        <f t="shared" si="14"/>
        <v>100</v>
      </c>
      <c r="X34" s="1815"/>
      <c r="Y34" s="3236"/>
      <c r="Z34" s="1816" t="str">
        <f t="shared" si="18"/>
        <v>建筑结构</v>
      </c>
      <c r="AA34" s="1813">
        <f t="shared" si="15"/>
        <v>1</v>
      </c>
      <c r="AB34" s="1813">
        <f t="shared" si="16"/>
        <v>1</v>
      </c>
      <c r="AC34" s="1813">
        <f t="shared" si="17"/>
        <v>1</v>
      </c>
    </row>
    <row r="35" spans="1:29" ht="15">
      <c r="A35" s="472"/>
      <c r="B35" s="422" t="s">
        <v>2556</v>
      </c>
      <c r="C35" s="2609"/>
      <c r="D35" s="435">
        <v>100</v>
      </c>
      <c r="E35" s="2610"/>
      <c r="F35" s="461">
        <f>SUMIF(107:107,E35,108:108)-SUMIF(107:107,C35,108:108)+100</f>
        <v>100</v>
      </c>
      <c r="G35" s="2609"/>
      <c r="H35" s="435">
        <f>SUMIF(107:107,G35,108:108)-SUMIF(107:107,C35,108:108)+100</f>
        <v>100</v>
      </c>
      <c r="I35" s="2610"/>
      <c r="J35" s="435">
        <f>SUMIF(107:107,I35,108:108)-SUMIF(107:107,C35,108:108)+100</f>
        <v>100</v>
      </c>
      <c r="K35" s="426"/>
      <c r="L35" s="1142"/>
      <c r="M35" s="1133"/>
      <c r="N35" s="1133"/>
      <c r="O35" s="1133"/>
      <c r="P35" s="3234"/>
      <c r="Q35" s="1812" t="str">
        <f t="shared" si="11"/>
        <v>建筑品质</v>
      </c>
      <c r="R35" s="774" t="s">
        <v>21</v>
      </c>
      <c r="S35" s="775">
        <f t="shared" si="12"/>
        <v>100</v>
      </c>
      <c r="T35" s="774" t="s">
        <v>21</v>
      </c>
      <c r="U35" s="775">
        <f t="shared" si="13"/>
        <v>100</v>
      </c>
      <c r="V35" s="774" t="s">
        <v>21</v>
      </c>
      <c r="W35" s="775">
        <f t="shared" si="14"/>
        <v>100</v>
      </c>
      <c r="X35" s="1815"/>
      <c r="Y35" s="3236"/>
      <c r="Z35" s="1816" t="str">
        <f t="shared" si="18"/>
        <v>建筑品质</v>
      </c>
      <c r="AA35" s="1813">
        <f t="shared" si="15"/>
        <v>1</v>
      </c>
      <c r="AB35" s="1813">
        <f t="shared" si="16"/>
        <v>1</v>
      </c>
      <c r="AC35" s="1813">
        <f t="shared" si="17"/>
        <v>1</v>
      </c>
    </row>
    <row r="36" spans="1:29" ht="15">
      <c r="A36" s="472"/>
      <c r="B36" s="422" t="s">
        <v>2557</v>
      </c>
      <c r="C36" s="2609"/>
      <c r="D36" s="435">
        <v>100</v>
      </c>
      <c r="E36" s="2610"/>
      <c r="F36" s="461">
        <f>SUMIF(109:109,E36,110:110)-SUMIF(109:109,C36,110:110)+100</f>
        <v>100</v>
      </c>
      <c r="G36" s="2609"/>
      <c r="H36" s="435">
        <f>SUMIF(109:109,G36,110:110)-SUMIF(109:109,C36,110:110)+100</f>
        <v>100</v>
      </c>
      <c r="I36" s="2610"/>
      <c r="J36" s="435">
        <f>SUMIF(109:109,I36,110:110)-SUMIF(109:109,C36,110:110)+100</f>
        <v>100</v>
      </c>
      <c r="K36" s="426"/>
      <c r="L36" s="1142"/>
      <c r="M36" s="1133"/>
      <c r="N36" s="1133"/>
      <c r="O36" s="1133"/>
      <c r="P36" s="3234"/>
      <c r="Q36" s="1812" t="str">
        <f t="shared" si="11"/>
        <v>公共部分装修</v>
      </c>
      <c r="R36" s="774" t="s">
        <v>21</v>
      </c>
      <c r="S36" s="775">
        <f t="shared" si="12"/>
        <v>100</v>
      </c>
      <c r="T36" s="774" t="s">
        <v>21</v>
      </c>
      <c r="U36" s="775">
        <f t="shared" si="13"/>
        <v>100</v>
      </c>
      <c r="V36" s="774" t="s">
        <v>21</v>
      </c>
      <c r="W36" s="775">
        <f t="shared" si="14"/>
        <v>100</v>
      </c>
      <c r="X36" s="1815"/>
      <c r="Y36" s="3236"/>
      <c r="Z36" s="1816" t="str">
        <f t="shared" si="18"/>
        <v>公共部分装修</v>
      </c>
      <c r="AA36" s="1813">
        <f t="shared" si="15"/>
        <v>1</v>
      </c>
      <c r="AB36" s="1813">
        <f t="shared" si="16"/>
        <v>1</v>
      </c>
      <c r="AC36" s="1813">
        <f t="shared" si="17"/>
        <v>1</v>
      </c>
    </row>
    <row r="37" spans="1:29" s="117" customFormat="1" ht="15">
      <c r="A37" s="473"/>
      <c r="B37" s="422" t="s">
        <v>2558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4"/>
      <c r="M37" s="1135"/>
      <c r="N37" s="1135"/>
      <c r="O37" s="1135"/>
      <c r="P37" s="3234"/>
      <c r="Q37" s="1797" t="str">
        <f t="shared" si="11"/>
        <v>成新度</v>
      </c>
      <c r="R37" s="770" t="s">
        <v>21</v>
      </c>
      <c r="S37" s="771" t="e">
        <f t="shared" si="12"/>
        <v>#N/A</v>
      </c>
      <c r="T37" s="770" t="s">
        <v>21</v>
      </c>
      <c r="U37" s="771" t="e">
        <f t="shared" si="13"/>
        <v>#N/A</v>
      </c>
      <c r="V37" s="770" t="s">
        <v>21</v>
      </c>
      <c r="W37" s="771" t="e">
        <f t="shared" si="14"/>
        <v>#N/A</v>
      </c>
      <c r="X37" s="772"/>
      <c r="Y37" s="3236"/>
      <c r="Z37" s="55" t="str">
        <f t="shared" si="18"/>
        <v>成新度</v>
      </c>
      <c r="AA37" s="773" t="e">
        <f t="shared" si="15"/>
        <v>#N/A</v>
      </c>
      <c r="AB37" s="773" t="e">
        <f t="shared" si="16"/>
        <v>#N/A</v>
      </c>
      <c r="AC37" s="773" t="e">
        <f t="shared" si="17"/>
        <v>#N/A</v>
      </c>
    </row>
    <row r="38" spans="1:29" ht="15">
      <c r="A38" s="472"/>
      <c r="B38" s="422" t="s">
        <v>2559</v>
      </c>
      <c r="C38" s="2609"/>
      <c r="D38" s="435">
        <v>100</v>
      </c>
      <c r="E38" s="2610"/>
      <c r="F38" s="461">
        <f>SUMIF(114:114,E38,115:115)-SUMIF(114:114,C38,115:115)+100</f>
        <v>100</v>
      </c>
      <c r="G38" s="2609"/>
      <c r="H38" s="435">
        <f>SUMIF(114:114,G38,115:115)-SUMIF(114:114,C38,115:115)+100</f>
        <v>100</v>
      </c>
      <c r="I38" s="2610"/>
      <c r="J38" s="435">
        <f>SUMIF(114:114,I38,115:115)-SUMIF(114:114,C38,115:115)+100</f>
        <v>100</v>
      </c>
      <c r="K38" s="426"/>
      <c r="L38" s="1142"/>
      <c r="M38" s="1133"/>
      <c r="N38" s="1133"/>
      <c r="O38" s="1133"/>
      <c r="P38" s="3234" t="s">
        <v>2553</v>
      </c>
      <c r="Q38" s="1812" t="str">
        <f t="shared" si="11"/>
        <v>物业管理</v>
      </c>
      <c r="R38" s="774" t="s">
        <v>21</v>
      </c>
      <c r="S38" s="775">
        <f t="shared" si="12"/>
        <v>100</v>
      </c>
      <c r="T38" s="774" t="s">
        <v>21</v>
      </c>
      <c r="U38" s="775">
        <f t="shared" si="13"/>
        <v>100</v>
      </c>
      <c r="V38" s="774" t="s">
        <v>21</v>
      </c>
      <c r="W38" s="775">
        <f t="shared" si="14"/>
        <v>100</v>
      </c>
      <c r="X38" s="1815"/>
      <c r="Y38" s="3236" t="s">
        <v>2553</v>
      </c>
      <c r="Z38" s="1816" t="str">
        <f t="shared" si="18"/>
        <v>物业管理</v>
      </c>
      <c r="AA38" s="1813">
        <f t="shared" si="15"/>
        <v>1</v>
      </c>
      <c r="AB38" s="1813">
        <f t="shared" si="16"/>
        <v>1</v>
      </c>
      <c r="AC38" s="1813">
        <f t="shared" si="17"/>
        <v>1</v>
      </c>
    </row>
    <row r="39" spans="1:29" ht="15">
      <c r="A39" s="472"/>
      <c r="B39" s="422" t="s">
        <v>2560</v>
      </c>
      <c r="C39" s="2609"/>
      <c r="D39" s="435">
        <v>100</v>
      </c>
      <c r="E39" s="2610"/>
      <c r="F39" s="461">
        <f>SUMIF(116:116,E39,117:117)-SUMIF(116:116,C39,117:117)+100</f>
        <v>100</v>
      </c>
      <c r="G39" s="2609"/>
      <c r="H39" s="435">
        <f>SUMIF(116:116,G39,117:117)-SUMIF(116:116,C39,117:117)+100</f>
        <v>100</v>
      </c>
      <c r="I39" s="2610"/>
      <c r="J39" s="435">
        <f>SUMIF(116:116,I39,117:117)-SUMIF(116:116,C39,117:117)+100</f>
        <v>100</v>
      </c>
      <c r="K39" s="426"/>
      <c r="L39" s="1142"/>
      <c r="M39" s="1133"/>
      <c r="N39" s="1133"/>
      <c r="O39" s="1133"/>
      <c r="P39" s="3234"/>
      <c r="Q39" s="1812" t="str">
        <f t="shared" si="11"/>
        <v>市政基础设施</v>
      </c>
      <c r="R39" s="774" t="s">
        <v>21</v>
      </c>
      <c r="S39" s="775">
        <f t="shared" si="12"/>
        <v>100</v>
      </c>
      <c r="T39" s="774" t="s">
        <v>21</v>
      </c>
      <c r="U39" s="775">
        <f t="shared" si="13"/>
        <v>100</v>
      </c>
      <c r="V39" s="774" t="s">
        <v>21</v>
      </c>
      <c r="W39" s="775">
        <f t="shared" si="14"/>
        <v>100</v>
      </c>
      <c r="X39" s="1815"/>
      <c r="Y39" s="3236"/>
      <c r="Z39" s="1816" t="str">
        <f t="shared" si="18"/>
        <v>市政基础设施</v>
      </c>
      <c r="AA39" s="1813">
        <f t="shared" si="15"/>
        <v>1</v>
      </c>
      <c r="AB39" s="1813">
        <f t="shared" si="16"/>
        <v>1</v>
      </c>
      <c r="AC39" s="1813">
        <f t="shared" si="17"/>
        <v>1</v>
      </c>
    </row>
    <row r="40" spans="1:29" ht="15">
      <c r="A40" s="472"/>
      <c r="B40" s="422" t="s">
        <v>2561</v>
      </c>
      <c r="C40" s="2609"/>
      <c r="D40" s="435">
        <v>100</v>
      </c>
      <c r="E40" s="2610"/>
      <c r="F40" s="461">
        <f>SUMIF(118:118,E40,119:119)-SUMIF(118:118,C40,119:119)+100</f>
        <v>100</v>
      </c>
      <c r="G40" s="2609"/>
      <c r="H40" s="435">
        <f>SUMIF(118:118,G40,119:119)-SUMIF(118:118,C40,119:119)+100</f>
        <v>100</v>
      </c>
      <c r="I40" s="2610"/>
      <c r="J40" s="435">
        <f>SUMIF(118:118,I40,119:119)-SUMIF(118:118,C40,119:119)+100</f>
        <v>100</v>
      </c>
      <c r="K40" s="426"/>
      <c r="L40" s="1142"/>
      <c r="M40" s="1133"/>
      <c r="N40" s="1133"/>
      <c r="O40" s="1133"/>
      <c r="P40" s="3234"/>
      <c r="Q40" s="1812" t="str">
        <f t="shared" si="11"/>
        <v>房型</v>
      </c>
      <c r="R40" s="774" t="s">
        <v>21</v>
      </c>
      <c r="S40" s="775">
        <f t="shared" si="12"/>
        <v>100</v>
      </c>
      <c r="T40" s="774" t="s">
        <v>21</v>
      </c>
      <c r="U40" s="775">
        <f t="shared" si="13"/>
        <v>100</v>
      </c>
      <c r="V40" s="774" t="s">
        <v>21</v>
      </c>
      <c r="W40" s="775">
        <f t="shared" si="14"/>
        <v>100</v>
      </c>
      <c r="X40" s="1815"/>
      <c r="Y40" s="3236"/>
      <c r="Z40" s="1816" t="str">
        <f t="shared" si="18"/>
        <v>房型</v>
      </c>
      <c r="AA40" s="1813">
        <f t="shared" si="15"/>
        <v>1</v>
      </c>
      <c r="AB40" s="1813">
        <f t="shared" si="16"/>
        <v>1</v>
      </c>
      <c r="AC40" s="1813">
        <f t="shared" si="17"/>
        <v>1</v>
      </c>
    </row>
    <row r="41" spans="1:29" s="471" customFormat="1" ht="28.5">
      <c r="A41" s="468"/>
      <c r="B41" s="422" t="s">
        <v>2562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7"/>
      <c r="L41" s="1140"/>
      <c r="M41" s="1143"/>
      <c r="N41" s="1143"/>
      <c r="O41" s="1143"/>
      <c r="P41" s="3234"/>
      <c r="Q41" s="776" t="str">
        <f t="shared" si="11"/>
        <v>单套/主力户型建筑面积</v>
      </c>
      <c r="R41" s="777" t="s">
        <v>21</v>
      </c>
      <c r="S41" s="778">
        <f t="shared" si="12"/>
        <v>100</v>
      </c>
      <c r="T41" s="777" t="s">
        <v>21</v>
      </c>
      <c r="U41" s="778">
        <f t="shared" si="13"/>
        <v>100</v>
      </c>
      <c r="V41" s="777" t="s">
        <v>21</v>
      </c>
      <c r="W41" s="778">
        <f t="shared" si="14"/>
        <v>100</v>
      </c>
      <c r="X41" s="779"/>
      <c r="Y41" s="3236"/>
      <c r="Z41" s="780" t="str">
        <f t="shared" si="18"/>
        <v>单套/主力户型建筑面积</v>
      </c>
      <c r="AA41" s="1813">
        <f t="shared" si="15"/>
        <v>1</v>
      </c>
      <c r="AB41" s="1813">
        <f t="shared" si="16"/>
        <v>1</v>
      </c>
      <c r="AC41" s="1813">
        <f t="shared" si="17"/>
        <v>1</v>
      </c>
    </row>
    <row r="42" spans="1:29" ht="15">
      <c r="A42" s="472"/>
      <c r="B42" s="422" t="s">
        <v>2563</v>
      </c>
      <c r="C42" s="2609"/>
      <c r="D42" s="435">
        <v>100</v>
      </c>
      <c r="E42" s="2610"/>
      <c r="F42" s="461">
        <f>SUMIF(122:122,E42,123:123)-SUMIF(122:122,C42,123:123)+100</f>
        <v>100</v>
      </c>
      <c r="G42" s="2609"/>
      <c r="H42" s="435">
        <f>SUMIF(122:122,G42,123:123)-SUMIF(122:122,C42,123:123)+100</f>
        <v>100</v>
      </c>
      <c r="I42" s="2610"/>
      <c r="J42" s="435">
        <f>SUMIF(122:122,I42,123:123)-SUMIF(122:122,C42,123:123)+100</f>
        <v>100</v>
      </c>
      <c r="K42" s="426"/>
      <c r="L42" s="1142"/>
      <c r="M42" s="1133"/>
      <c r="N42" s="1133"/>
      <c r="O42" s="1133"/>
      <c r="P42" s="3234"/>
      <c r="Q42" s="1812" t="str">
        <f t="shared" si="11"/>
        <v>内部装修</v>
      </c>
      <c r="R42" s="774" t="s">
        <v>21</v>
      </c>
      <c r="S42" s="775">
        <f t="shared" si="12"/>
        <v>100</v>
      </c>
      <c r="T42" s="774" t="s">
        <v>21</v>
      </c>
      <c r="U42" s="775">
        <f t="shared" si="13"/>
        <v>100</v>
      </c>
      <c r="V42" s="774" t="s">
        <v>21</v>
      </c>
      <c r="W42" s="775">
        <f t="shared" si="14"/>
        <v>100</v>
      </c>
      <c r="X42" s="1815"/>
      <c r="Y42" s="3236"/>
      <c r="Z42" s="1816" t="str">
        <f t="shared" si="18"/>
        <v>内部装修</v>
      </c>
      <c r="AA42" s="1813">
        <f t="shared" si="15"/>
        <v>1</v>
      </c>
      <c r="AB42" s="1813">
        <f t="shared" si="16"/>
        <v>1</v>
      </c>
      <c r="AC42" s="1813">
        <f t="shared" si="17"/>
        <v>1</v>
      </c>
    </row>
    <row r="43" spans="1:29" ht="15">
      <c r="A43" s="472"/>
      <c r="B43" s="422" t="s">
        <v>2564</v>
      </c>
      <c r="C43" s="2609"/>
      <c r="D43" s="435">
        <v>100</v>
      </c>
      <c r="E43" s="2610"/>
      <c r="F43" s="461">
        <f>SUMIF(124:124,E43,125:125)-SUMIF(124:124,C43,125:125)+100</f>
        <v>100</v>
      </c>
      <c r="G43" s="2609"/>
      <c r="H43" s="435">
        <f>SUMIF(124:124,G43,125:125)-SUMIF(124:124,C43,125:125)+100</f>
        <v>100</v>
      </c>
      <c r="I43" s="2610"/>
      <c r="J43" s="435">
        <f>SUMIF(124:124,I43,125:125)-SUMIF(124:124,C43,125:125)+100</f>
        <v>100</v>
      </c>
      <c r="K43" s="426"/>
      <c r="L43" s="1142"/>
      <c r="M43" s="1133"/>
      <c r="N43" s="1133"/>
      <c r="O43" s="1133"/>
      <c r="P43" s="3234"/>
      <c r="Q43" s="1812" t="str">
        <f t="shared" si="11"/>
        <v>内部装修维护情况</v>
      </c>
      <c r="R43" s="774" t="s">
        <v>21</v>
      </c>
      <c r="S43" s="775">
        <f t="shared" si="12"/>
        <v>100</v>
      </c>
      <c r="T43" s="774" t="s">
        <v>21</v>
      </c>
      <c r="U43" s="775">
        <f t="shared" si="13"/>
        <v>100</v>
      </c>
      <c r="V43" s="774" t="s">
        <v>21</v>
      </c>
      <c r="W43" s="775">
        <f t="shared" si="14"/>
        <v>100</v>
      </c>
      <c r="X43" s="1815"/>
      <c r="Y43" s="3236"/>
      <c r="Z43" s="1816" t="str">
        <f t="shared" si="18"/>
        <v>内部装修维护情况</v>
      </c>
      <c r="AA43" s="1813">
        <f t="shared" si="15"/>
        <v>1</v>
      </c>
      <c r="AB43" s="1813">
        <f t="shared" si="16"/>
        <v>1</v>
      </c>
      <c r="AC43" s="1813">
        <f t="shared" si="17"/>
        <v>1</v>
      </c>
    </row>
    <row r="44" spans="1:29" s="117" customFormat="1" ht="15">
      <c r="A44" s="473"/>
      <c r="B44" s="1388">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7"/>
      <c r="L44" s="1134"/>
      <c r="M44" s="1135"/>
      <c r="N44" s="1135"/>
      <c r="O44" s="1135"/>
      <c r="P44" s="3234"/>
      <c r="Q44" s="1797">
        <f t="shared" si="11"/>
        <v>111</v>
      </c>
      <c r="R44" s="770" t="s">
        <v>21</v>
      </c>
      <c r="S44" s="771">
        <f t="shared" si="12"/>
        <v>100</v>
      </c>
      <c r="T44" s="770" t="s">
        <v>21</v>
      </c>
      <c r="U44" s="771">
        <f t="shared" si="13"/>
        <v>100</v>
      </c>
      <c r="V44" s="770" t="s">
        <v>21</v>
      </c>
      <c r="W44" s="771">
        <f t="shared" si="14"/>
        <v>100</v>
      </c>
      <c r="X44" s="772"/>
      <c r="Y44" s="3236"/>
      <c r="Z44" s="55">
        <f t="shared" si="18"/>
        <v>111</v>
      </c>
      <c r="AA44" s="773">
        <f t="shared" si="15"/>
        <v>1</v>
      </c>
      <c r="AB44" s="773">
        <f t="shared" si="16"/>
        <v>1</v>
      </c>
      <c r="AC44" s="773">
        <f t="shared" si="17"/>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7"/>
      <c r="L45" s="1142"/>
      <c r="M45" s="1133"/>
      <c r="N45" s="1133"/>
      <c r="O45" s="1133"/>
      <c r="P45" s="3234"/>
      <c r="Q45" s="1812">
        <f t="shared" si="11"/>
        <v>111</v>
      </c>
      <c r="R45" s="774" t="s">
        <v>21</v>
      </c>
      <c r="S45" s="775">
        <f t="shared" si="12"/>
        <v>100</v>
      </c>
      <c r="T45" s="774" t="s">
        <v>21</v>
      </c>
      <c r="U45" s="775">
        <f t="shared" si="13"/>
        <v>100</v>
      </c>
      <c r="V45" s="774" t="s">
        <v>21</v>
      </c>
      <c r="W45" s="775">
        <f t="shared" si="14"/>
        <v>100</v>
      </c>
      <c r="X45" s="1815"/>
      <c r="Y45" s="3236"/>
      <c r="Z45" s="1816">
        <f t="shared" si="18"/>
        <v>111</v>
      </c>
      <c r="AA45" s="1813">
        <f t="shared" si="15"/>
        <v>1</v>
      </c>
      <c r="AB45" s="1813">
        <f t="shared" si="16"/>
        <v>1</v>
      </c>
      <c r="AC45" s="1813">
        <f t="shared" si="17"/>
        <v>1</v>
      </c>
    </row>
    <row r="46" spans="1:29" ht="15.75" thickBot="1">
      <c r="A46" s="478"/>
      <c r="B46" s="259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7"/>
      <c r="L46" s="1142"/>
      <c r="M46" s="1133"/>
      <c r="N46" s="1133"/>
      <c r="O46" s="1133"/>
      <c r="P46" s="3235"/>
      <c r="Q46" s="1812">
        <f t="shared" si="11"/>
        <v>111</v>
      </c>
      <c r="R46" s="774" t="s">
        <v>20</v>
      </c>
      <c r="S46" s="775">
        <f t="shared" si="12"/>
        <v>100</v>
      </c>
      <c r="T46" s="774" t="s">
        <v>20</v>
      </c>
      <c r="U46" s="775">
        <f t="shared" si="13"/>
        <v>100</v>
      </c>
      <c r="V46" s="774" t="s">
        <v>20</v>
      </c>
      <c r="W46" s="775">
        <f t="shared" si="14"/>
        <v>100</v>
      </c>
      <c r="X46" s="1815"/>
      <c r="Y46" s="3237"/>
      <c r="Z46" s="1816">
        <f t="shared" si="18"/>
        <v>111</v>
      </c>
      <c r="AA46" s="1813">
        <f t="shared" si="15"/>
        <v>1</v>
      </c>
      <c r="AB46" s="1813">
        <f t="shared" si="16"/>
        <v>1</v>
      </c>
      <c r="AC46" s="1813">
        <f t="shared" si="17"/>
        <v>1</v>
      </c>
    </row>
    <row r="47" spans="1:29" ht="15">
      <c r="A47" s="479" t="s">
        <v>2565</v>
      </c>
      <c r="B47" s="480"/>
      <c r="C47" s="1409" t="s">
        <v>19</v>
      </c>
      <c r="D47" s="1410"/>
      <c r="E47" s="1411"/>
      <c r="F47" s="1412"/>
      <c r="G47" s="1413"/>
      <c r="H47" s="1414"/>
      <c r="I47" s="1411"/>
      <c r="J47" s="1414"/>
      <c r="K47" s="2617"/>
      <c r="L47" s="1145"/>
      <c r="M47" s="1146"/>
      <c r="N47" s="1133"/>
      <c r="O47" s="1146"/>
      <c r="P47" s="3229" t="str">
        <f>A47</f>
        <v>成交单价（元/平方米）</v>
      </c>
      <c r="Q47" s="3229"/>
      <c r="R47" s="3230">
        <f>E47</f>
        <v>0</v>
      </c>
      <c r="S47" s="3230"/>
      <c r="T47" s="3230">
        <f>G47</f>
        <v>0</v>
      </c>
      <c r="U47" s="3230"/>
      <c r="V47" s="3230">
        <f>I47</f>
        <v>0</v>
      </c>
      <c r="W47" s="3230"/>
      <c r="X47" s="759"/>
      <c r="Y47" s="781"/>
      <c r="Z47" s="759"/>
      <c r="AA47" s="759"/>
      <c r="AB47" s="759"/>
      <c r="AC47" s="759"/>
    </row>
    <row r="48" spans="1:29" ht="15.75" thickBot="1">
      <c r="A48" s="486" t="s">
        <v>2566</v>
      </c>
      <c r="B48" s="487"/>
      <c r="C48" s="1415" t="e">
        <f>R49</f>
        <v>#DIV/0!</v>
      </c>
      <c r="D48" s="1416"/>
      <c r="E48" s="1417" t="e">
        <f>R48</f>
        <v>#DIV/0!</v>
      </c>
      <c r="F48" s="1417"/>
      <c r="G48" s="1415" t="e">
        <f>T48</f>
        <v>#DIV/0!</v>
      </c>
      <c r="H48" s="1416"/>
      <c r="I48" s="1417" t="e">
        <f>V48</f>
        <v>#DIV/0!</v>
      </c>
      <c r="J48" s="1416"/>
      <c r="K48" s="2618"/>
      <c r="L48" s="1145"/>
      <c r="M48" s="1146"/>
      <c r="N48" s="1146"/>
      <c r="O48" s="1146"/>
      <c r="P48" s="3229" t="str">
        <f>A48</f>
        <v>比较价值（元/平方米）</v>
      </c>
      <c r="Q48" s="3229"/>
      <c r="R48" s="3230" t="e">
        <f>IF(F1="售价",ROUND(PRODUCT(R47,AA7:AA46),0),ROUND(PRODUCT(R47,AA7:AA46),1))</f>
        <v>#DIV/0!</v>
      </c>
      <c r="S48" s="3230"/>
      <c r="T48" s="3230" t="e">
        <f>IF(F1="售价",ROUND(PRODUCT(T47,AB7:AB46),0),ROUND(PRODUCT(T47,AB7:AB46),1))</f>
        <v>#DIV/0!</v>
      </c>
      <c r="U48" s="3230"/>
      <c r="V48" s="3230" t="e">
        <f>IF(F1="售价",ROUND(PRODUCT(V47,AC7:AC46),0),ROUND(PRODUCT(V47,AC7:AC46),1))</f>
        <v>#DIV/0!</v>
      </c>
      <c r="W48" s="3230"/>
      <c r="X48" s="759"/>
      <c r="Y48" s="759"/>
      <c r="Z48" s="759"/>
      <c r="AA48" s="759"/>
      <c r="AB48" s="759"/>
      <c r="AC48" s="759"/>
    </row>
    <row r="49" spans="1:29" ht="15.75" thickBot="1">
      <c r="A49" s="492" t="s">
        <v>2567</v>
      </c>
      <c r="B49" s="493"/>
      <c r="C49" s="1418" t="e">
        <f>R49</f>
        <v>#DIV/0!</v>
      </c>
      <c r="D49" s="1419"/>
      <c r="E49" s="1419"/>
      <c r="F49" s="1419"/>
      <c r="G49" s="1419"/>
      <c r="H49" s="1419"/>
      <c r="I49" s="1419"/>
      <c r="J49" s="1419"/>
      <c r="K49" s="2619"/>
      <c r="L49" s="1145"/>
      <c r="M49" s="1146"/>
      <c r="N49" s="1146"/>
      <c r="O49" s="1146"/>
      <c r="P49" s="3226" t="str">
        <f>A49</f>
        <v>估价对象XX用房的比较价值（楼面单价，元/平方米）</v>
      </c>
      <c r="Q49" s="3227"/>
      <c r="R49" s="3228" t="e">
        <f>IF(F1="售价",ROUND(AVERAGE(R48:V48),0),ROUND(AVERAGE(R48:V48),1))</f>
        <v>#DIV/0!</v>
      </c>
      <c r="S49" s="3228"/>
      <c r="T49" s="3228"/>
      <c r="U49" s="3228"/>
      <c r="V49" s="3228"/>
      <c r="W49" s="3228"/>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7" t="s">
        <v>2568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row>
    <row r="53" spans="1:29" ht="13.5" customHeight="1">
      <c r="A53" s="1146"/>
      <c r="B53" s="1146"/>
      <c r="C53" s="497" t="s">
        <v>2569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row>
    <row r="54" spans="1:29" s="502" customFormat="1" ht="13.5" customHeight="1">
      <c r="A54" s="1147"/>
      <c r="B54" s="1147"/>
      <c r="C54" s="497" t="s">
        <v>2570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21"/>
    </row>
    <row r="55" spans="1:29" s="502" customFormat="1">
      <c r="A55" s="1147"/>
      <c r="B55" s="1148"/>
      <c r="C55" s="1152"/>
      <c r="D55" s="1147"/>
      <c r="E55" s="1147"/>
      <c r="F55" s="1147"/>
      <c r="G55" s="1147"/>
      <c r="H55" s="1147"/>
      <c r="I55" s="1147"/>
      <c r="J55" s="1147"/>
      <c r="K55" s="1150"/>
      <c r="L55" s="1151"/>
      <c r="M55" s="1147"/>
      <c r="N55" s="1147"/>
      <c r="O55" s="1147"/>
      <c r="P55" s="2621"/>
    </row>
    <row r="56" spans="1:29">
      <c r="A56" s="1146"/>
      <c r="B56" s="1148"/>
      <c r="C56" s="1152"/>
      <c r="D56" s="1146"/>
      <c r="E56" s="1146"/>
      <c r="F56" s="1146"/>
      <c r="G56" s="1146"/>
      <c r="H56" s="1146"/>
      <c r="I56" s="1146"/>
      <c r="J56" s="1146"/>
      <c r="K56" s="1107"/>
      <c r="L56" s="1108"/>
      <c r="M56" s="1146"/>
      <c r="N56" s="1146"/>
      <c r="O56" s="1146"/>
    </row>
    <row r="57" spans="1:29" ht="21.75" thickBot="1">
      <c r="A57" s="763" t="s">
        <v>2571</v>
      </c>
      <c r="B57" s="759"/>
      <c r="C57" s="764"/>
      <c r="D57" s="764"/>
      <c r="E57" s="764"/>
      <c r="F57" s="765"/>
      <c r="G57" s="765"/>
      <c r="H57" s="764"/>
      <c r="I57" s="764"/>
      <c r="J57" s="764"/>
      <c r="K57" s="1162"/>
      <c r="L57" s="1163"/>
      <c r="M57" s="1161"/>
      <c r="N57" s="1161"/>
      <c r="O57" s="1161"/>
      <c r="P57" s="2622"/>
      <c r="Q57" s="504"/>
    </row>
    <row r="58" spans="1:29" s="508" customFormat="1" ht="15">
      <c r="A58" s="505" t="s">
        <v>2572</v>
      </c>
      <c r="B58" s="506"/>
      <c r="C58" s="1578" t="str">
        <f>YEAR(C7)&amp;"-"&amp;MONTH(C7)</f>
        <v>2018-3</v>
      </c>
      <c r="D58" s="1577">
        <f>EDATE(C58,-1)</f>
        <v>43132</v>
      </c>
      <c r="E58" s="1577">
        <f>EDATE(D58,-1)</f>
        <v>43101</v>
      </c>
      <c r="F58" s="1577">
        <f t="shared" ref="F58:O58" si="19">EDATE(E58,-1)</f>
        <v>43070</v>
      </c>
      <c r="G58" s="1577">
        <f t="shared" si="19"/>
        <v>43040</v>
      </c>
      <c r="H58" s="1577">
        <f t="shared" si="19"/>
        <v>43009</v>
      </c>
      <c r="I58" s="1577">
        <f t="shared" si="19"/>
        <v>42979</v>
      </c>
      <c r="J58" s="1577">
        <f t="shared" si="19"/>
        <v>42948</v>
      </c>
      <c r="K58" s="1577">
        <f t="shared" si="19"/>
        <v>42917</v>
      </c>
      <c r="L58" s="1577">
        <f t="shared" si="19"/>
        <v>42887</v>
      </c>
      <c r="M58" s="1577">
        <f t="shared" si="19"/>
        <v>42856</v>
      </c>
      <c r="N58" s="1577">
        <f t="shared" si="19"/>
        <v>42826</v>
      </c>
      <c r="O58" s="1577">
        <f t="shared" si="19"/>
        <v>42795</v>
      </c>
      <c r="P58" s="1572"/>
    </row>
    <row r="59" spans="1:29" s="117" customFormat="1" ht="15">
      <c r="A59" s="509"/>
      <c r="B59" s="2623"/>
      <c r="C59" s="1575">
        <v>100</v>
      </c>
      <c r="D59" s="511"/>
      <c r="E59" s="512"/>
      <c r="F59" s="512"/>
      <c r="G59" s="512"/>
      <c r="H59" s="512"/>
      <c r="I59" s="512"/>
      <c r="J59" s="512"/>
      <c r="K59" s="512"/>
      <c r="L59" s="512"/>
      <c r="M59" s="513"/>
      <c r="N59" s="512"/>
      <c r="O59" s="513"/>
      <c r="P59" s="2624"/>
    </row>
    <row r="60" spans="1:29" s="117" customFormat="1" ht="15.75" thickBot="1">
      <c r="A60" s="515" t="s">
        <v>2573</v>
      </c>
      <c r="B60" s="516"/>
      <c r="C60" s="517"/>
      <c r="D60" s="518"/>
      <c r="E60" s="518"/>
      <c r="F60" s="518"/>
      <c r="G60" s="518"/>
      <c r="H60" s="518"/>
      <c r="I60" s="518"/>
      <c r="J60" s="518"/>
      <c r="K60" s="518"/>
      <c r="L60" s="518"/>
      <c r="M60" s="519"/>
      <c r="N60" s="518"/>
      <c r="O60" s="519"/>
      <c r="P60" s="2624"/>
      <c r="Q60" s="504"/>
    </row>
    <row r="61" spans="1:29" s="117" customFormat="1" ht="15">
      <c r="A61" s="521" t="s">
        <v>2574</v>
      </c>
      <c r="B61" s="510"/>
      <c r="C61" s="522" t="s">
        <v>2575</v>
      </c>
      <c r="D61" s="523"/>
      <c r="E61" s="523"/>
      <c r="F61" s="523"/>
      <c r="G61" s="523"/>
      <c r="H61" s="523"/>
      <c r="I61" s="523"/>
      <c r="J61" s="523"/>
      <c r="K61" s="523"/>
      <c r="L61" s="524"/>
      <c r="M61" s="525"/>
      <c r="N61" s="1153"/>
      <c r="O61" s="1153"/>
      <c r="P61" s="2625"/>
      <c r="Q61" s="504"/>
    </row>
    <row r="62" spans="1:29" s="117" customFormat="1" ht="15.75" thickBot="1">
      <c r="A62" s="521"/>
      <c r="B62" s="510"/>
      <c r="C62" s="511">
        <v>100</v>
      </c>
      <c r="D62" s="512"/>
      <c r="E62" s="512"/>
      <c r="F62" s="512"/>
      <c r="G62" s="512"/>
      <c r="H62" s="512"/>
      <c r="I62" s="512"/>
      <c r="J62" s="512"/>
      <c r="K62" s="512"/>
      <c r="L62" s="512"/>
      <c r="M62" s="514"/>
      <c r="N62" s="1153"/>
      <c r="O62" s="1153"/>
      <c r="P62" s="2624"/>
      <c r="Q62" s="504"/>
    </row>
    <row r="63" spans="1:29">
      <c r="A63" s="527" t="s">
        <v>2576</v>
      </c>
      <c r="B63" s="528" t="s">
        <v>2542</v>
      </c>
      <c r="C63" s="529">
        <f>C9</f>
        <v>0</v>
      </c>
      <c r="D63" s="530"/>
      <c r="E63" s="530"/>
      <c r="F63" s="530"/>
      <c r="G63" s="530"/>
      <c r="H63" s="530"/>
      <c r="I63" s="530"/>
      <c r="J63" s="530"/>
      <c r="K63" s="531"/>
      <c r="L63" s="532"/>
      <c r="M63" s="533"/>
      <c r="N63" s="1154"/>
      <c r="O63" s="1154"/>
      <c r="P63" s="2626"/>
      <c r="Q63" s="504"/>
    </row>
    <row r="64" spans="1:29" ht="15.75" thickBot="1">
      <c r="A64" s="534"/>
      <c r="B64" s="535"/>
      <c r="C64" s="536">
        <v>100</v>
      </c>
      <c r="D64" s="536"/>
      <c r="E64" s="536"/>
      <c r="F64" s="536"/>
      <c r="G64" s="536"/>
      <c r="H64" s="536"/>
      <c r="I64" s="536"/>
      <c r="J64" s="536"/>
      <c r="K64" s="536"/>
      <c r="L64" s="536"/>
      <c r="M64" s="537"/>
      <c r="N64" s="1155"/>
      <c r="O64" s="1155"/>
      <c r="P64" s="2626"/>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4"/>
      <c r="O65" s="1154"/>
      <c r="P65" s="262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5"/>
      <c r="O66" s="1155"/>
      <c r="P66" s="2626"/>
      <c r="Q66" s="504"/>
    </row>
    <row r="67" spans="1:17" ht="15.75" thickTop="1">
      <c r="A67" s="534"/>
      <c r="B67" s="546" t="s">
        <v>2546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5"/>
      <c r="O67" s="1155"/>
      <c r="P67" s="2626"/>
      <c r="Q67" s="504"/>
    </row>
    <row r="68" spans="1:17" ht="15">
      <c r="A68" s="534"/>
      <c r="B68" s="548"/>
      <c r="C68" s="549"/>
      <c r="D68" s="549"/>
      <c r="E68" s="549"/>
      <c r="F68" s="549"/>
      <c r="G68" s="549"/>
      <c r="H68" s="549"/>
      <c r="I68" s="549"/>
      <c r="J68" s="549"/>
      <c r="K68" s="550"/>
      <c r="L68" s="551"/>
      <c r="M68" s="552"/>
      <c r="N68" s="1154"/>
      <c r="O68" s="1154"/>
      <c r="P68" s="262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5"/>
      <c r="O69" s="1155"/>
      <c r="P69" s="2626"/>
      <c r="Q69" s="504"/>
    </row>
    <row r="70" spans="1:17" s="471" customFormat="1" ht="15.75" thickTop="1">
      <c r="A70" s="553"/>
      <c r="B70" s="538">
        <f>B12</f>
        <v>111</v>
      </c>
      <c r="C70" s="554"/>
      <c r="D70" s="554"/>
      <c r="E70" s="554"/>
      <c r="F70" s="554"/>
      <c r="G70" s="554"/>
      <c r="H70" s="555"/>
      <c r="I70" s="555"/>
      <c r="J70" s="555"/>
      <c r="K70" s="555"/>
      <c r="L70" s="556"/>
      <c r="M70" s="557"/>
      <c r="N70" s="1156"/>
      <c r="O70" s="1156"/>
      <c r="P70" s="2627"/>
      <c r="Q70" s="559"/>
    </row>
    <row r="71" spans="1:17" s="471" customFormat="1" ht="15.75" thickBot="1">
      <c r="A71" s="553"/>
      <c r="B71" s="543"/>
      <c r="C71" s="560"/>
      <c r="D71" s="536"/>
      <c r="E71" s="536"/>
      <c r="F71" s="536"/>
      <c r="G71" s="536"/>
      <c r="H71" s="536"/>
      <c r="I71" s="536"/>
      <c r="J71" s="536"/>
      <c r="K71" s="536"/>
      <c r="L71" s="536"/>
      <c r="M71" s="537"/>
      <c r="N71" s="1155"/>
      <c r="O71" s="1155"/>
      <c r="P71" s="2627"/>
      <c r="Q71" s="559"/>
    </row>
    <row r="72" spans="1:17" s="471" customFormat="1" ht="15.75" thickTop="1">
      <c r="A72" s="553"/>
      <c r="B72" s="538">
        <f>B13</f>
        <v>111</v>
      </c>
      <c r="C72" s="554"/>
      <c r="D72" s="554"/>
      <c r="E72" s="554"/>
      <c r="F72" s="554"/>
      <c r="G72" s="554"/>
      <c r="H72" s="555"/>
      <c r="I72" s="555"/>
      <c r="J72" s="555"/>
      <c r="K72" s="555"/>
      <c r="L72" s="556"/>
      <c r="M72" s="557"/>
      <c r="N72" s="1156"/>
      <c r="O72" s="1156"/>
      <c r="P72" s="2628"/>
      <c r="Q72" s="561"/>
    </row>
    <row r="73" spans="1:17" s="471" customFormat="1" ht="15.75" thickBot="1">
      <c r="A73" s="553"/>
      <c r="B73" s="543"/>
      <c r="C73" s="560"/>
      <c r="D73" s="560"/>
      <c r="E73" s="560"/>
      <c r="F73" s="560"/>
      <c r="G73" s="560"/>
      <c r="H73" s="562"/>
      <c r="I73" s="562"/>
      <c r="J73" s="562"/>
      <c r="K73" s="562"/>
      <c r="L73" s="562"/>
      <c r="M73" s="563"/>
      <c r="N73" s="1156"/>
      <c r="O73" s="1156"/>
      <c r="P73" s="2627"/>
      <c r="Q73" s="559"/>
    </row>
    <row r="74" spans="1:17" s="471" customFormat="1" ht="15.75" thickTop="1">
      <c r="A74" s="553"/>
      <c r="B74" s="546">
        <f>B14</f>
        <v>111</v>
      </c>
      <c r="C74" s="554"/>
      <c r="D74" s="554"/>
      <c r="E74" s="554"/>
      <c r="F74" s="554"/>
      <c r="G74" s="523"/>
      <c r="H74" s="564"/>
      <c r="I74" s="564"/>
      <c r="J74" s="564"/>
      <c r="K74" s="564"/>
      <c r="L74" s="565"/>
      <c r="M74" s="566"/>
      <c r="N74" s="1156"/>
      <c r="O74" s="1156"/>
      <c r="P74" s="2629"/>
      <c r="Q74" s="559"/>
    </row>
    <row r="75" spans="1:17" s="471" customFormat="1" ht="15.75" thickBot="1">
      <c r="A75" s="568"/>
      <c r="B75" s="569"/>
      <c r="C75" s="570"/>
      <c r="D75" s="570"/>
      <c r="E75" s="570"/>
      <c r="F75" s="570"/>
      <c r="G75" s="570"/>
      <c r="H75" s="571"/>
      <c r="I75" s="571"/>
      <c r="J75" s="571"/>
      <c r="K75" s="571"/>
      <c r="L75" s="571"/>
      <c r="M75" s="572"/>
      <c r="N75" s="1156"/>
      <c r="O75" s="1156"/>
      <c r="P75" s="2627"/>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4"/>
      <c r="O76" s="1154"/>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26"/>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4"/>
      <c r="O78" s="1154"/>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26"/>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4"/>
      <c r="O80" s="1154"/>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26"/>
      <c r="Q81" s="504"/>
    </row>
    <row r="82" spans="1:17" ht="15.75" thickTop="1">
      <c r="A82" s="534"/>
      <c r="B82" s="546" t="s">
        <v>2090</v>
      </c>
      <c r="C82" s="539" t="s">
        <v>2592</v>
      </c>
      <c r="D82" s="539" t="s">
        <v>2593</v>
      </c>
      <c r="E82" s="539" t="s">
        <v>2594</v>
      </c>
      <c r="F82" s="539" t="s">
        <v>2595</v>
      </c>
      <c r="G82" s="539" t="s">
        <v>2596</v>
      </c>
      <c r="H82" s="539"/>
      <c r="I82" s="539"/>
      <c r="J82" s="539"/>
      <c r="K82" s="539"/>
      <c r="L82" s="539"/>
      <c r="M82" s="1384"/>
      <c r="N82" s="1155"/>
      <c r="O82" s="1155"/>
      <c r="P82" s="262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5"/>
      <c r="O83" s="1155"/>
      <c r="P83" s="2626"/>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4"/>
      <c r="O84" s="1154"/>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26"/>
      <c r="Q85" s="504"/>
    </row>
    <row r="86" spans="1:17" s="117" customFormat="1" ht="15.75" thickTop="1">
      <c r="A86" s="579"/>
      <c r="B86" s="538" t="s">
        <v>2598</v>
      </c>
      <c r="C86" s="554"/>
      <c r="D86" s="554"/>
      <c r="E86" s="554"/>
      <c r="F86" s="554"/>
      <c r="G86" s="554"/>
      <c r="H86" s="554"/>
      <c r="I86" s="554"/>
      <c r="J86" s="554"/>
      <c r="K86" s="554"/>
      <c r="L86" s="580"/>
      <c r="M86" s="581"/>
      <c r="N86" s="1153"/>
      <c r="O86" s="1153"/>
      <c r="P86" s="262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5"/>
      <c r="O87" s="1155"/>
      <c r="P87" s="2626"/>
      <c r="Q87" s="504"/>
    </row>
    <row r="88" spans="1:17" s="117" customFormat="1" ht="15.75" thickTop="1">
      <c r="A88" s="579"/>
      <c r="B88" s="538" t="s">
        <v>2599</v>
      </c>
      <c r="C88" s="554"/>
      <c r="D88" s="554"/>
      <c r="E88" s="554"/>
      <c r="F88" s="2631"/>
      <c r="G88" s="554"/>
      <c r="H88" s="554"/>
      <c r="I88" s="554"/>
      <c r="J88" s="554"/>
      <c r="K88" s="554"/>
      <c r="L88" s="554"/>
      <c r="M88" s="581"/>
      <c r="N88" s="1153"/>
      <c r="O88" s="1153"/>
      <c r="P88" s="262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5"/>
      <c r="O89" s="1155"/>
      <c r="P89" s="2626"/>
      <c r="Q89" s="504"/>
    </row>
    <row r="90" spans="1:17" s="471" customFormat="1" ht="15.75" thickTop="1">
      <c r="A90" s="553"/>
      <c r="B90" s="538">
        <f>B27</f>
        <v>111</v>
      </c>
      <c r="C90" s="554"/>
      <c r="D90" s="554"/>
      <c r="E90" s="554"/>
      <c r="F90" s="554"/>
      <c r="G90" s="554"/>
      <c r="H90" s="555"/>
      <c r="I90" s="555"/>
      <c r="J90" s="555"/>
      <c r="K90" s="555"/>
      <c r="L90" s="556"/>
      <c r="M90" s="557"/>
      <c r="N90" s="1156"/>
      <c r="O90" s="1156"/>
      <c r="P90" s="2627"/>
      <c r="Q90" s="559"/>
    </row>
    <row r="91" spans="1:17" s="471" customFormat="1" ht="15.75" thickBot="1">
      <c r="A91" s="553"/>
      <c r="B91" s="543"/>
      <c r="C91" s="560"/>
      <c r="D91" s="560"/>
      <c r="E91" s="560"/>
      <c r="F91" s="560"/>
      <c r="G91" s="560"/>
      <c r="H91" s="562"/>
      <c r="I91" s="562"/>
      <c r="J91" s="562"/>
      <c r="K91" s="562"/>
      <c r="L91" s="562"/>
      <c r="M91" s="563"/>
      <c r="N91" s="1156"/>
      <c r="O91" s="1156"/>
      <c r="P91" s="2627"/>
      <c r="Q91" s="559"/>
    </row>
    <row r="92" spans="1:17" ht="15.75" thickTop="1">
      <c r="A92" s="534"/>
      <c r="B92" s="538">
        <f>B28</f>
        <v>111</v>
      </c>
      <c r="C92" s="554"/>
      <c r="D92" s="554"/>
      <c r="E92" s="554"/>
      <c r="F92" s="554"/>
      <c r="G92" s="583"/>
      <c r="H92" s="583"/>
      <c r="I92" s="583"/>
      <c r="J92" s="583"/>
      <c r="K92" s="584"/>
      <c r="L92" s="585"/>
      <c r="M92" s="586"/>
      <c r="N92" s="1154"/>
      <c r="O92" s="1154"/>
      <c r="P92" s="2626"/>
      <c r="Q92" s="504"/>
    </row>
    <row r="93" spans="1:17" ht="15.75" thickBot="1">
      <c r="A93" s="534"/>
      <c r="B93" s="543"/>
      <c r="C93" s="560"/>
      <c r="D93" s="536"/>
      <c r="E93" s="536"/>
      <c r="F93" s="536"/>
      <c r="G93" s="536"/>
      <c r="H93" s="536"/>
      <c r="I93" s="536"/>
      <c r="J93" s="536"/>
      <c r="K93" s="536"/>
      <c r="L93" s="536"/>
      <c r="M93" s="537"/>
      <c r="N93" s="1155"/>
      <c r="O93" s="1155"/>
      <c r="P93" s="2626"/>
      <c r="Q93" s="504"/>
    </row>
    <row r="94" spans="1:17" ht="15.75" thickTop="1">
      <c r="A94" s="534"/>
      <c r="B94" s="538">
        <f>B29</f>
        <v>111</v>
      </c>
      <c r="C94" s="554"/>
      <c r="D94" s="554"/>
      <c r="E94" s="554"/>
      <c r="F94" s="554"/>
      <c r="G94" s="583"/>
      <c r="H94" s="583"/>
      <c r="I94" s="583"/>
      <c r="J94" s="583"/>
      <c r="K94" s="584"/>
      <c r="L94" s="585"/>
      <c r="M94" s="586"/>
      <c r="N94" s="1154"/>
      <c r="O94" s="1154"/>
      <c r="P94" s="2626"/>
      <c r="Q94" s="504"/>
    </row>
    <row r="95" spans="1:17" ht="15.75" thickBot="1">
      <c r="A95" s="534"/>
      <c r="B95" s="543"/>
      <c r="C95" s="560"/>
      <c r="D95" s="560"/>
      <c r="E95" s="560"/>
      <c r="F95" s="560"/>
      <c r="G95" s="536"/>
      <c r="H95" s="536"/>
      <c r="I95" s="536"/>
      <c r="J95" s="536"/>
      <c r="K95" s="536"/>
      <c r="L95" s="536"/>
      <c r="M95" s="537"/>
      <c r="N95" s="1155"/>
      <c r="O95" s="1155"/>
      <c r="P95" s="2626"/>
      <c r="Q95" s="504"/>
    </row>
    <row r="96" spans="1:17" ht="15.75" thickTop="1">
      <c r="A96" s="534"/>
      <c r="B96" s="538">
        <f>B30</f>
        <v>111</v>
      </c>
      <c r="C96" s="554"/>
      <c r="D96" s="554"/>
      <c r="E96" s="554"/>
      <c r="F96" s="554"/>
      <c r="G96" s="583"/>
      <c r="H96" s="583"/>
      <c r="I96" s="583"/>
      <c r="J96" s="583"/>
      <c r="K96" s="584"/>
      <c r="L96" s="585"/>
      <c r="M96" s="586"/>
      <c r="N96" s="1154"/>
      <c r="O96" s="1154"/>
      <c r="P96" s="2626"/>
      <c r="Q96" s="504"/>
    </row>
    <row r="97" spans="1:17" ht="15.75" thickBot="1">
      <c r="A97" s="534"/>
      <c r="B97" s="543"/>
      <c r="C97" s="570"/>
      <c r="D97" s="570"/>
      <c r="E97" s="570"/>
      <c r="F97" s="570"/>
      <c r="G97" s="536"/>
      <c r="H97" s="536"/>
      <c r="I97" s="536"/>
      <c r="J97" s="536"/>
      <c r="K97" s="536"/>
      <c r="L97" s="536"/>
      <c r="M97" s="537"/>
      <c r="N97" s="1155"/>
      <c r="O97" s="1155"/>
      <c r="P97" s="2626"/>
      <c r="Q97" s="504"/>
    </row>
    <row r="98" spans="1:17" ht="15.75" thickTop="1">
      <c r="A98" s="534"/>
      <c r="B98" s="546">
        <f>B31</f>
        <v>111</v>
      </c>
      <c r="C98" s="587"/>
      <c r="D98" s="587"/>
      <c r="E98" s="587"/>
      <c r="F98" s="587"/>
      <c r="G98" s="587"/>
      <c r="H98" s="587"/>
      <c r="I98" s="587"/>
      <c r="J98" s="587"/>
      <c r="K98" s="588"/>
      <c r="L98" s="589"/>
      <c r="M98" s="590"/>
      <c r="N98" s="1154"/>
      <c r="O98" s="1154"/>
      <c r="P98" s="2626"/>
      <c r="Q98" s="504"/>
    </row>
    <row r="99" spans="1:17" ht="15.75" thickBot="1">
      <c r="A99" s="2632"/>
      <c r="B99" s="569"/>
      <c r="C99" s="591"/>
      <c r="D99" s="591"/>
      <c r="E99" s="591"/>
      <c r="F99" s="591"/>
      <c r="G99" s="591"/>
      <c r="H99" s="591"/>
      <c r="I99" s="591"/>
      <c r="J99" s="591"/>
      <c r="K99" s="591"/>
      <c r="L99" s="591"/>
      <c r="M99" s="592"/>
      <c r="N99" s="1155"/>
      <c r="O99" s="1155"/>
      <c r="P99" s="2626"/>
      <c r="Q99" s="504"/>
    </row>
    <row r="100" spans="1:17">
      <c r="A100" s="527" t="s">
        <v>2551</v>
      </c>
      <c r="B100" s="528" t="s">
        <v>2600</v>
      </c>
      <c r="C100" s="530"/>
      <c r="D100" s="530"/>
      <c r="E100" s="530"/>
      <c r="F100" s="530"/>
      <c r="G100" s="530"/>
      <c r="H100" s="530"/>
      <c r="I100" s="530"/>
      <c r="J100" s="530"/>
      <c r="K100" s="531"/>
      <c r="L100" s="532"/>
      <c r="M100" s="533"/>
      <c r="N100" s="1154"/>
      <c r="O100" s="1154"/>
      <c r="P100" s="262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5"/>
      <c r="O101" s="1155"/>
      <c r="P101" s="2626"/>
      <c r="Q101" s="504"/>
    </row>
    <row r="102" spans="1:17" ht="15.75" thickTop="1">
      <c r="A102" s="534"/>
      <c r="B102" s="538" t="s">
        <v>2601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3"/>
      <c r="O102" s="1153"/>
      <c r="P102" s="2626"/>
      <c r="Q102" s="504"/>
    </row>
    <row r="103" spans="1:17" s="471" customFormat="1">
      <c r="A103" s="593"/>
      <c r="B103" s="594"/>
      <c r="C103" s="595"/>
      <c r="D103" s="595"/>
      <c r="E103" s="595"/>
      <c r="F103" s="595"/>
      <c r="G103" s="595"/>
      <c r="H103" s="595"/>
      <c r="I103" s="595"/>
      <c r="J103" s="596"/>
      <c r="K103" s="596"/>
      <c r="L103" s="597"/>
      <c r="M103" s="598"/>
      <c r="N103" s="1156"/>
      <c r="O103" s="1156"/>
      <c r="P103" s="2627"/>
      <c r="Q103" s="559"/>
    </row>
    <row r="104" spans="1:17" s="471" customFormat="1" ht="15.75" thickBot="1">
      <c r="A104" s="553"/>
      <c r="B104" s="543"/>
      <c r="C104" s="560"/>
      <c r="D104" s="536"/>
      <c r="E104" s="536"/>
      <c r="F104" s="536"/>
      <c r="G104" s="536"/>
      <c r="H104" s="536"/>
      <c r="I104" s="536"/>
      <c r="J104" s="536"/>
      <c r="K104" s="536"/>
      <c r="L104" s="536"/>
      <c r="M104" s="536"/>
      <c r="N104" s="1155"/>
      <c r="O104" s="1155"/>
      <c r="P104" s="2627"/>
      <c r="Q104" s="559"/>
    </row>
    <row r="105" spans="1:17" ht="15" thickTop="1">
      <c r="A105" s="599"/>
      <c r="B105" s="538" t="s">
        <v>2602</v>
      </c>
      <c r="C105" s="554"/>
      <c r="D105" s="554"/>
      <c r="E105" s="583"/>
      <c r="F105" s="583"/>
      <c r="G105" s="583"/>
      <c r="H105" s="583"/>
      <c r="I105" s="583"/>
      <c r="J105" s="583"/>
      <c r="K105" s="584"/>
      <c r="L105" s="585"/>
      <c r="M105" s="586"/>
      <c r="N105" s="1154"/>
      <c r="O105" s="1154"/>
      <c r="P105" s="262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5"/>
      <c r="O106" s="1155"/>
      <c r="P106" s="2626"/>
      <c r="Q106" s="504"/>
    </row>
    <row r="107" spans="1:17" ht="15" thickTop="1">
      <c r="A107" s="599"/>
      <c r="B107" s="538" t="s">
        <v>2603</v>
      </c>
      <c r="C107" s="583"/>
      <c r="D107" s="583"/>
      <c r="E107" s="583"/>
      <c r="F107" s="583"/>
      <c r="G107" s="583"/>
      <c r="H107" s="583"/>
      <c r="I107" s="583"/>
      <c r="J107" s="583"/>
      <c r="K107" s="584"/>
      <c r="L107" s="585"/>
      <c r="M107" s="586"/>
      <c r="N107" s="1154"/>
      <c r="O107" s="1154"/>
      <c r="P107" s="262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5"/>
      <c r="O108" s="1155"/>
      <c r="P108" s="2626"/>
      <c r="Q108" s="504"/>
    </row>
    <row r="109" spans="1:17" ht="15" thickTop="1">
      <c r="A109" s="599"/>
      <c r="B109" s="538" t="s">
        <v>2604</v>
      </c>
      <c r="C109" s="554"/>
      <c r="D109" s="554"/>
      <c r="E109" s="554"/>
      <c r="F109" s="583"/>
      <c r="G109" s="583"/>
      <c r="H109" s="583"/>
      <c r="I109" s="583"/>
      <c r="J109" s="583"/>
      <c r="K109" s="584"/>
      <c r="L109" s="585"/>
      <c r="M109" s="586"/>
      <c r="N109" s="1154"/>
      <c r="O109" s="1154"/>
      <c r="P109" s="262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5"/>
      <c r="O110" s="1155"/>
      <c r="P110" s="2626"/>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6"/>
      <c r="O111" s="1156"/>
      <c r="P111" s="262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6"/>
      <c r="O112" s="1156"/>
      <c r="P112" s="262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6"/>
      <c r="O113" s="1156"/>
      <c r="P113" s="2627"/>
      <c r="Q113" s="559"/>
    </row>
    <row r="114" spans="1:17" ht="15" thickTop="1">
      <c r="A114" s="599"/>
      <c r="B114" s="538" t="s">
        <v>2605</v>
      </c>
      <c r="C114" s="554"/>
      <c r="D114" s="554"/>
      <c r="E114" s="583"/>
      <c r="F114" s="583"/>
      <c r="G114" s="583"/>
      <c r="H114" s="583"/>
      <c r="I114" s="583"/>
      <c r="J114" s="583"/>
      <c r="K114" s="584"/>
      <c r="L114" s="585"/>
      <c r="M114" s="586"/>
      <c r="N114" s="1154"/>
      <c r="O114" s="1154"/>
      <c r="P114" s="262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5"/>
      <c r="O115" s="1155"/>
      <c r="P115" s="2626"/>
      <c r="Q115" s="504"/>
    </row>
    <row r="116" spans="1:17" ht="15" thickTop="1">
      <c r="A116" s="599"/>
      <c r="B116" s="538" t="s">
        <v>2606</v>
      </c>
      <c r="C116" s="554"/>
      <c r="D116" s="554"/>
      <c r="E116" s="554"/>
      <c r="F116" s="554"/>
      <c r="G116" s="554"/>
      <c r="H116" s="583"/>
      <c r="I116" s="583"/>
      <c r="J116" s="583"/>
      <c r="K116" s="584"/>
      <c r="L116" s="585"/>
      <c r="M116" s="586"/>
      <c r="N116" s="1154"/>
      <c r="O116" s="1154"/>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26"/>
      <c r="Q117" s="504"/>
    </row>
    <row r="118" spans="1:17" ht="15" thickTop="1">
      <c r="A118" s="599"/>
      <c r="B118" s="538" t="s">
        <v>2607</v>
      </c>
      <c r="C118" s="583"/>
      <c r="D118" s="583"/>
      <c r="E118" s="583"/>
      <c r="F118" s="583"/>
      <c r="G118" s="583"/>
      <c r="H118" s="583"/>
      <c r="I118" s="583"/>
      <c r="J118" s="583"/>
      <c r="K118" s="584"/>
      <c r="L118" s="585"/>
      <c r="M118" s="586"/>
      <c r="N118" s="1154"/>
      <c r="O118" s="1154"/>
      <c r="P118" s="262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5"/>
      <c r="O119" s="1155"/>
      <c r="P119" s="2626"/>
      <c r="Q119" s="504"/>
    </row>
    <row r="120" spans="1:17" s="471" customFormat="1" ht="28.5" thickTop="1">
      <c r="A120" s="593"/>
      <c r="B120" s="538" t="s">
        <v>2562</v>
      </c>
      <c r="C120" s="554"/>
      <c r="D120" s="554"/>
      <c r="E120" s="554"/>
      <c r="F120" s="554"/>
      <c r="G120" s="554"/>
      <c r="H120" s="554"/>
      <c r="I120" s="554"/>
      <c r="J120" s="554"/>
      <c r="K120" s="554"/>
      <c r="L120" s="580"/>
      <c r="M120" s="581"/>
      <c r="N120" s="1156"/>
      <c r="O120" s="1156"/>
      <c r="P120" s="2627"/>
      <c r="Q120" s="559"/>
    </row>
    <row r="121" spans="1:17" s="471" customFormat="1" ht="15.75" thickBot="1">
      <c r="A121" s="553"/>
      <c r="B121" s="535"/>
      <c r="C121" s="560"/>
      <c r="D121" s="536"/>
      <c r="E121" s="536"/>
      <c r="F121" s="536"/>
      <c r="G121" s="536"/>
      <c r="H121" s="536"/>
      <c r="I121" s="536"/>
      <c r="J121" s="536"/>
      <c r="K121" s="536"/>
      <c r="L121" s="536"/>
      <c r="M121" s="536"/>
      <c r="N121" s="1156"/>
      <c r="O121" s="1156"/>
      <c r="P121" s="2627"/>
      <c r="Q121" s="559"/>
    </row>
    <row r="122" spans="1:17" ht="15" thickTop="1">
      <c r="A122" s="599"/>
      <c r="B122" s="538" t="s">
        <v>2608</v>
      </c>
      <c r="C122" s="554"/>
      <c r="D122" s="554"/>
      <c r="E122" s="554"/>
      <c r="F122" s="583"/>
      <c r="G122" s="583"/>
      <c r="H122" s="583"/>
      <c r="I122" s="583"/>
      <c r="J122" s="583"/>
      <c r="K122" s="584"/>
      <c r="L122" s="585"/>
      <c r="M122" s="586"/>
      <c r="N122" s="1154"/>
      <c r="O122" s="1154"/>
      <c r="P122" s="262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5"/>
      <c r="O123" s="1155"/>
      <c r="P123" s="2626"/>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4"/>
      <c r="O124" s="1154"/>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26"/>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27"/>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27"/>
      <c r="Q127" s="559"/>
    </row>
    <row r="128" spans="1:17" ht="15" thickTop="1">
      <c r="A128" s="599"/>
      <c r="B128" s="538">
        <f>B45</f>
        <v>111</v>
      </c>
      <c r="C128" s="554"/>
      <c r="D128" s="554"/>
      <c r="E128" s="554"/>
      <c r="F128" s="554"/>
      <c r="G128" s="583"/>
      <c r="H128" s="583"/>
      <c r="I128" s="583"/>
      <c r="J128" s="583"/>
      <c r="K128" s="584"/>
      <c r="L128" s="585"/>
      <c r="M128" s="586"/>
      <c r="N128" s="1154"/>
      <c r="O128" s="1154"/>
      <c r="P128" s="2626"/>
      <c r="Q128" s="504"/>
    </row>
    <row r="129" spans="1:17" ht="15.75" thickBot="1">
      <c r="A129" s="534"/>
      <c r="B129" s="543"/>
      <c r="C129" s="560"/>
      <c r="D129" s="560"/>
      <c r="E129" s="560"/>
      <c r="F129" s="560"/>
      <c r="G129" s="536"/>
      <c r="H129" s="536"/>
      <c r="I129" s="536"/>
      <c r="J129" s="536"/>
      <c r="K129" s="536"/>
      <c r="L129" s="536"/>
      <c r="M129" s="537"/>
      <c r="N129" s="1155"/>
      <c r="O129" s="1155"/>
      <c r="P129" s="2626"/>
      <c r="Q129" s="504"/>
    </row>
    <row r="130" spans="1:17" ht="15" thickTop="1">
      <c r="A130" s="599"/>
      <c r="B130" s="546">
        <f>B46</f>
        <v>111</v>
      </c>
      <c r="C130" s="554"/>
      <c r="D130" s="554"/>
      <c r="E130" s="554"/>
      <c r="F130" s="554"/>
      <c r="G130" s="587"/>
      <c r="H130" s="587"/>
      <c r="I130" s="587"/>
      <c r="J130" s="587"/>
      <c r="K130" s="523"/>
      <c r="L130" s="524"/>
      <c r="M130" s="590"/>
      <c r="N130" s="1154"/>
      <c r="O130" s="1154"/>
      <c r="P130" s="2626"/>
      <c r="Q130" s="504"/>
    </row>
    <row r="131" spans="1:17" ht="15.75" thickBot="1">
      <c r="A131" s="2632"/>
      <c r="B131" s="569"/>
      <c r="C131" s="570"/>
      <c r="D131" s="570"/>
      <c r="E131" s="570"/>
      <c r="F131" s="570"/>
      <c r="G131" s="591"/>
      <c r="H131" s="591"/>
      <c r="I131" s="591"/>
      <c r="J131" s="591"/>
      <c r="K131" s="591"/>
      <c r="L131" s="591"/>
      <c r="M131" s="592"/>
      <c r="N131" s="1155"/>
      <c r="O131" s="1155"/>
      <c r="P131" s="2626"/>
      <c r="Q131" s="504"/>
    </row>
    <row r="136" spans="1:17" ht="15" thickBot="1">
      <c r="B136" s="2633" t="s">
        <v>2610</v>
      </c>
    </row>
    <row r="137" spans="1:17" ht="15">
      <c r="B137" s="2634" t="s">
        <v>2611</v>
      </c>
      <c r="C137" s="2635"/>
      <c r="D137" s="2635"/>
      <c r="E137" s="2635"/>
      <c r="F137" s="2635"/>
      <c r="G137" s="2636"/>
      <c r="H137" s="2637"/>
      <c r="I137" s="2638" t="s">
        <v>2612</v>
      </c>
      <c r="J137" s="2635"/>
      <c r="K137" s="2639"/>
    </row>
    <row r="138" spans="1:17" ht="15">
      <c r="B138" s="2640"/>
      <c r="C138" s="146" t="s">
        <v>2613</v>
      </c>
      <c r="D138" s="146" t="s">
        <v>2614</v>
      </c>
      <c r="E138" s="2641" t="s">
        <v>2615</v>
      </c>
      <c r="F138" s="2642" t="s">
        <v>2616</v>
      </c>
      <c r="G138" s="146" t="s">
        <v>2614</v>
      </c>
      <c r="H138" s="147" t="s">
        <v>2615</v>
      </c>
      <c r="I138" s="2643"/>
      <c r="J138" s="146" t="s">
        <v>2617</v>
      </c>
      <c r="K138" s="147" t="s">
        <v>2618</v>
      </c>
    </row>
    <row r="139" spans="1:17" ht="15">
      <c r="B139" s="1086">
        <v>6</v>
      </c>
      <c r="C139" s="1087">
        <v>96</v>
      </c>
      <c r="D139" s="2644" t="s">
        <v>2619</v>
      </c>
      <c r="E139" s="1088">
        <v>100</v>
      </c>
      <c r="F139" s="1089">
        <v>102.5</v>
      </c>
      <c r="G139" s="2644" t="s">
        <v>2619</v>
      </c>
      <c r="H139" s="1090">
        <v>105</v>
      </c>
      <c r="I139" s="2645" t="s">
        <v>2620</v>
      </c>
      <c r="J139" s="1087">
        <v>20</v>
      </c>
      <c r="K139" s="1091">
        <f>C145/(J139-2)</f>
        <v>4.0555555555555553E-3</v>
      </c>
    </row>
    <row r="140" spans="1:17" ht="15">
      <c r="B140" s="1092">
        <v>5</v>
      </c>
      <c r="C140" s="1093">
        <v>100</v>
      </c>
      <c r="D140" s="1093"/>
      <c r="E140" s="1094"/>
      <c r="F140" s="1095">
        <v>102</v>
      </c>
      <c r="G140" s="1093"/>
      <c r="H140" s="1096"/>
      <c r="I140" s="2646" t="s">
        <v>2621</v>
      </c>
      <c r="J140" s="315">
        <f>ROUNDUP((J139-1)/2,0)</f>
        <v>10</v>
      </c>
      <c r="K140" s="1097">
        <v>100</v>
      </c>
    </row>
    <row r="141" spans="1:17" ht="15">
      <c r="B141" s="1092">
        <v>4</v>
      </c>
      <c r="C141" s="1093">
        <v>102</v>
      </c>
      <c r="D141" s="1093"/>
      <c r="E141" s="1094"/>
      <c r="F141" s="1095">
        <v>101.5</v>
      </c>
      <c r="G141" s="1093"/>
      <c r="H141" s="1096"/>
      <c r="I141" s="2646" t="s">
        <v>2622</v>
      </c>
      <c r="J141" s="315">
        <v>1</v>
      </c>
      <c r="K141" s="1098">
        <f>ROUND(100+(J141-J140)*K139*100,1)</f>
        <v>96.4</v>
      </c>
    </row>
    <row r="142" spans="1:17" ht="15">
      <c r="B142" s="1092">
        <v>3</v>
      </c>
      <c r="C142" s="1093">
        <v>103</v>
      </c>
      <c r="D142" s="1093"/>
      <c r="E142" s="1094"/>
      <c r="F142" s="1095">
        <v>101</v>
      </c>
      <c r="G142" s="1093"/>
      <c r="H142" s="1096"/>
      <c r="I142" s="2646" t="s">
        <v>2623</v>
      </c>
      <c r="J142" s="315">
        <f>J139</f>
        <v>20</v>
      </c>
      <c r="K142" s="1099">
        <v>95</v>
      </c>
    </row>
    <row r="143" spans="1:17" ht="15">
      <c r="B143" s="1092">
        <v>2</v>
      </c>
      <c r="C143" s="1093">
        <v>100</v>
      </c>
      <c r="D143" s="1093"/>
      <c r="E143" s="1094"/>
      <c r="F143" s="1095">
        <v>100.5</v>
      </c>
      <c r="G143" s="1093"/>
      <c r="H143" s="1096"/>
      <c r="I143" s="2646" t="s">
        <v>2624</v>
      </c>
      <c r="J143" s="1093">
        <v>15</v>
      </c>
      <c r="K143" s="1098">
        <f>ROUND(100+(J143-J140)*K139*100,1)</f>
        <v>102</v>
      </c>
    </row>
    <row r="144" spans="1:17" ht="15">
      <c r="B144" s="1092">
        <v>1</v>
      </c>
      <c r="C144" s="1093">
        <v>98</v>
      </c>
      <c r="D144" s="2647" t="s">
        <v>2625</v>
      </c>
      <c r="E144" s="1094">
        <v>102</v>
      </c>
      <c r="F144" s="1100">
        <v>100</v>
      </c>
      <c r="G144" s="2647" t="s">
        <v>2625</v>
      </c>
      <c r="H144" s="1096">
        <v>105</v>
      </c>
      <c r="I144" s="2646" t="s">
        <v>2624</v>
      </c>
      <c r="J144" s="1093">
        <v>18</v>
      </c>
      <c r="K144" s="1098">
        <f>ROUND(100+(J144-J140)*K139*100,1)</f>
        <v>103.2</v>
      </c>
    </row>
    <row r="145" spans="2:11" ht="15.75" thickBot="1">
      <c r="B145" s="2648" t="s">
        <v>2626</v>
      </c>
      <c r="C145" s="1101">
        <f>ROUND(MAX(C139:C144)/MIN(C139:C144)-1,3)</f>
        <v>7.2999999999999995E-2</v>
      </c>
      <c r="D145" s="1102"/>
      <c r="E145" s="1102"/>
      <c r="F145" s="2649" t="s">
        <v>2627</v>
      </c>
      <c r="G145" s="2650"/>
      <c r="H145" s="2651"/>
      <c r="I145" s="2652" t="s">
        <v>2624</v>
      </c>
      <c r="J145" s="1103">
        <v>8</v>
      </c>
      <c r="K145" s="1104">
        <f>ROUND(100+(J145-J140)*K139*100,1)</f>
        <v>99.2</v>
      </c>
    </row>
    <row r="147" spans="2:11">
      <c r="B147" s="2633" t="s">
        <v>2628</v>
      </c>
    </row>
    <row r="148" spans="2:11">
      <c r="B148" s="2633" t="s">
        <v>2629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3" priority="15" stopIfTrue="1" operator="containsText" text="超过">
      <formula>NOT(ISERROR(SEARCH("超过",F52)))</formula>
    </cfRule>
  </conditionalFormatting>
  <conditionalFormatting sqref="J54">
    <cfRule type="containsText" dxfId="132" priority="14" stopIfTrue="1" operator="containsText" text="超过">
      <formula>NOT(ISERROR(SEARCH("超过",J54)))</formula>
    </cfRule>
  </conditionalFormatting>
  <conditionalFormatting sqref="H54">
    <cfRule type="containsText" dxfId="131" priority="13" stopIfTrue="1" operator="containsText" text="超过">
      <formula>NOT(ISERROR(SEARCH("超过",H54)))</formula>
    </cfRule>
  </conditionalFormatting>
  <conditionalFormatting sqref="F54">
    <cfRule type="containsText" dxfId="130" priority="12" stopIfTrue="1" operator="containsText" text="超过">
      <formula>NOT(ISERROR(SEARCH("超过",F54)))</formula>
    </cfRule>
  </conditionalFormatting>
  <conditionalFormatting sqref="F53 H53 J53">
    <cfRule type="containsText" dxfId="129" priority="11" stopIfTrue="1" operator="containsText" text="超过">
      <formula>NOT(ISERROR(SEARCH("超过",F53)))</formula>
    </cfRule>
  </conditionalFormatting>
  <conditionalFormatting sqref="E52">
    <cfRule type="expression" dxfId="128" priority="10" stopIfTrue="1">
      <formula>$F$52="超过30%"</formula>
    </cfRule>
  </conditionalFormatting>
  <conditionalFormatting sqref="G54">
    <cfRule type="expression" dxfId="127" priority="8" stopIfTrue="1">
      <formula>$H$54="超过30%"</formula>
    </cfRule>
  </conditionalFormatting>
  <conditionalFormatting sqref="E53">
    <cfRule type="expression" dxfId="126" priority="7" stopIfTrue="1">
      <formula>$F$53="超过20%"</formula>
    </cfRule>
  </conditionalFormatting>
  <conditionalFormatting sqref="E54">
    <cfRule type="expression" dxfId="125" priority="6" stopIfTrue="1">
      <formula>$F$54="超过30%"</formula>
    </cfRule>
  </conditionalFormatting>
  <conditionalFormatting sqref="G52">
    <cfRule type="expression" dxfId="124" priority="5" stopIfTrue="1">
      <formula>$H$52="超过30%"</formula>
    </cfRule>
  </conditionalFormatting>
  <conditionalFormatting sqref="G53">
    <cfRule type="expression" dxfId="123" priority="4" stopIfTrue="1">
      <formula>$H$53="超过20%"</formula>
    </cfRule>
  </conditionalFormatting>
  <conditionalFormatting sqref="I52">
    <cfRule type="expression" dxfId="122" priority="3" stopIfTrue="1">
      <formula>$J$52="超过30%"</formula>
    </cfRule>
  </conditionalFormatting>
  <conditionalFormatting sqref="I53">
    <cfRule type="expression" dxfId="121" priority="2" stopIfTrue="1">
      <formula>$J$53="超过20%"</formula>
    </cfRule>
  </conditionalFormatting>
  <conditionalFormatting sqref="I54">
    <cfRule type="expression" dxfId="12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578" t="s">
        <v>2630</v>
      </c>
      <c r="C1" s="1636" t="s">
        <v>2518</v>
      </c>
      <c r="D1" s="1623"/>
      <c r="E1" s="2653"/>
      <c r="F1" s="2580"/>
      <c r="G1" s="1633" t="s">
        <v>2631</v>
      </c>
      <c r="H1" s="1632"/>
      <c r="I1" s="1632"/>
      <c r="J1" s="1632"/>
      <c r="K1" s="1634"/>
      <c r="L1" s="1635"/>
      <c r="M1" s="1636"/>
      <c r="N1" s="1636"/>
      <c r="O1" s="1636"/>
      <c r="P1" s="2654"/>
      <c r="Q1" s="2655"/>
      <c r="R1" s="2655"/>
      <c r="S1" s="2655"/>
      <c r="T1" s="2655"/>
      <c r="U1" s="2655"/>
      <c r="V1" s="2655"/>
      <c r="W1" s="2655"/>
      <c r="X1" s="2655"/>
      <c r="Y1" s="2655"/>
      <c r="Z1" s="2655"/>
      <c r="AA1" s="2655"/>
      <c r="AB1" s="2655"/>
      <c r="AC1" s="2656"/>
    </row>
    <row r="2" spans="1:29" s="398" customFormat="1" ht="28.5" customHeight="1" thickTop="1">
      <c r="A2" s="1619" t="s">
        <v>2315</v>
      </c>
      <c r="B2" s="1420" t="e">
        <f ca="1">IF(C2="——",ROUND(C49*D3/10000,0),ROUND(C49*D3/10000,0)-D2)</f>
        <v>#DIV/0!</v>
      </c>
      <c r="C2" s="2582"/>
      <c r="D2" s="1367" t="e">
        <f ca="1">SUMIF(INDIRECT("'"&amp;F2&amp;"'"&amp;"!A:A"),"承租人权益价值",INDIRECT("'"&amp;F2&amp;"'"&amp;"!c:c"))</f>
        <v>#REF!</v>
      </c>
      <c r="E2" s="2583" t="s">
        <v>2316</v>
      </c>
      <c r="F2" s="2584"/>
      <c r="G2" s="1127"/>
      <c r="H2" s="1127"/>
      <c r="I2" s="1127"/>
      <c r="J2" s="1127"/>
      <c r="K2" s="1127"/>
      <c r="L2" s="1130"/>
      <c r="M2" s="1131"/>
      <c r="N2" s="1131"/>
      <c r="O2" s="1131"/>
      <c r="P2" s="2657"/>
      <c r="Q2" s="1131"/>
      <c r="R2" s="1131"/>
      <c r="S2" s="1131"/>
      <c r="T2" s="1131"/>
      <c r="U2" s="1131"/>
      <c r="V2" s="1131"/>
      <c r="W2" s="1131"/>
      <c r="X2" s="1131"/>
      <c r="Y2" s="1131"/>
      <c r="Z2" s="1131"/>
      <c r="AA2" s="1131"/>
      <c r="AB2" s="1131"/>
      <c r="AC2" s="2658"/>
    </row>
    <row r="3" spans="1:29" s="398" customFormat="1" ht="28.5" customHeight="1" thickBot="1">
      <c r="A3" s="247" t="s">
        <v>2317</v>
      </c>
      <c r="B3" s="609" t="e">
        <f ca="1">IF(C2="——",C49,ROUND(B2*10000/D3,0))</f>
        <v>#DIV/0!</v>
      </c>
      <c r="C3" s="400" t="s">
        <v>2632</v>
      </c>
      <c r="D3" s="399">
        <f>IF(D1="",'数据-汇总表'!E3,SUMIF('数据-汇总表'!$C19:$C33,D1,'数据-汇总表'!$E19:$E33))</f>
        <v>1246.4000000000001</v>
      </c>
      <c r="E3" s="2659"/>
      <c r="F3" s="1128"/>
      <c r="G3" s="1127"/>
      <c r="H3" s="1127"/>
      <c r="I3" s="1127"/>
      <c r="J3" s="1127"/>
      <c r="K3" s="1129"/>
      <c r="L3" s="1130"/>
      <c r="M3" s="1131"/>
      <c r="N3" s="1131"/>
      <c r="O3" s="1131"/>
      <c r="P3" s="2657"/>
      <c r="Q3" s="1131"/>
      <c r="R3" s="1131"/>
      <c r="S3" s="1131"/>
      <c r="T3" s="1131"/>
      <c r="U3" s="1131"/>
      <c r="V3" s="1131"/>
      <c r="W3" s="1131"/>
      <c r="X3" s="1131"/>
      <c r="Y3" s="1131"/>
      <c r="Z3" s="1131"/>
      <c r="AA3" s="1131"/>
      <c r="AB3" s="1131"/>
      <c r="AC3" s="2659"/>
    </row>
    <row r="4" spans="1:29" ht="15">
      <c r="A4" s="401" t="s">
        <v>2633</v>
      </c>
      <c r="B4" s="402"/>
      <c r="C4" s="3212" t="s">
        <v>2634</v>
      </c>
      <c r="D4" s="3213"/>
      <c r="E4" s="3214" t="s">
        <v>2635</v>
      </c>
      <c r="F4" s="3215"/>
      <c r="G4" s="3212" t="s">
        <v>2636</v>
      </c>
      <c r="H4" s="3213"/>
      <c r="I4" s="3212" t="s">
        <v>2637</v>
      </c>
      <c r="J4" s="3213"/>
      <c r="K4" s="610" t="s">
        <v>2638</v>
      </c>
      <c r="L4" s="1132"/>
      <c r="M4" s="1133"/>
      <c r="N4" s="1133"/>
      <c r="O4" s="1133"/>
      <c r="P4" s="3216" t="s">
        <v>2639</v>
      </c>
      <c r="Q4" s="3217"/>
      <c r="R4" s="3199" t="s">
        <v>2635</v>
      </c>
      <c r="S4" s="3200"/>
      <c r="T4" s="3199" t="s">
        <v>2636</v>
      </c>
      <c r="U4" s="3200"/>
      <c r="V4" s="3224" t="s">
        <v>2637</v>
      </c>
      <c r="W4" s="3224"/>
      <c r="X4" s="1815"/>
      <c r="Y4" s="3199" t="s">
        <v>2639</v>
      </c>
      <c r="Z4" s="3200"/>
      <c r="AA4" s="3194" t="s">
        <v>2635</v>
      </c>
      <c r="AB4" s="3224" t="s">
        <v>2636</v>
      </c>
      <c r="AC4" s="3194" t="s">
        <v>2637</v>
      </c>
    </row>
    <row r="5" spans="1:29" ht="15">
      <c r="A5" s="404"/>
      <c r="B5" s="405"/>
      <c r="C5" s="3205" t="s">
        <v>2530</v>
      </c>
      <c r="D5" s="3206"/>
      <c r="E5" s="3203" t="s">
        <v>2531</v>
      </c>
      <c r="F5" s="3204"/>
      <c r="G5" s="3205" t="s">
        <v>2532</v>
      </c>
      <c r="H5" s="3206"/>
      <c r="I5" s="3205" t="s">
        <v>2533</v>
      </c>
      <c r="J5" s="3206"/>
      <c r="K5" s="610"/>
      <c r="L5" s="1132"/>
      <c r="M5" s="1133"/>
      <c r="N5" s="1133"/>
      <c r="O5" s="1133"/>
      <c r="P5" s="3218"/>
      <c r="Q5" s="3219"/>
      <c r="R5" s="3201"/>
      <c r="S5" s="3202"/>
      <c r="T5" s="3201"/>
      <c r="U5" s="3202"/>
      <c r="V5" s="3224"/>
      <c r="W5" s="3224"/>
      <c r="X5" s="1815"/>
      <c r="Y5" s="3201"/>
      <c r="Z5" s="3202"/>
      <c r="AA5" s="3195"/>
      <c r="AB5" s="3224"/>
      <c r="AC5" s="3195"/>
    </row>
    <row r="6" spans="1:29" ht="15.75" thickBot="1">
      <c r="A6" s="406"/>
      <c r="B6" s="407"/>
      <c r="C6" s="3207" t="s">
        <v>2534</v>
      </c>
      <c r="D6" s="3208"/>
      <c r="E6" s="3209" t="s">
        <v>2534</v>
      </c>
      <c r="F6" s="3210"/>
      <c r="G6" s="3207" t="s">
        <v>2534</v>
      </c>
      <c r="H6" s="3208"/>
      <c r="I6" s="3207" t="s">
        <v>2534</v>
      </c>
      <c r="J6" s="3208"/>
      <c r="K6" s="610" t="s">
        <v>2535</v>
      </c>
      <c r="L6" s="1132"/>
      <c r="M6" s="1133"/>
      <c r="N6" s="1133"/>
      <c r="O6" s="1133"/>
      <c r="P6" s="3220"/>
      <c r="Q6" s="3221"/>
      <c r="R6" s="3201"/>
      <c r="S6" s="3202"/>
      <c r="T6" s="3222"/>
      <c r="U6" s="3223"/>
      <c r="V6" s="3224"/>
      <c r="W6" s="3224"/>
      <c r="X6" s="1815"/>
      <c r="Y6" s="3222"/>
      <c r="Z6" s="3223"/>
      <c r="AA6" s="3196"/>
      <c r="AB6" s="3224"/>
      <c r="AC6" s="3196"/>
    </row>
    <row r="7" spans="1:29" s="117" customFormat="1" ht="15.75" thickBot="1">
      <c r="A7" s="408" t="s">
        <v>2536</v>
      </c>
      <c r="B7" s="409"/>
      <c r="C7" s="410">
        <f>'数据-取费表'!B2</f>
        <v>43165</v>
      </c>
      <c r="D7" s="411">
        <v>100</v>
      </c>
      <c r="E7" s="412"/>
      <c r="F7" s="413">
        <f>SUMIF(58:58,YEAR(E7)&amp;"-"&amp;MONTH(E7),59:59)</f>
        <v>0</v>
      </c>
      <c r="G7" s="412"/>
      <c r="H7" s="411">
        <f>SUMIF(58:58,YEAR(G7)&amp;"-"&amp;MONTH(G7),59:59)</f>
        <v>0</v>
      </c>
      <c r="I7" s="412"/>
      <c r="J7" s="411">
        <f>SUMIF(58:58,YEAR(I7)&amp;"-"&amp;MONTH(I7),59:59)</f>
        <v>0</v>
      </c>
      <c r="K7" s="611"/>
      <c r="L7" s="1134"/>
      <c r="M7" s="1135"/>
      <c r="N7" s="1135"/>
      <c r="O7" s="1135"/>
      <c r="P7" s="3197" t="s">
        <v>2537</v>
      </c>
      <c r="Q7" s="3225"/>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2640</v>
      </c>
      <c r="D8" s="411">
        <v>100</v>
      </c>
      <c r="E8" s="414"/>
      <c r="F8" s="413">
        <f>SUMIF(61:61,E8,62:62)-SUMIF(61:61,C8,62:62)+100</f>
        <v>0</v>
      </c>
      <c r="G8" s="414"/>
      <c r="H8" s="411">
        <f>SUMIF(61:61,G8,62:62)-SUMIF(61:61,C8,62:62)+100</f>
        <v>0</v>
      </c>
      <c r="I8" s="414"/>
      <c r="J8" s="411">
        <f>SUMIF(61:61,I8,62:62)-SUMIF(61:61,C8,62:62)+100</f>
        <v>0</v>
      </c>
      <c r="K8" s="611"/>
      <c r="L8" s="1134"/>
      <c r="M8" s="1135"/>
      <c r="N8" s="1135"/>
      <c r="O8" s="1135"/>
      <c r="P8" s="3197" t="s">
        <v>2540</v>
      </c>
      <c r="Q8" s="3198"/>
      <c r="R8" s="770" t="s">
        <v>17</v>
      </c>
      <c r="S8" s="771">
        <f t="shared" si="0"/>
        <v>0</v>
      </c>
      <c r="T8" s="770" t="s">
        <v>17</v>
      </c>
      <c r="U8" s="771">
        <f t="shared" si="1"/>
        <v>0</v>
      </c>
      <c r="V8" s="770" t="s">
        <v>17</v>
      </c>
      <c r="W8" s="771">
        <f t="shared" si="2"/>
        <v>0</v>
      </c>
      <c r="X8" s="772"/>
      <c r="Y8" s="3197" t="s">
        <v>2540</v>
      </c>
      <c r="Z8" s="3198"/>
      <c r="AA8" s="773" t="e">
        <f t="shared" ref="AA8:AA46" si="3">D8/F8</f>
        <v>#DIV/0!</v>
      </c>
      <c r="AB8" s="773" t="e">
        <f t="shared" ref="AB8:AB46" si="4">D8/H8</f>
        <v>#DIV/0!</v>
      </c>
      <c r="AC8" s="773" t="e">
        <f t="shared" ref="AC8:AC46" si="5">D8/J8</f>
        <v>#DIV/0!</v>
      </c>
    </row>
    <row r="9" spans="1:29" s="117" customFormat="1">
      <c r="A9" s="415" t="s">
        <v>2541</v>
      </c>
      <c r="B9" s="71" t="s">
        <v>2542</v>
      </c>
      <c r="C9" s="416"/>
      <c r="D9" s="135">
        <v>100</v>
      </c>
      <c r="E9" s="417"/>
      <c r="F9" s="418">
        <f>SUMIF(63:63,E9,64:64)-SUMIF(63:63,C9,64:64)+100</f>
        <v>100</v>
      </c>
      <c r="G9" s="417"/>
      <c r="H9" s="135">
        <f>SUMIF(63:63,G9,64:64)-SUMIF(63:63,C9,64:64)+100</f>
        <v>100</v>
      </c>
      <c r="I9" s="417"/>
      <c r="J9" s="135">
        <f>SUMIF(63:63,I9,64:64)-SUMIF(63:63,C9,64:64)+100</f>
        <v>100</v>
      </c>
      <c r="K9" s="611"/>
      <c r="L9" s="1134"/>
      <c r="M9" s="1135"/>
      <c r="N9" s="1135"/>
      <c r="O9" s="1135"/>
      <c r="P9" s="3211" t="s">
        <v>2543</v>
      </c>
      <c r="Q9" s="1797" t="str">
        <f t="shared" ref="Q9:Q15" si="6">B9</f>
        <v>用途</v>
      </c>
      <c r="R9" s="770" t="s">
        <v>17</v>
      </c>
      <c r="S9" s="771">
        <f t="shared" si="0"/>
        <v>100</v>
      </c>
      <c r="T9" s="770" t="s">
        <v>17</v>
      </c>
      <c r="U9" s="771">
        <f t="shared" si="1"/>
        <v>100</v>
      </c>
      <c r="V9" s="770" t="s">
        <v>17</v>
      </c>
      <c r="W9" s="771">
        <f t="shared" si="2"/>
        <v>100</v>
      </c>
      <c r="X9" s="772"/>
      <c r="Y9" s="3024"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612"/>
      <c r="L10" s="1137"/>
      <c r="M10" s="1138"/>
      <c r="N10" s="1138"/>
      <c r="O10" s="1138"/>
      <c r="P10" s="3211"/>
      <c r="Q10" s="1797" t="str">
        <f t="shared" si="6"/>
        <v>土地使用年限（年）</v>
      </c>
      <c r="R10" s="770" t="s">
        <v>17</v>
      </c>
      <c r="S10" s="771">
        <f t="shared" si="0"/>
        <v>100</v>
      </c>
      <c r="T10" s="770" t="s">
        <v>17</v>
      </c>
      <c r="U10" s="771">
        <f t="shared" si="1"/>
        <v>100</v>
      </c>
      <c r="V10" s="770" t="s">
        <v>17</v>
      </c>
      <c r="W10" s="771">
        <f t="shared" si="2"/>
        <v>100</v>
      </c>
      <c r="X10" s="772"/>
      <c r="Y10" s="3024"/>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0"/>
      <c r="M11" s="1133"/>
      <c r="N11" s="1133"/>
      <c r="O11" s="1133"/>
      <c r="P11" s="3211"/>
      <c r="Q11" s="1797" t="str">
        <f t="shared" si="6"/>
        <v>容积率</v>
      </c>
      <c r="R11" s="770" t="s">
        <v>17</v>
      </c>
      <c r="S11" s="771" t="e">
        <f t="shared" si="0"/>
        <v>#N/A</v>
      </c>
      <c r="T11" s="770" t="s">
        <v>17</v>
      </c>
      <c r="U11" s="771" t="e">
        <f t="shared" si="1"/>
        <v>#N/A</v>
      </c>
      <c r="V11" s="770" t="s">
        <v>17</v>
      </c>
      <c r="W11" s="771" t="e">
        <f t="shared" si="2"/>
        <v>#N/A</v>
      </c>
      <c r="X11" s="772"/>
      <c r="Y11" s="3024"/>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425">
        <f>SUMIF(70:70,E12,71:71)-SUMIF(70:70,C12,71:71)+100</f>
        <v>100</v>
      </c>
      <c r="G12" s="434"/>
      <c r="H12" s="136">
        <f>SUMIF(70:70,G12,71:71)-SUMIF(70:70,C12,71:71)+100</f>
        <v>100</v>
      </c>
      <c r="I12" s="434"/>
      <c r="J12" s="136">
        <f>SUMIF(70:70,I12,71:71)-SUMIF(70:70,C12,71:71)+100</f>
        <v>100</v>
      </c>
      <c r="K12" s="613"/>
      <c r="L12" s="1134"/>
      <c r="M12" s="1135"/>
      <c r="N12" s="1135"/>
      <c r="O12" s="1135"/>
      <c r="P12" s="3211"/>
      <c r="Q12" s="1797">
        <f t="shared" si="6"/>
        <v>111</v>
      </c>
      <c r="R12" s="770" t="s">
        <v>17</v>
      </c>
      <c r="S12" s="771">
        <f t="shared" si="0"/>
        <v>100</v>
      </c>
      <c r="T12" s="770" t="s">
        <v>17</v>
      </c>
      <c r="U12" s="771">
        <f t="shared" si="1"/>
        <v>100</v>
      </c>
      <c r="V12" s="770" t="s">
        <v>17</v>
      </c>
      <c r="W12" s="771">
        <f t="shared" si="2"/>
        <v>100</v>
      </c>
      <c r="X12" s="772"/>
      <c r="Y12" s="3024"/>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613"/>
      <c r="L13" s="1142"/>
      <c r="M13" s="1133"/>
      <c r="N13" s="1133"/>
      <c r="O13" s="1133"/>
      <c r="P13" s="3211"/>
      <c r="Q13" s="1797">
        <f t="shared" si="6"/>
        <v>111</v>
      </c>
      <c r="R13" s="770" t="s">
        <v>17</v>
      </c>
      <c r="S13" s="771">
        <f t="shared" si="0"/>
        <v>100</v>
      </c>
      <c r="T13" s="770" t="s">
        <v>17</v>
      </c>
      <c r="U13" s="771">
        <f t="shared" si="1"/>
        <v>100</v>
      </c>
      <c r="V13" s="770" t="s">
        <v>17</v>
      </c>
      <c r="W13" s="771">
        <f t="shared" si="2"/>
        <v>100</v>
      </c>
      <c r="X13" s="772"/>
      <c r="Y13" s="3024"/>
      <c r="Z13" s="55">
        <f t="shared" si="7"/>
        <v>111</v>
      </c>
      <c r="AA13" s="773">
        <f t="shared" si="3"/>
        <v>1</v>
      </c>
      <c r="AB13" s="773">
        <f t="shared" si="4"/>
        <v>1</v>
      </c>
      <c r="AC13" s="773">
        <f t="shared" si="5"/>
        <v>1</v>
      </c>
    </row>
    <row r="14" spans="1:29" ht="15.75" thickBot="1">
      <c r="A14" s="436"/>
      <c r="B14" s="2598">
        <v>111</v>
      </c>
      <c r="C14" s="437"/>
      <c r="D14" s="438">
        <v>100</v>
      </c>
      <c r="E14" s="434"/>
      <c r="F14" s="439">
        <f>SUMIF(74:74,E14,75:75)-SUMIF(74:74,C14,75:75)+100</f>
        <v>100</v>
      </c>
      <c r="G14" s="434"/>
      <c r="H14" s="438">
        <f>SUMIF(74:74,G14,75:75)-SUMIF(74:74,C14,75:75)+100</f>
        <v>100</v>
      </c>
      <c r="I14" s="434"/>
      <c r="J14" s="438">
        <f>SUMIF(74:74,I14,75:75)-SUMIF(74:74,C14,75:75)+100</f>
        <v>100</v>
      </c>
      <c r="K14" s="613"/>
      <c r="L14" s="1142"/>
      <c r="M14" s="1133"/>
      <c r="N14" s="1133"/>
      <c r="O14" s="1133"/>
      <c r="P14" s="3211"/>
      <c r="Q14" s="1797">
        <f t="shared" si="6"/>
        <v>111</v>
      </c>
      <c r="R14" s="770" t="s">
        <v>17</v>
      </c>
      <c r="S14" s="771">
        <f t="shared" si="0"/>
        <v>100</v>
      </c>
      <c r="T14" s="770" t="s">
        <v>17</v>
      </c>
      <c r="U14" s="771">
        <f t="shared" si="1"/>
        <v>100</v>
      </c>
      <c r="V14" s="770" t="s">
        <v>17</v>
      </c>
      <c r="W14" s="771">
        <f t="shared" si="2"/>
        <v>100</v>
      </c>
      <c r="X14" s="772"/>
      <c r="Y14" s="3024"/>
      <c r="Z14" s="55">
        <f t="shared" si="7"/>
        <v>111</v>
      </c>
      <c r="AA14" s="773">
        <f t="shared" si="3"/>
        <v>1</v>
      </c>
      <c r="AB14" s="773">
        <f t="shared" si="4"/>
        <v>1</v>
      </c>
      <c r="AC14" s="773">
        <f t="shared" si="5"/>
        <v>1</v>
      </c>
    </row>
    <row r="15" spans="1:29" ht="15">
      <c r="A15" s="440" t="s">
        <v>2547</v>
      </c>
      <c r="B15" s="69" t="s">
        <v>2641</v>
      </c>
      <c r="C15" s="2599">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2"/>
      <c r="M15" s="1133"/>
      <c r="N15" s="1133"/>
      <c r="O15" s="1133"/>
      <c r="P15" s="3238" t="s">
        <v>2548</v>
      </c>
      <c r="Q15" s="1812" t="str">
        <f t="shared" si="6"/>
        <v>商业繁华度</v>
      </c>
      <c r="R15" s="774" t="s">
        <v>17</v>
      </c>
      <c r="S15" s="775">
        <f t="shared" si="0"/>
        <v>100</v>
      </c>
      <c r="T15" s="774" t="s">
        <v>17</v>
      </c>
      <c r="U15" s="775">
        <f t="shared" si="1"/>
        <v>100</v>
      </c>
      <c r="V15" s="774" t="s">
        <v>17</v>
      </c>
      <c r="W15" s="775">
        <f t="shared" si="2"/>
        <v>100</v>
      </c>
      <c r="X15" s="1815"/>
      <c r="Y15" s="3231" t="s">
        <v>2548</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2"/>
      <c r="M16" s="1133"/>
      <c r="N16" s="1133"/>
      <c r="O16" s="1133"/>
      <c r="P16" s="3239"/>
      <c r="Q16" s="1812"/>
      <c r="R16" s="774"/>
      <c r="S16" s="775"/>
      <c r="T16" s="774"/>
      <c r="U16" s="775"/>
      <c r="V16" s="774"/>
      <c r="W16" s="775"/>
      <c r="X16" s="1815"/>
      <c r="Y16" s="3232"/>
      <c r="Z16" s="1816"/>
      <c r="AA16" s="1813">
        <v>1</v>
      </c>
      <c r="AB16" s="1813">
        <v>1</v>
      </c>
      <c r="AC16" s="1813">
        <v>1</v>
      </c>
    </row>
    <row r="17" spans="1:29" ht="15">
      <c r="A17" s="428"/>
      <c r="B17" s="451" t="s">
        <v>2089</v>
      </c>
      <c r="C17" s="2603">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2"/>
      <c r="M17" s="1133"/>
      <c r="N17" s="1133"/>
      <c r="O17" s="1133"/>
      <c r="P17" s="3239"/>
      <c r="Q17" s="1812" t="str">
        <f>B17</f>
        <v>交通便捷度</v>
      </c>
      <c r="R17" s="774" t="s">
        <v>17</v>
      </c>
      <c r="S17" s="775">
        <f>F17</f>
        <v>100</v>
      </c>
      <c r="T17" s="774" t="s">
        <v>17</v>
      </c>
      <c r="U17" s="775">
        <f>H17</f>
        <v>100</v>
      </c>
      <c r="V17" s="774" t="s">
        <v>17</v>
      </c>
      <c r="W17" s="775">
        <f>J17</f>
        <v>100</v>
      </c>
      <c r="X17" s="1815"/>
      <c r="Y17" s="3232"/>
      <c r="Z17" s="1816" t="str">
        <f>Q17</f>
        <v>交通便捷度</v>
      </c>
      <c r="AA17" s="1813">
        <f t="shared" si="3"/>
        <v>1</v>
      </c>
      <c r="AB17" s="1813">
        <f t="shared" si="4"/>
        <v>1</v>
      </c>
      <c r="AC17" s="1813">
        <f t="shared" si="5"/>
        <v>1</v>
      </c>
    </row>
    <row r="18" spans="1:29" ht="15">
      <c r="A18" s="428"/>
      <c r="B18" s="456"/>
      <c r="C18" s="2604"/>
      <c r="D18" s="450"/>
      <c r="E18" s="2606"/>
      <c r="F18" s="453"/>
      <c r="G18" s="2605"/>
      <c r="H18" s="448"/>
      <c r="I18" s="2606"/>
      <c r="J18" s="448"/>
      <c r="K18" s="615"/>
      <c r="L18" s="1142"/>
      <c r="M18" s="1133"/>
      <c r="N18" s="1133"/>
      <c r="O18" s="1133"/>
      <c r="P18" s="3239"/>
      <c r="Q18" s="1812"/>
      <c r="R18" s="774"/>
      <c r="S18" s="775"/>
      <c r="T18" s="774"/>
      <c r="U18" s="775"/>
      <c r="V18" s="774"/>
      <c r="W18" s="775"/>
      <c r="X18" s="1815"/>
      <c r="Y18" s="3232"/>
      <c r="Z18" s="1816"/>
      <c r="AA18" s="1813">
        <v>1</v>
      </c>
      <c r="AB18" s="1813">
        <v>1</v>
      </c>
      <c r="AC18" s="1813">
        <v>1</v>
      </c>
    </row>
    <row r="19" spans="1:29" ht="15">
      <c r="A19" s="428"/>
      <c r="B19" s="451" t="s">
        <v>2642</v>
      </c>
      <c r="C19" s="2603">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2"/>
      <c r="M19" s="1133"/>
      <c r="N19" s="1133"/>
      <c r="O19" s="1133"/>
      <c r="P19" s="3239"/>
      <c r="Q19" s="1812" t="str">
        <f>B19</f>
        <v>公共配套设施</v>
      </c>
      <c r="R19" s="774" t="s">
        <v>17</v>
      </c>
      <c r="S19" s="775">
        <f>F19</f>
        <v>100</v>
      </c>
      <c r="T19" s="774" t="s">
        <v>17</v>
      </c>
      <c r="U19" s="775">
        <f>H19</f>
        <v>100</v>
      </c>
      <c r="V19" s="774" t="s">
        <v>17</v>
      </c>
      <c r="W19" s="775">
        <f>J19</f>
        <v>100</v>
      </c>
      <c r="X19" s="1815"/>
      <c r="Y19" s="3232"/>
      <c r="Z19" s="1816" t="str">
        <f>Q19</f>
        <v>公共配套设施</v>
      </c>
      <c r="AA19" s="1813">
        <f t="shared" si="3"/>
        <v>1</v>
      </c>
      <c r="AB19" s="1813">
        <f t="shared" si="4"/>
        <v>1</v>
      </c>
      <c r="AC19" s="1813">
        <f t="shared" si="5"/>
        <v>1</v>
      </c>
    </row>
    <row r="20" spans="1:29" ht="15">
      <c r="A20" s="428"/>
      <c r="B20" s="456"/>
      <c r="C20" s="447"/>
      <c r="D20" s="448"/>
      <c r="E20" s="2601"/>
      <c r="F20" s="449"/>
      <c r="G20" s="2600"/>
      <c r="H20" s="448"/>
      <c r="I20" s="2601"/>
      <c r="J20" s="448"/>
      <c r="K20" s="615"/>
      <c r="L20" s="1142"/>
      <c r="M20" s="1133"/>
      <c r="N20" s="1133"/>
      <c r="O20" s="1133"/>
      <c r="P20" s="3239"/>
      <c r="Q20" s="1812"/>
      <c r="R20" s="774"/>
      <c r="S20" s="775"/>
      <c r="T20" s="774"/>
      <c r="U20" s="775"/>
      <c r="V20" s="774"/>
      <c r="W20" s="775"/>
      <c r="X20" s="1815"/>
      <c r="Y20" s="3232"/>
      <c r="Z20" s="1816"/>
      <c r="AA20" s="1813">
        <v>1</v>
      </c>
      <c r="AB20" s="1813">
        <v>1</v>
      </c>
      <c r="AC20" s="1813">
        <v>1</v>
      </c>
    </row>
    <row r="21" spans="1:29" ht="15">
      <c r="A21" s="428"/>
      <c r="B21" s="1386" t="s">
        <v>2643</v>
      </c>
      <c r="C21" s="2603">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2"/>
      <c r="M21" s="1133"/>
      <c r="N21" s="1133"/>
      <c r="O21" s="1133"/>
      <c r="P21" s="3239"/>
      <c r="Q21" s="1812" t="str">
        <f>B21</f>
        <v>基础设施水平</v>
      </c>
      <c r="R21" s="774" t="s">
        <v>17</v>
      </c>
      <c r="S21" s="775">
        <f>F21</f>
        <v>100</v>
      </c>
      <c r="T21" s="774" t="s">
        <v>17</v>
      </c>
      <c r="U21" s="775">
        <f>H21</f>
        <v>100</v>
      </c>
      <c r="V21" s="774" t="s">
        <v>17</v>
      </c>
      <c r="W21" s="775">
        <f>J21</f>
        <v>100</v>
      </c>
      <c r="X21" s="1815"/>
      <c r="Y21" s="3232"/>
      <c r="Z21" s="1816" t="str">
        <f>Q21</f>
        <v>基础设施水平</v>
      </c>
      <c r="AA21" s="1813">
        <f t="shared" ref="AA21" si="8">D21/F21</f>
        <v>1</v>
      </c>
      <c r="AB21" s="1813">
        <f t="shared" ref="AB21" si="9">D21/H21</f>
        <v>1</v>
      </c>
      <c r="AC21" s="1813">
        <f t="shared" ref="AC21" si="10">D21/J21</f>
        <v>1</v>
      </c>
    </row>
    <row r="22" spans="1:29" ht="15">
      <c r="A22" s="428"/>
      <c r="B22" s="1386"/>
      <c r="C22" s="2604"/>
      <c r="D22" s="448"/>
      <c r="E22" s="447"/>
      <c r="F22" s="449"/>
      <c r="G22" s="447"/>
      <c r="H22" s="448"/>
      <c r="I22" s="447"/>
      <c r="J22" s="448"/>
      <c r="K22" s="1385"/>
      <c r="L22" s="1142"/>
      <c r="M22" s="1133"/>
      <c r="N22" s="1133"/>
      <c r="O22" s="1133"/>
      <c r="P22" s="3239"/>
      <c r="Q22" s="1812"/>
      <c r="R22" s="774"/>
      <c r="S22" s="775"/>
      <c r="T22" s="774"/>
      <c r="U22" s="775"/>
      <c r="V22" s="774"/>
      <c r="W22" s="775"/>
      <c r="X22" s="1815"/>
      <c r="Y22" s="3232"/>
      <c r="Z22" s="1816"/>
      <c r="AA22" s="1813">
        <v>1</v>
      </c>
      <c r="AB22" s="1813">
        <v>1</v>
      </c>
      <c r="AC22" s="1813">
        <v>1</v>
      </c>
    </row>
    <row r="23" spans="1:29" ht="15">
      <c r="A23" s="428"/>
      <c r="B23" s="451" t="s">
        <v>2092</v>
      </c>
      <c r="C23" s="2660">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2"/>
      <c r="M23" s="1133"/>
      <c r="N23" s="1133"/>
      <c r="O23" s="1133"/>
      <c r="P23" s="3239"/>
      <c r="Q23" s="1812" t="str">
        <f>B23</f>
        <v>自然及人文环境</v>
      </c>
      <c r="R23" s="774" t="s">
        <v>17</v>
      </c>
      <c r="S23" s="775">
        <f>F23</f>
        <v>100</v>
      </c>
      <c r="T23" s="774" t="s">
        <v>17</v>
      </c>
      <c r="U23" s="775">
        <f>H23</f>
        <v>100</v>
      </c>
      <c r="V23" s="774" t="s">
        <v>17</v>
      </c>
      <c r="W23" s="775">
        <f>J23</f>
        <v>100</v>
      </c>
      <c r="X23" s="1815"/>
      <c r="Y23" s="3232"/>
      <c r="Z23" s="1816" t="str">
        <f>Q23</f>
        <v>自然及人文环境</v>
      </c>
      <c r="AA23" s="1813">
        <f t="shared" si="3"/>
        <v>1</v>
      </c>
      <c r="AB23" s="1813">
        <f t="shared" si="4"/>
        <v>1</v>
      </c>
      <c r="AC23" s="1813">
        <f t="shared" si="5"/>
        <v>1</v>
      </c>
    </row>
    <row r="24" spans="1:29" ht="15">
      <c r="A24" s="428"/>
      <c r="B24" s="456"/>
      <c r="C24" s="447"/>
      <c r="D24" s="448"/>
      <c r="E24" s="2601"/>
      <c r="F24" s="449"/>
      <c r="G24" s="2600"/>
      <c r="H24" s="448"/>
      <c r="I24" s="2601"/>
      <c r="J24" s="448"/>
      <c r="K24" s="615"/>
      <c r="L24" s="1142"/>
      <c r="M24" s="1133"/>
      <c r="N24" s="1133"/>
      <c r="O24" s="1133"/>
      <c r="P24" s="3239"/>
      <c r="Q24" s="1812"/>
      <c r="R24" s="774"/>
      <c r="S24" s="775"/>
      <c r="T24" s="774"/>
      <c r="U24" s="775"/>
      <c r="V24" s="774"/>
      <c r="W24" s="775"/>
      <c r="X24" s="1815"/>
      <c r="Y24" s="3232"/>
      <c r="Z24" s="1816"/>
      <c r="AA24" s="1813">
        <v>1</v>
      </c>
      <c r="AB24" s="1813">
        <v>1</v>
      </c>
      <c r="AC24" s="1813">
        <v>1</v>
      </c>
    </row>
    <row r="25" spans="1:29" ht="15">
      <c r="A25" s="428"/>
      <c r="B25" s="422" t="s">
        <v>2644</v>
      </c>
      <c r="C25" s="616"/>
      <c r="D25" s="435">
        <v>100</v>
      </c>
      <c r="E25" s="616"/>
      <c r="F25" s="461">
        <f>SUMIF(86:86,E25,87:87)-SUMIF(86:86,C25,87:87)+100</f>
        <v>100</v>
      </c>
      <c r="G25" s="616"/>
      <c r="H25" s="435">
        <f>SUMIF(86:86,G25,87:87)-SUMIF(86:86,C25,87:87)+100</f>
        <v>100</v>
      </c>
      <c r="I25" s="616"/>
      <c r="J25" s="435">
        <f>SUMIF(86:86,I25,87:87)-SUMIF(86:86,C25,87:87)+100</f>
        <v>100</v>
      </c>
      <c r="K25" s="612"/>
      <c r="L25" s="1142"/>
      <c r="M25" s="1133"/>
      <c r="N25" s="1133"/>
      <c r="O25" s="1133"/>
      <c r="P25" s="3239"/>
      <c r="Q25" s="1812" t="str">
        <f t="shared" ref="Q25:Q46" si="11">B25</f>
        <v>临街状况</v>
      </c>
      <c r="R25" s="774" t="s">
        <v>17</v>
      </c>
      <c r="S25" s="775">
        <f>F25</f>
        <v>100</v>
      </c>
      <c r="T25" s="774" t="s">
        <v>17</v>
      </c>
      <c r="U25" s="775">
        <f>H25</f>
        <v>100</v>
      </c>
      <c r="V25" s="774" t="s">
        <v>17</v>
      </c>
      <c r="W25" s="775">
        <f>J25</f>
        <v>100</v>
      </c>
      <c r="X25" s="1815"/>
      <c r="Y25" s="3232"/>
      <c r="Z25" s="1816" t="str">
        <f>Q25</f>
        <v>临街状况</v>
      </c>
      <c r="AA25" s="1813">
        <f t="shared" si="3"/>
        <v>1</v>
      </c>
      <c r="AB25" s="1813">
        <f t="shared" si="4"/>
        <v>1</v>
      </c>
      <c r="AC25" s="1813">
        <f t="shared" si="5"/>
        <v>1</v>
      </c>
    </row>
    <row r="26" spans="1:29" ht="15">
      <c r="A26" s="428"/>
      <c r="B26" s="1388" t="s">
        <v>2645</v>
      </c>
      <c r="C26" s="434"/>
      <c r="D26" s="435">
        <v>100</v>
      </c>
      <c r="E26" s="434"/>
      <c r="F26" s="461">
        <f>SUMIF(88:88,E26,89:89)-SUMIF(88:88,C26,89:89)+100</f>
        <v>100</v>
      </c>
      <c r="G26" s="434"/>
      <c r="H26" s="435">
        <f>SUMIF(88:88,G26,89:89)-SUMIF(88:88,C26,89:89)+100</f>
        <v>100</v>
      </c>
      <c r="I26" s="434"/>
      <c r="J26" s="435">
        <f>SUMIF(88:88,I26,89:89)-SUMIF(88:88,C26,89:89)+100</f>
        <v>100</v>
      </c>
      <c r="K26" s="613"/>
      <c r="L26" s="1142"/>
      <c r="M26" s="1133"/>
      <c r="N26" s="1133"/>
      <c r="O26" s="1133"/>
      <c r="P26" s="3239"/>
      <c r="Q26" s="1812" t="str">
        <f t="shared" si="11"/>
        <v>平面位置/可视性</v>
      </c>
      <c r="R26" s="774" t="s">
        <v>17</v>
      </c>
      <c r="S26" s="775">
        <f>F26</f>
        <v>100</v>
      </c>
      <c r="T26" s="774" t="s">
        <v>17</v>
      </c>
      <c r="U26" s="775">
        <f>H26</f>
        <v>100</v>
      </c>
      <c r="V26" s="774" t="s">
        <v>17</v>
      </c>
      <c r="W26" s="775">
        <f>J26</f>
        <v>100</v>
      </c>
      <c r="X26" s="1815"/>
      <c r="Y26" s="3232"/>
      <c r="Z26" s="1816" t="str">
        <f>Q26</f>
        <v>平面位置/可视性</v>
      </c>
      <c r="AA26" s="1813">
        <f t="shared" si="3"/>
        <v>1</v>
      </c>
      <c r="AB26" s="1813">
        <f t="shared" si="4"/>
        <v>1</v>
      </c>
      <c r="AC26" s="1813">
        <f t="shared" si="5"/>
        <v>1</v>
      </c>
    </row>
    <row r="27" spans="1:29" s="117" customFormat="1" ht="15">
      <c r="A27" s="431"/>
      <c r="B27" s="451" t="s">
        <v>2646</v>
      </c>
      <c r="C27" s="2661"/>
      <c r="D27" s="462">
        <v>100</v>
      </c>
      <c r="E27" s="2661"/>
      <c r="F27" s="464">
        <f>SUMIF(90:90,E27,91:91)-SUMIF(90:90,C27,91:91)+100</f>
        <v>100</v>
      </c>
      <c r="G27" s="2661"/>
      <c r="H27" s="462">
        <f>SUMIF(90:90,G27,91:91)-SUMIF(90:90,C27,91:91)+100</f>
        <v>100</v>
      </c>
      <c r="I27" s="2661"/>
      <c r="J27" s="462">
        <f>SUMIF(90:90,I27,91:91)-SUMIF(90:90,C27,91:91)+100</f>
        <v>100</v>
      </c>
      <c r="K27" s="612"/>
      <c r="L27" s="1134"/>
      <c r="M27" s="1135"/>
      <c r="N27" s="1135"/>
      <c r="O27" s="1135"/>
      <c r="P27" s="3239"/>
      <c r="Q27" s="1797" t="str">
        <f t="shared" si="11"/>
        <v>人流量</v>
      </c>
      <c r="R27" s="770" t="s">
        <v>17</v>
      </c>
      <c r="S27" s="771">
        <f>F27</f>
        <v>100</v>
      </c>
      <c r="T27" s="770" t="s">
        <v>17</v>
      </c>
      <c r="U27" s="771">
        <f>H27</f>
        <v>100</v>
      </c>
      <c r="V27" s="770" t="s">
        <v>17</v>
      </c>
      <c r="W27" s="771">
        <f>J27</f>
        <v>100</v>
      </c>
      <c r="X27" s="772"/>
      <c r="Y27" s="3232"/>
      <c r="Z27" s="55" t="str">
        <f>Q27</f>
        <v>人流量</v>
      </c>
      <c r="AA27" s="1813">
        <f>D27/F27</f>
        <v>1</v>
      </c>
      <c r="AB27" s="1813">
        <f>D27/H27</f>
        <v>1</v>
      </c>
      <c r="AC27" s="1813">
        <f>D27/J27</f>
        <v>1</v>
      </c>
    </row>
    <row r="28" spans="1:29" ht="15">
      <c r="A28" s="428"/>
      <c r="B28" s="422" t="s">
        <v>2647</v>
      </c>
      <c r="C28" s="616"/>
      <c r="D28" s="435">
        <v>100</v>
      </c>
      <c r="E28" s="616"/>
      <c r="F28" s="461">
        <f>SUMIF(92:92,E28,93:93)-SUMIF(92:92,C28,93:93)+100</f>
        <v>100</v>
      </c>
      <c r="G28" s="616"/>
      <c r="H28" s="435">
        <f>SUMIF(92:92,G28,93:93)-SUMIF(92:92,C28,93:93)+100</f>
        <v>100</v>
      </c>
      <c r="I28" s="616"/>
      <c r="J28" s="435">
        <f>SUMIF(92:92,I28,93:93)-SUMIF(92:92,C28,93:93)+100</f>
        <v>100</v>
      </c>
      <c r="K28" s="613"/>
      <c r="L28" s="1142"/>
      <c r="M28" s="1133"/>
      <c r="N28" s="1133"/>
      <c r="O28" s="1133"/>
      <c r="P28" s="3239"/>
      <c r="Q28" s="1812" t="str">
        <f t="shared" si="11"/>
        <v>楼层</v>
      </c>
      <c r="R28" s="774" t="s">
        <v>17</v>
      </c>
      <c r="S28" s="775">
        <f t="shared" ref="S28:S46" si="12">F28</f>
        <v>100</v>
      </c>
      <c r="T28" s="774" t="s">
        <v>17</v>
      </c>
      <c r="U28" s="775">
        <f t="shared" ref="U28:U46" si="13">H28</f>
        <v>100</v>
      </c>
      <c r="V28" s="774" t="s">
        <v>17</v>
      </c>
      <c r="W28" s="775">
        <f t="shared" ref="W28:W46" si="14">J28</f>
        <v>100</v>
      </c>
      <c r="X28" s="1815"/>
      <c r="Y28" s="3232"/>
      <c r="Z28" s="1816" t="str">
        <f t="shared" ref="Z28:Z46" si="15">Q28</f>
        <v>楼层</v>
      </c>
      <c r="AA28" s="1813">
        <f t="shared" si="3"/>
        <v>1</v>
      </c>
      <c r="AB28" s="1813">
        <f t="shared" si="4"/>
        <v>1</v>
      </c>
      <c r="AC28" s="1813">
        <f t="shared" si="5"/>
        <v>1</v>
      </c>
    </row>
    <row r="29" spans="1:29" ht="15">
      <c r="A29" s="428"/>
      <c r="B29" s="1388">
        <v>111</v>
      </c>
      <c r="C29" s="434"/>
      <c r="D29" s="435">
        <v>100</v>
      </c>
      <c r="E29" s="434"/>
      <c r="F29" s="461">
        <f>SUMIF(94:94,E29,95:95)-SUMIF(94:94,C29,95:95)+100</f>
        <v>100</v>
      </c>
      <c r="G29" s="434"/>
      <c r="H29" s="435">
        <f>SUMIF(94:94,G29,95:95)-SUMIF(94:94,C29,95:95)+100</f>
        <v>100</v>
      </c>
      <c r="I29" s="434"/>
      <c r="J29" s="435">
        <f>SUMIF(94:94,I29,95:95)-SUMIF(94:94,C29,95:95)+100</f>
        <v>100</v>
      </c>
      <c r="K29" s="613"/>
      <c r="L29" s="1142"/>
      <c r="M29" s="1133"/>
      <c r="N29" s="1133"/>
      <c r="O29" s="1133"/>
      <c r="P29" s="3239"/>
      <c r="Q29" s="1812">
        <f t="shared" si="11"/>
        <v>111</v>
      </c>
      <c r="R29" s="774" t="s">
        <v>17</v>
      </c>
      <c r="S29" s="775">
        <f t="shared" si="12"/>
        <v>100</v>
      </c>
      <c r="T29" s="774" t="s">
        <v>17</v>
      </c>
      <c r="U29" s="775">
        <f t="shared" si="13"/>
        <v>100</v>
      </c>
      <c r="V29" s="774" t="s">
        <v>17</v>
      </c>
      <c r="W29" s="775">
        <f t="shared" si="14"/>
        <v>100</v>
      </c>
      <c r="X29" s="1815"/>
      <c r="Y29" s="3232"/>
      <c r="Z29" s="1816">
        <f t="shared" si="15"/>
        <v>111</v>
      </c>
      <c r="AA29" s="1813">
        <f t="shared" si="3"/>
        <v>1</v>
      </c>
      <c r="AB29" s="1813">
        <f t="shared" si="4"/>
        <v>1</v>
      </c>
      <c r="AC29" s="1813">
        <f t="shared" si="5"/>
        <v>1</v>
      </c>
    </row>
    <row r="30" spans="1:29" ht="15">
      <c r="A30" s="428"/>
      <c r="B30" s="1388">
        <v>111</v>
      </c>
      <c r="C30" s="434"/>
      <c r="D30" s="435">
        <v>100</v>
      </c>
      <c r="E30" s="434"/>
      <c r="F30" s="461">
        <f>SUMIF(96:96,E30,97:97)-SUMIF(96:96,C30,97:97)+100</f>
        <v>100</v>
      </c>
      <c r="G30" s="434"/>
      <c r="H30" s="435">
        <f>SUMIF(96:96,G30,97:97)-SUMIF(96:96,C30,97:97)+100</f>
        <v>100</v>
      </c>
      <c r="I30" s="434"/>
      <c r="J30" s="435">
        <f>SUMIF(96:96,I30,97:97)-SUMIF(96:96,C30,97:97)+100</f>
        <v>100</v>
      </c>
      <c r="K30" s="613"/>
      <c r="L30" s="1142"/>
      <c r="M30" s="1133"/>
      <c r="N30" s="1133"/>
      <c r="O30" s="1133"/>
      <c r="P30" s="3239"/>
      <c r="Q30" s="1812">
        <f t="shared" si="11"/>
        <v>111</v>
      </c>
      <c r="R30" s="774" t="s">
        <v>17</v>
      </c>
      <c r="S30" s="775">
        <f t="shared" si="12"/>
        <v>100</v>
      </c>
      <c r="T30" s="774" t="s">
        <v>17</v>
      </c>
      <c r="U30" s="775">
        <f t="shared" si="13"/>
        <v>100</v>
      </c>
      <c r="V30" s="774" t="s">
        <v>17</v>
      </c>
      <c r="W30" s="775">
        <f t="shared" si="14"/>
        <v>100</v>
      </c>
      <c r="X30" s="1815"/>
      <c r="Y30" s="3232"/>
      <c r="Z30" s="1816">
        <f t="shared" si="15"/>
        <v>111</v>
      </c>
      <c r="AA30" s="1813">
        <f t="shared" si="3"/>
        <v>1</v>
      </c>
      <c r="AB30" s="1813">
        <f t="shared" si="4"/>
        <v>1</v>
      </c>
      <c r="AC30" s="1813">
        <f t="shared" si="5"/>
        <v>1</v>
      </c>
    </row>
    <row r="31" spans="1:29" ht="15.75" thickBot="1">
      <c r="A31" s="436"/>
      <c r="B31" s="1388">
        <v>111</v>
      </c>
      <c r="C31" s="437"/>
      <c r="D31" s="438">
        <v>100</v>
      </c>
      <c r="E31" s="434"/>
      <c r="F31" s="439">
        <f>SUMIF(98:98,E31,99:99)-SUMIF(98:98,C31,99:99)+100</f>
        <v>100</v>
      </c>
      <c r="G31" s="434"/>
      <c r="H31" s="438">
        <f>SUMIF(98:98,G31,99:99)-SUMIF(98:98,C31,99:99)+100</f>
        <v>100</v>
      </c>
      <c r="I31" s="434"/>
      <c r="J31" s="438">
        <f>SUMIF(98:98,I31,99:99)-SUMIF(98:98,C31,99:99)+100</f>
        <v>100</v>
      </c>
      <c r="K31" s="613"/>
      <c r="L31" s="1142"/>
      <c r="M31" s="1133"/>
      <c r="N31" s="1133"/>
      <c r="O31" s="1133"/>
      <c r="P31" s="3239"/>
      <c r="Q31" s="1812">
        <f t="shared" si="11"/>
        <v>111</v>
      </c>
      <c r="R31" s="774" t="s">
        <v>17</v>
      </c>
      <c r="S31" s="775">
        <f t="shared" si="12"/>
        <v>100</v>
      </c>
      <c r="T31" s="774" t="s">
        <v>17</v>
      </c>
      <c r="U31" s="775">
        <f t="shared" si="13"/>
        <v>100</v>
      </c>
      <c r="V31" s="774" t="s">
        <v>17</v>
      </c>
      <c r="W31" s="775">
        <f t="shared" si="14"/>
        <v>100</v>
      </c>
      <c r="X31" s="1815"/>
      <c r="Y31" s="3232"/>
      <c r="Z31" s="1816">
        <f t="shared" si="15"/>
        <v>111</v>
      </c>
      <c r="AA31" s="1813">
        <f t="shared" si="3"/>
        <v>1</v>
      </c>
      <c r="AB31" s="1813">
        <f t="shared" si="4"/>
        <v>1</v>
      </c>
      <c r="AC31" s="1813">
        <f t="shared" si="5"/>
        <v>1</v>
      </c>
    </row>
    <row r="32" spans="1:29" ht="15">
      <c r="A32" s="440" t="s">
        <v>2551</v>
      </c>
      <c r="B32" s="71" t="s">
        <v>2648</v>
      </c>
      <c r="C32" s="2613"/>
      <c r="D32" s="467">
        <v>100</v>
      </c>
      <c r="E32" s="2613"/>
      <c r="F32" s="461">
        <f>SUMIF(100:100,E32,101:101)-SUMIF(100:100,C32,101:101)+100</f>
        <v>100</v>
      </c>
      <c r="G32" s="2613"/>
      <c r="H32" s="435">
        <f>SUMIF(100:100,G32,101:101)-SUMIF(100:100,C32,101:101)+100</f>
        <v>100</v>
      </c>
      <c r="I32" s="2613"/>
      <c r="J32" s="467">
        <f>SUMIF(100:100,I32,101:101)-SUMIF(100:100,C32,101:101)+100</f>
        <v>100</v>
      </c>
      <c r="K32" s="612"/>
      <c r="L32" s="1142"/>
      <c r="M32" s="1133"/>
      <c r="N32" s="1133"/>
      <c r="O32" s="1133"/>
      <c r="P32" s="3233" t="s">
        <v>2553</v>
      </c>
      <c r="Q32" s="1812" t="str">
        <f t="shared" si="11"/>
        <v>商业类型</v>
      </c>
      <c r="R32" s="774" t="s">
        <v>17</v>
      </c>
      <c r="S32" s="775">
        <f t="shared" si="12"/>
        <v>100</v>
      </c>
      <c r="T32" s="774" t="s">
        <v>17</v>
      </c>
      <c r="U32" s="775">
        <f t="shared" si="13"/>
        <v>100</v>
      </c>
      <c r="V32" s="774" t="s">
        <v>17</v>
      </c>
      <c r="W32" s="775">
        <f t="shared" si="14"/>
        <v>100</v>
      </c>
      <c r="X32" s="1815"/>
      <c r="Y32" s="3236" t="s">
        <v>2553</v>
      </c>
      <c r="Z32" s="1816" t="str">
        <f t="shared" si="15"/>
        <v>商业类型</v>
      </c>
      <c r="AA32" s="1813">
        <f t="shared" si="3"/>
        <v>1</v>
      </c>
      <c r="AB32" s="1813">
        <f t="shared" si="4"/>
        <v>1</v>
      </c>
      <c r="AC32" s="1813">
        <f t="shared" si="5"/>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0"/>
      <c r="M33" s="1143"/>
      <c r="N33" s="1143"/>
      <c r="O33" s="1143"/>
      <c r="P33" s="3234"/>
      <c r="Q33" s="776" t="str">
        <f t="shared" si="11"/>
        <v>项目建筑规模</v>
      </c>
      <c r="R33" s="777" t="s">
        <v>17</v>
      </c>
      <c r="S33" s="778" t="e">
        <f t="shared" si="12"/>
        <v>#N/A</v>
      </c>
      <c r="T33" s="777" t="s">
        <v>17</v>
      </c>
      <c r="U33" s="778" t="e">
        <f t="shared" si="13"/>
        <v>#N/A</v>
      </c>
      <c r="V33" s="777" t="s">
        <v>17</v>
      </c>
      <c r="W33" s="778" t="e">
        <f t="shared" si="14"/>
        <v>#N/A</v>
      </c>
      <c r="X33" s="779"/>
      <c r="Y33" s="3236"/>
      <c r="Z33" s="780" t="str">
        <f t="shared" si="15"/>
        <v>项目建筑规模</v>
      </c>
      <c r="AA33" s="1813" t="e">
        <f t="shared" si="3"/>
        <v>#N/A</v>
      </c>
      <c r="AB33" s="1813" t="e">
        <f t="shared" si="4"/>
        <v>#N/A</v>
      </c>
      <c r="AC33" s="1813" t="e">
        <f t="shared" si="5"/>
        <v>#N/A</v>
      </c>
    </row>
    <row r="34" spans="1:29" ht="15">
      <c r="A34" s="472"/>
      <c r="B34" s="422" t="s">
        <v>2555</v>
      </c>
      <c r="C34" s="2615"/>
      <c r="D34" s="435">
        <v>100</v>
      </c>
      <c r="E34" s="2615"/>
      <c r="F34" s="461">
        <f>SUMIF(105:105,E34,106:106)-SUMIF(105:105,C34,106:106)+100</f>
        <v>100</v>
      </c>
      <c r="G34" s="2615"/>
      <c r="H34" s="435">
        <f>SUMIF(105:105,G34,106:106)-SUMIF(105:105,C34,106:106)+100</f>
        <v>100</v>
      </c>
      <c r="I34" s="2615"/>
      <c r="J34" s="435">
        <f>SUMIF(105:105,I34,106:106)-SUMIF(105:105,C34,106:106)+100</f>
        <v>100</v>
      </c>
      <c r="K34" s="612"/>
      <c r="L34" s="1142"/>
      <c r="M34" s="1133"/>
      <c r="N34" s="1133"/>
      <c r="O34" s="1133"/>
      <c r="P34" s="3234"/>
      <c r="Q34" s="1812" t="str">
        <f t="shared" si="11"/>
        <v>建筑结构</v>
      </c>
      <c r="R34" s="774" t="s">
        <v>17</v>
      </c>
      <c r="S34" s="775">
        <f t="shared" si="12"/>
        <v>100</v>
      </c>
      <c r="T34" s="774" t="s">
        <v>17</v>
      </c>
      <c r="U34" s="775">
        <f t="shared" si="13"/>
        <v>100</v>
      </c>
      <c r="V34" s="774" t="s">
        <v>17</v>
      </c>
      <c r="W34" s="775">
        <f t="shared" si="14"/>
        <v>100</v>
      </c>
      <c r="X34" s="1815"/>
      <c r="Y34" s="3236"/>
      <c r="Z34" s="1816" t="str">
        <f t="shared" si="15"/>
        <v>建筑结构</v>
      </c>
      <c r="AA34" s="1813">
        <f t="shared" si="3"/>
        <v>1</v>
      </c>
      <c r="AB34" s="1813">
        <f t="shared" si="4"/>
        <v>1</v>
      </c>
      <c r="AC34" s="1813">
        <f t="shared" si="5"/>
        <v>1</v>
      </c>
    </row>
    <row r="35" spans="1:29" ht="15">
      <c r="A35" s="472"/>
      <c r="B35" s="422" t="s">
        <v>2649</v>
      </c>
      <c r="C35" s="2609"/>
      <c r="D35" s="435">
        <v>100</v>
      </c>
      <c r="E35" s="2609"/>
      <c r="F35" s="461">
        <f>SUMIF(107:107,E35,108:108)-SUMIF(107:107,C35,108:108)+100</f>
        <v>100</v>
      </c>
      <c r="G35" s="2609"/>
      <c r="H35" s="435">
        <f>SUMIF(107:107,G35,108:108)-SUMIF(107:107,C35,108:108)+100</f>
        <v>100</v>
      </c>
      <c r="I35" s="2609"/>
      <c r="J35" s="435">
        <f>SUMIF(107:107,I35,108:108)-SUMIF(107:107,C35,108:108)+100</f>
        <v>100</v>
      </c>
      <c r="K35" s="612"/>
      <c r="L35" s="1142"/>
      <c r="M35" s="1133"/>
      <c r="N35" s="1133"/>
      <c r="O35" s="1133"/>
      <c r="P35" s="3234"/>
      <c r="Q35" s="1812" t="str">
        <f t="shared" si="11"/>
        <v>公共部分装修</v>
      </c>
      <c r="R35" s="774" t="s">
        <v>17</v>
      </c>
      <c r="S35" s="775">
        <f t="shared" si="12"/>
        <v>100</v>
      </c>
      <c r="T35" s="774" t="s">
        <v>17</v>
      </c>
      <c r="U35" s="775">
        <f t="shared" si="13"/>
        <v>100</v>
      </c>
      <c r="V35" s="774" t="s">
        <v>17</v>
      </c>
      <c r="W35" s="775">
        <f t="shared" si="14"/>
        <v>100</v>
      </c>
      <c r="X35" s="1815"/>
      <c r="Y35" s="3236"/>
      <c r="Z35" s="1816" t="str">
        <f t="shared" si="15"/>
        <v>公共部分装修</v>
      </c>
      <c r="AA35" s="1813">
        <f t="shared" si="3"/>
        <v>1</v>
      </c>
      <c r="AB35" s="1813">
        <f t="shared" si="4"/>
        <v>1</v>
      </c>
      <c r="AC35" s="1813">
        <f t="shared" si="5"/>
        <v>1</v>
      </c>
    </row>
    <row r="36" spans="1:29" ht="15">
      <c r="A36" s="472"/>
      <c r="B36" s="422" t="s">
        <v>2650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2"/>
      <c r="M36" s="1133"/>
      <c r="N36" s="1133"/>
      <c r="O36" s="1133"/>
      <c r="P36" s="3234"/>
      <c r="Q36" s="1812" t="str">
        <f t="shared" si="11"/>
        <v>成新度</v>
      </c>
      <c r="R36" s="774" t="s">
        <v>17</v>
      </c>
      <c r="S36" s="775" t="e">
        <f t="shared" si="12"/>
        <v>#N/A</v>
      </c>
      <c r="T36" s="774" t="s">
        <v>17</v>
      </c>
      <c r="U36" s="775" t="e">
        <f t="shared" si="13"/>
        <v>#N/A</v>
      </c>
      <c r="V36" s="774" t="s">
        <v>17</v>
      </c>
      <c r="W36" s="775" t="e">
        <f t="shared" si="14"/>
        <v>#N/A</v>
      </c>
      <c r="X36" s="1815"/>
      <c r="Y36" s="3236"/>
      <c r="Z36" s="1816" t="str">
        <f t="shared" si="15"/>
        <v>成新度</v>
      </c>
      <c r="AA36" s="1813" t="e">
        <f t="shared" si="3"/>
        <v>#N/A</v>
      </c>
      <c r="AB36" s="1813" t="e">
        <f t="shared" si="4"/>
        <v>#N/A</v>
      </c>
      <c r="AC36" s="1813" t="e">
        <f t="shared" si="5"/>
        <v>#N/A</v>
      </c>
    </row>
    <row r="37" spans="1:29" s="117" customFormat="1" ht="15">
      <c r="A37" s="473"/>
      <c r="B37" s="422" t="s">
        <v>2651</v>
      </c>
      <c r="C37" s="2609"/>
      <c r="D37" s="136">
        <v>100</v>
      </c>
      <c r="E37" s="2609"/>
      <c r="F37" s="461">
        <f>SUMIF(112:112,E37,113:113)-SUMIF(112:112,C37,113:113)+100</f>
        <v>100</v>
      </c>
      <c r="G37" s="2609"/>
      <c r="H37" s="435">
        <f>SUMIF(112:112,G37,113:113)-SUMIF(112:112,C37,113:113)+100</f>
        <v>100</v>
      </c>
      <c r="I37" s="2609"/>
      <c r="J37" s="435">
        <f>SUMIF(112:112,I37,113:113)-SUMIF(112:112,C37,113:113)+100</f>
        <v>100</v>
      </c>
      <c r="K37" s="612"/>
      <c r="L37" s="1134"/>
      <c r="M37" s="1135"/>
      <c r="N37" s="1135"/>
      <c r="O37" s="1135"/>
      <c r="P37" s="3234"/>
      <c r="Q37" s="1797" t="str">
        <f t="shared" si="11"/>
        <v>市政基础设施</v>
      </c>
      <c r="R37" s="770" t="s">
        <v>17</v>
      </c>
      <c r="S37" s="771">
        <f t="shared" si="12"/>
        <v>100</v>
      </c>
      <c r="T37" s="770" t="s">
        <v>17</v>
      </c>
      <c r="U37" s="771">
        <f t="shared" si="13"/>
        <v>100</v>
      </c>
      <c r="V37" s="770" t="s">
        <v>17</v>
      </c>
      <c r="W37" s="771">
        <f t="shared" si="14"/>
        <v>100</v>
      </c>
      <c r="X37" s="772"/>
      <c r="Y37" s="3236"/>
      <c r="Z37" s="55" t="str">
        <f t="shared" si="15"/>
        <v>市政基础设施</v>
      </c>
      <c r="AA37" s="773">
        <f t="shared" si="3"/>
        <v>1</v>
      </c>
      <c r="AB37" s="773">
        <f t="shared" si="4"/>
        <v>1</v>
      </c>
      <c r="AC37" s="773">
        <f t="shared" si="5"/>
        <v>1</v>
      </c>
    </row>
    <row r="38" spans="1:29" ht="15">
      <c r="A38" s="472"/>
      <c r="B38" s="422" t="s">
        <v>2652</v>
      </c>
      <c r="C38" s="2609"/>
      <c r="D38" s="435">
        <v>100</v>
      </c>
      <c r="E38" s="2609"/>
      <c r="F38" s="461">
        <f>SUMIF(114:114,E38,115:115)-SUMIF(114:114,C38,115:115)+100</f>
        <v>100</v>
      </c>
      <c r="G38" s="2609"/>
      <c r="H38" s="435">
        <f>SUMIF(114:114,G38,115:115)-SUMIF(114:114,C38,115:115)+100</f>
        <v>100</v>
      </c>
      <c r="I38" s="2609"/>
      <c r="J38" s="435">
        <f>SUMIF(114:114,I38,115:115)-SUMIF(114:114,C38,115:115)+100</f>
        <v>100</v>
      </c>
      <c r="K38" s="612"/>
      <c r="L38" s="1142"/>
      <c r="M38" s="1133"/>
      <c r="N38" s="1133"/>
      <c r="O38" s="1133"/>
      <c r="P38" s="3234" t="s">
        <v>2553</v>
      </c>
      <c r="Q38" s="1812" t="str">
        <f t="shared" si="11"/>
        <v>业态</v>
      </c>
      <c r="R38" s="774" t="s">
        <v>17</v>
      </c>
      <c r="S38" s="775">
        <f t="shared" si="12"/>
        <v>100</v>
      </c>
      <c r="T38" s="774" t="s">
        <v>17</v>
      </c>
      <c r="U38" s="775">
        <f t="shared" si="13"/>
        <v>100</v>
      </c>
      <c r="V38" s="774" t="s">
        <v>17</v>
      </c>
      <c r="W38" s="775">
        <f t="shared" si="14"/>
        <v>100</v>
      </c>
      <c r="X38" s="1815"/>
      <c r="Y38" s="3236" t="s">
        <v>2553</v>
      </c>
      <c r="Z38" s="1816" t="str">
        <f t="shared" si="15"/>
        <v>业态</v>
      </c>
      <c r="AA38" s="1813">
        <f t="shared" si="3"/>
        <v>1</v>
      </c>
      <c r="AB38" s="1813">
        <f t="shared" si="4"/>
        <v>1</v>
      </c>
      <c r="AC38" s="1813">
        <f t="shared" si="5"/>
        <v>1</v>
      </c>
    </row>
    <row r="39" spans="1:29" ht="15">
      <c r="A39" s="472"/>
      <c r="B39" s="422" t="s">
        <v>2653</v>
      </c>
      <c r="C39" s="2609"/>
      <c r="D39" s="435">
        <v>100</v>
      </c>
      <c r="E39" s="2609"/>
      <c r="F39" s="461">
        <f>SUMIF(116:116,E39,117:117)-SUMIF(116:116,C39,117:117)+100</f>
        <v>100</v>
      </c>
      <c r="G39" s="2609"/>
      <c r="H39" s="435">
        <f>SUMIF(116:116,G39,117:117)-SUMIF(116:116,C39,117:117)+100</f>
        <v>100</v>
      </c>
      <c r="I39" s="2609"/>
      <c r="J39" s="435">
        <f>SUMIF(116:116,I39,117:117)-SUMIF(116:116,C39,117:117)+100</f>
        <v>100</v>
      </c>
      <c r="K39" s="612"/>
      <c r="L39" s="1142"/>
      <c r="M39" s="1133"/>
      <c r="N39" s="1133"/>
      <c r="O39" s="1133"/>
      <c r="P39" s="3234"/>
      <c r="Q39" s="1812" t="str">
        <f t="shared" si="11"/>
        <v>层高</v>
      </c>
      <c r="R39" s="774" t="s">
        <v>17</v>
      </c>
      <c r="S39" s="775">
        <f t="shared" si="12"/>
        <v>100</v>
      </c>
      <c r="T39" s="774" t="s">
        <v>17</v>
      </c>
      <c r="U39" s="775">
        <f t="shared" si="13"/>
        <v>100</v>
      </c>
      <c r="V39" s="774" t="s">
        <v>17</v>
      </c>
      <c r="W39" s="775">
        <f t="shared" si="14"/>
        <v>100</v>
      </c>
      <c r="X39" s="1815"/>
      <c r="Y39" s="3236"/>
      <c r="Z39" s="1816" t="str">
        <f t="shared" si="15"/>
        <v>层高</v>
      </c>
      <c r="AA39" s="1813">
        <f t="shared" si="3"/>
        <v>1</v>
      </c>
      <c r="AB39" s="1813">
        <f t="shared" si="4"/>
        <v>1</v>
      </c>
      <c r="AC39" s="1813">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2"/>
      <c r="M40" s="1133"/>
      <c r="N40" s="1133"/>
      <c r="O40" s="1133"/>
      <c r="P40" s="3234"/>
      <c r="Q40" s="1812" t="str">
        <f t="shared" si="11"/>
        <v>单套建筑面积</v>
      </c>
      <c r="R40" s="774" t="s">
        <v>17</v>
      </c>
      <c r="S40" s="775">
        <f t="shared" si="12"/>
        <v>100</v>
      </c>
      <c r="T40" s="774" t="s">
        <v>17</v>
      </c>
      <c r="U40" s="775">
        <f t="shared" si="13"/>
        <v>100</v>
      </c>
      <c r="V40" s="774" t="s">
        <v>17</v>
      </c>
      <c r="W40" s="775">
        <f t="shared" si="14"/>
        <v>100</v>
      </c>
      <c r="X40" s="1815"/>
      <c r="Y40" s="3236"/>
      <c r="Z40" s="1816" t="str">
        <f t="shared" si="15"/>
        <v>单套建筑面积</v>
      </c>
      <c r="AA40" s="1813">
        <f t="shared" si="3"/>
        <v>1</v>
      </c>
      <c r="AB40" s="1813">
        <f t="shared" si="4"/>
        <v>1</v>
      </c>
      <c r="AC40" s="1813">
        <f t="shared" si="5"/>
        <v>1</v>
      </c>
    </row>
    <row r="41" spans="1:29" s="471" customFormat="1" ht="15">
      <c r="A41" s="468"/>
      <c r="B41" s="1814" t="s">
        <v>2655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0"/>
      <c r="M41" s="1143"/>
      <c r="N41" s="1143"/>
      <c r="O41" s="1143"/>
      <c r="P41" s="3234"/>
      <c r="Q41" s="776" t="str">
        <f t="shared" si="11"/>
        <v>进深比</v>
      </c>
      <c r="R41" s="777" t="s">
        <v>17</v>
      </c>
      <c r="S41" s="778">
        <f t="shared" si="12"/>
        <v>100</v>
      </c>
      <c r="T41" s="777" t="s">
        <v>17</v>
      </c>
      <c r="U41" s="778">
        <f t="shared" si="13"/>
        <v>100</v>
      </c>
      <c r="V41" s="777" t="s">
        <v>17</v>
      </c>
      <c r="W41" s="778">
        <f t="shared" si="14"/>
        <v>100</v>
      </c>
      <c r="X41" s="779"/>
      <c r="Y41" s="3236"/>
      <c r="Z41" s="780" t="str">
        <f t="shared" si="15"/>
        <v>进深比</v>
      </c>
      <c r="AA41" s="1813">
        <f t="shared" si="3"/>
        <v>1</v>
      </c>
      <c r="AB41" s="1813">
        <f t="shared" si="4"/>
        <v>1</v>
      </c>
      <c r="AC41" s="1813">
        <f t="shared" si="5"/>
        <v>1</v>
      </c>
    </row>
    <row r="42" spans="1:29" ht="15">
      <c r="A42" s="472"/>
      <c r="B42" s="422" t="s">
        <v>2656</v>
      </c>
      <c r="C42" s="2609"/>
      <c r="D42" s="435">
        <v>100</v>
      </c>
      <c r="E42" s="2609"/>
      <c r="F42" s="461">
        <f>SUMIF(122:122,E42,123:123)-SUMIF(122:122,C42,123:123)+100</f>
        <v>100</v>
      </c>
      <c r="G42" s="2609"/>
      <c r="H42" s="435">
        <f>SUMIF(122:122,G42,123:123)-SUMIF(122:122,C42,123:123)+100</f>
        <v>100</v>
      </c>
      <c r="I42" s="2609"/>
      <c r="J42" s="435">
        <f>SUMIF(122:122,I42,123:123)-SUMIF(122:122,C42,123:123)+100</f>
        <v>100</v>
      </c>
      <c r="K42" s="612"/>
      <c r="L42" s="1142"/>
      <c r="M42" s="1133"/>
      <c r="N42" s="1133"/>
      <c r="O42" s="1133"/>
      <c r="P42" s="3234"/>
      <c r="Q42" s="1812" t="str">
        <f t="shared" si="11"/>
        <v>内部装修</v>
      </c>
      <c r="R42" s="774" t="s">
        <v>17</v>
      </c>
      <c r="S42" s="775">
        <f t="shared" si="12"/>
        <v>100</v>
      </c>
      <c r="T42" s="774" t="s">
        <v>17</v>
      </c>
      <c r="U42" s="775">
        <f t="shared" si="13"/>
        <v>100</v>
      </c>
      <c r="V42" s="774" t="s">
        <v>17</v>
      </c>
      <c r="W42" s="775">
        <f t="shared" si="14"/>
        <v>100</v>
      </c>
      <c r="X42" s="1815"/>
      <c r="Y42" s="3236"/>
      <c r="Z42" s="1816" t="str">
        <f t="shared" si="15"/>
        <v>内部装修</v>
      </c>
      <c r="AA42" s="1813">
        <f t="shared" si="3"/>
        <v>1</v>
      </c>
      <c r="AB42" s="1813">
        <f t="shared" si="4"/>
        <v>1</v>
      </c>
      <c r="AC42" s="1813">
        <f t="shared" si="5"/>
        <v>1</v>
      </c>
    </row>
    <row r="43" spans="1:29" ht="15">
      <c r="A43" s="472"/>
      <c r="B43" s="422" t="s">
        <v>2564</v>
      </c>
      <c r="C43" s="2609"/>
      <c r="D43" s="435">
        <v>100</v>
      </c>
      <c r="E43" s="2609"/>
      <c r="F43" s="461">
        <f>SUMIF(124:124,E43,125:125)-SUMIF(124:124,C43,125:125)+100</f>
        <v>100</v>
      </c>
      <c r="G43" s="2609"/>
      <c r="H43" s="435">
        <f>SUMIF(124:124,G43,125:125)-SUMIF(124:124,C43,125:125)+100</f>
        <v>100</v>
      </c>
      <c r="I43" s="2609"/>
      <c r="J43" s="435">
        <f>SUMIF(124:124,I43,125:125)-SUMIF(124:124,C43,125:125)+100</f>
        <v>100</v>
      </c>
      <c r="K43" s="612"/>
      <c r="L43" s="1142"/>
      <c r="M43" s="1133"/>
      <c r="N43" s="1133"/>
      <c r="O43" s="1133"/>
      <c r="P43" s="3234"/>
      <c r="Q43" s="1812" t="str">
        <f t="shared" si="11"/>
        <v>内部装修维护情况</v>
      </c>
      <c r="R43" s="774" t="s">
        <v>17</v>
      </c>
      <c r="S43" s="775">
        <f t="shared" si="12"/>
        <v>100</v>
      </c>
      <c r="T43" s="774" t="s">
        <v>17</v>
      </c>
      <c r="U43" s="775">
        <f t="shared" si="13"/>
        <v>100</v>
      </c>
      <c r="V43" s="774" t="s">
        <v>17</v>
      </c>
      <c r="W43" s="775">
        <f t="shared" si="14"/>
        <v>100</v>
      </c>
      <c r="X43" s="1815"/>
      <c r="Y43" s="3236"/>
      <c r="Z43" s="1816" t="str">
        <f t="shared" si="15"/>
        <v>内部装修维护情况</v>
      </c>
      <c r="AA43" s="1813">
        <f t="shared" si="3"/>
        <v>1</v>
      </c>
      <c r="AB43" s="1813">
        <f t="shared" si="4"/>
        <v>1</v>
      </c>
      <c r="AC43" s="1813">
        <f t="shared" si="5"/>
        <v>1</v>
      </c>
    </row>
    <row r="44" spans="1:29" s="117" customFormat="1" ht="15">
      <c r="A44" s="473"/>
      <c r="B44" s="1388">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4"/>
      <c r="M44" s="1135"/>
      <c r="N44" s="1135"/>
      <c r="O44" s="1135"/>
      <c r="P44" s="3234"/>
      <c r="Q44" s="1797">
        <f t="shared" si="11"/>
        <v>111</v>
      </c>
      <c r="R44" s="770" t="s">
        <v>17</v>
      </c>
      <c r="S44" s="771">
        <f t="shared" si="12"/>
        <v>100</v>
      </c>
      <c r="T44" s="770" t="s">
        <v>17</v>
      </c>
      <c r="U44" s="771">
        <f t="shared" si="13"/>
        <v>100</v>
      </c>
      <c r="V44" s="770" t="s">
        <v>17</v>
      </c>
      <c r="W44" s="771">
        <f t="shared" si="14"/>
        <v>100</v>
      </c>
      <c r="X44" s="772"/>
      <c r="Y44" s="3236"/>
      <c r="Z44" s="55">
        <f t="shared" si="15"/>
        <v>111</v>
      </c>
      <c r="AA44" s="773">
        <f t="shared" si="3"/>
        <v>1</v>
      </c>
      <c r="AB44" s="773">
        <f t="shared" si="4"/>
        <v>1</v>
      </c>
      <c r="AC44" s="773">
        <f t="shared" si="5"/>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2"/>
      <c r="M45" s="1133"/>
      <c r="N45" s="1133"/>
      <c r="O45" s="1133"/>
      <c r="P45" s="3234"/>
      <c r="Q45" s="1812">
        <f t="shared" si="11"/>
        <v>111</v>
      </c>
      <c r="R45" s="774" t="s">
        <v>17</v>
      </c>
      <c r="S45" s="775">
        <f t="shared" si="12"/>
        <v>100</v>
      </c>
      <c r="T45" s="774" t="s">
        <v>17</v>
      </c>
      <c r="U45" s="775">
        <f t="shared" si="13"/>
        <v>100</v>
      </c>
      <c r="V45" s="774" t="s">
        <v>17</v>
      </c>
      <c r="W45" s="775">
        <f t="shared" si="14"/>
        <v>100</v>
      </c>
      <c r="X45" s="1815"/>
      <c r="Y45" s="3236"/>
      <c r="Z45" s="1816">
        <f t="shared" si="15"/>
        <v>111</v>
      </c>
      <c r="AA45" s="1813">
        <f t="shared" si="3"/>
        <v>1</v>
      </c>
      <c r="AB45" s="1813">
        <f t="shared" si="4"/>
        <v>1</v>
      </c>
      <c r="AC45" s="1813">
        <f t="shared" si="5"/>
        <v>1</v>
      </c>
    </row>
    <row r="46" spans="1:29" ht="15.75" thickBot="1">
      <c r="A46" s="478"/>
      <c r="B46" s="259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2"/>
      <c r="M46" s="1133"/>
      <c r="N46" s="1133"/>
      <c r="O46" s="1133"/>
      <c r="P46" s="3235"/>
      <c r="Q46" s="1812">
        <f t="shared" si="11"/>
        <v>111</v>
      </c>
      <c r="R46" s="774" t="s">
        <v>17</v>
      </c>
      <c r="S46" s="775">
        <f t="shared" si="12"/>
        <v>100</v>
      </c>
      <c r="T46" s="774" t="s">
        <v>17</v>
      </c>
      <c r="U46" s="775">
        <f t="shared" si="13"/>
        <v>100</v>
      </c>
      <c r="V46" s="774" t="s">
        <v>17</v>
      </c>
      <c r="W46" s="775">
        <f t="shared" si="14"/>
        <v>100</v>
      </c>
      <c r="X46" s="1815"/>
      <c r="Y46" s="3237"/>
      <c r="Z46" s="1816">
        <f t="shared" si="15"/>
        <v>111</v>
      </c>
      <c r="AA46" s="1813">
        <f t="shared" si="3"/>
        <v>1</v>
      </c>
      <c r="AB46" s="1813">
        <f t="shared" si="4"/>
        <v>1</v>
      </c>
      <c r="AC46" s="1813">
        <f t="shared" si="5"/>
        <v>1</v>
      </c>
    </row>
    <row r="47" spans="1:29" ht="15">
      <c r="A47" s="479" t="s">
        <v>2565</v>
      </c>
      <c r="B47" s="480"/>
      <c r="C47" s="1409" t="s">
        <v>1</v>
      </c>
      <c r="D47" s="1410"/>
      <c r="E47" s="1411"/>
      <c r="F47" s="1412"/>
      <c r="G47" s="1413"/>
      <c r="H47" s="1414"/>
      <c r="I47" s="1411"/>
      <c r="J47" s="1414"/>
      <c r="K47" s="783"/>
      <c r="L47" s="1145"/>
      <c r="M47" s="1146"/>
      <c r="N47" s="1133"/>
      <c r="O47" s="1146"/>
      <c r="P47" s="3229" t="str">
        <f>A47</f>
        <v>成交单价（元/平方米）</v>
      </c>
      <c r="Q47" s="3229"/>
      <c r="R47" s="3224">
        <f>E47</f>
        <v>0</v>
      </c>
      <c r="S47" s="3224"/>
      <c r="T47" s="3224">
        <f>G47</f>
        <v>0</v>
      </c>
      <c r="U47" s="3224"/>
      <c r="V47" s="3224">
        <f>I47</f>
        <v>0</v>
      </c>
      <c r="W47" s="3224"/>
      <c r="X47" s="759"/>
      <c r="Y47" s="781"/>
      <c r="Z47" s="759"/>
      <c r="AA47" s="759"/>
      <c r="AB47" s="759"/>
      <c r="AC47" s="759"/>
    </row>
    <row r="48" spans="1:29" ht="15.75" thickBot="1">
      <c r="A48" s="486" t="s">
        <v>2657</v>
      </c>
      <c r="B48" s="487"/>
      <c r="C48" s="1415" t="e">
        <f>R49</f>
        <v>#DIV/0!</v>
      </c>
      <c r="D48" s="1416"/>
      <c r="E48" s="1417" t="e">
        <f>R48</f>
        <v>#DIV/0!</v>
      </c>
      <c r="F48" s="1417"/>
      <c r="G48" s="1415" t="e">
        <f>T48</f>
        <v>#DIV/0!</v>
      </c>
      <c r="H48" s="1416"/>
      <c r="I48" s="1417" t="e">
        <f>V48</f>
        <v>#DIV/0!</v>
      </c>
      <c r="J48" s="1416"/>
      <c r="K48" s="784"/>
      <c r="L48" s="1145"/>
      <c r="M48" s="1146"/>
      <c r="N48" s="1133"/>
      <c r="O48" s="1146"/>
      <c r="P48" s="3229" t="str">
        <f>A48</f>
        <v>比较价值（元/平方米）</v>
      </c>
      <c r="Q48" s="3229"/>
      <c r="R48" s="3230" t="e">
        <f>IF(F1="售价",ROUND(PRODUCT(R47,AA7:AA46),0),ROUND(PRODUCT(R47,AA7:AA46),1))</f>
        <v>#DIV/0!</v>
      </c>
      <c r="S48" s="3230"/>
      <c r="T48" s="3230" t="e">
        <f>IF(F1="售价",ROUND(PRODUCT(T47,AB7:AB46),0),ROUND(PRODUCT(T47,AB7:AB46),1))</f>
        <v>#DIV/0!</v>
      </c>
      <c r="U48" s="3230"/>
      <c r="V48" s="3230" t="e">
        <f>IF(F1="售价",ROUND(PRODUCT(V47,AC7:AC46),0),ROUND(PRODUCT(V47,AC7:AC46),1))</f>
        <v>#DIV/0!</v>
      </c>
      <c r="W48" s="3230"/>
      <c r="X48" s="759"/>
      <c r="Y48" s="759"/>
      <c r="Z48" s="759"/>
      <c r="AA48" s="759"/>
      <c r="AB48" s="759"/>
      <c r="AC48" s="759"/>
    </row>
    <row r="49" spans="1:29" ht="15.75" thickBot="1">
      <c r="A49" s="492" t="s">
        <v>2658</v>
      </c>
      <c r="B49" s="493"/>
      <c r="C49" s="1419" t="e">
        <f>R49</f>
        <v>#DIV/0!</v>
      </c>
      <c r="D49" s="1419"/>
      <c r="E49" s="1419"/>
      <c r="F49" s="1419"/>
      <c r="G49" s="1419"/>
      <c r="H49" s="1419"/>
      <c r="I49" s="1419"/>
      <c r="J49" s="1419"/>
      <c r="K49" s="785"/>
      <c r="L49" s="1145"/>
      <c r="M49" s="1146"/>
      <c r="N49" s="1133"/>
      <c r="O49" s="1146"/>
      <c r="P49" s="3226" t="str">
        <f>A49</f>
        <v>估价对象XX用房的比较价值（楼面单价，元/平方米）</v>
      </c>
      <c r="Q49" s="3227"/>
      <c r="R49" s="3228" t="e">
        <f>IF(F1="售价",ROUND(AVERAGE(R48:V48),0),ROUND(AVERAGE(R48:V48),1))</f>
        <v>#DIV/0!</v>
      </c>
      <c r="S49" s="3228"/>
      <c r="T49" s="3228"/>
      <c r="U49" s="3228"/>
      <c r="V49" s="3228"/>
      <c r="W49" s="3228"/>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c r="P50" s="675"/>
      <c r="Q50" s="759"/>
      <c r="R50" s="759"/>
      <c r="S50" s="759"/>
      <c r="T50" s="759"/>
      <c r="U50" s="759"/>
      <c r="V50" s="759"/>
      <c r="W50" s="759"/>
      <c r="X50" s="759"/>
      <c r="Y50" s="759"/>
      <c r="Z50" s="759"/>
      <c r="AA50" s="759"/>
      <c r="AB50" s="759"/>
      <c r="AC50" s="759"/>
    </row>
    <row r="51" spans="1:29">
      <c r="A51" s="1146"/>
      <c r="B51" s="1146"/>
      <c r="C51" s="1146"/>
      <c r="D51" s="1146"/>
      <c r="E51" s="1146"/>
      <c r="F51" s="1146"/>
      <c r="G51" s="1146"/>
      <c r="H51" s="1146"/>
      <c r="I51" s="1146"/>
      <c r="J51" s="1146"/>
      <c r="K51" s="1107"/>
      <c r="L51" s="1108"/>
      <c r="M51" s="1146"/>
      <c r="N51" s="1146"/>
      <c r="O51" s="1146"/>
      <c r="P51" s="675"/>
      <c r="Q51" s="759"/>
      <c r="R51" s="759"/>
      <c r="S51" s="759"/>
      <c r="T51" s="759"/>
      <c r="U51" s="759"/>
      <c r="V51" s="759"/>
      <c r="W51" s="759"/>
      <c r="X51" s="759"/>
      <c r="Y51" s="759"/>
      <c r="Z51" s="759"/>
      <c r="AA51" s="759"/>
      <c r="AB51" s="759"/>
      <c r="AC51" s="759"/>
    </row>
    <row r="52" spans="1:29" ht="13.5" customHeight="1">
      <c r="A52" s="1146"/>
      <c r="B52" s="1146"/>
      <c r="C52" s="497" t="s">
        <v>2659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c r="P52" s="675"/>
      <c r="Q52" s="759"/>
      <c r="R52" s="759"/>
      <c r="S52" s="759"/>
      <c r="T52" s="759"/>
      <c r="U52" s="759"/>
      <c r="V52" s="759"/>
      <c r="W52" s="759"/>
      <c r="X52" s="759"/>
      <c r="Y52" s="759"/>
      <c r="Z52" s="759"/>
      <c r="AA52" s="759"/>
      <c r="AB52" s="759"/>
      <c r="AC52" s="759"/>
    </row>
    <row r="53" spans="1:29" ht="13.5" customHeight="1">
      <c r="A53" s="1146"/>
      <c r="B53" s="1146"/>
      <c r="C53" s="497" t="s">
        <v>2660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c r="P53" s="675"/>
      <c r="Q53" s="759"/>
      <c r="R53" s="759"/>
      <c r="S53" s="759"/>
      <c r="T53" s="759"/>
      <c r="U53" s="759"/>
      <c r="V53" s="759"/>
      <c r="W53" s="759"/>
      <c r="X53" s="759"/>
      <c r="Y53" s="759"/>
      <c r="Z53" s="759"/>
      <c r="AA53" s="759"/>
      <c r="AB53" s="759"/>
      <c r="AC53" s="759"/>
    </row>
    <row r="54" spans="1:29" s="502" customFormat="1" ht="13.5" customHeight="1">
      <c r="A54" s="1147"/>
      <c r="B54" s="1147"/>
      <c r="C54" s="497" t="s">
        <v>2661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62"/>
      <c r="Q54" s="760"/>
      <c r="R54" s="760"/>
      <c r="S54" s="760"/>
      <c r="T54" s="760"/>
      <c r="U54" s="760"/>
      <c r="V54" s="760"/>
      <c r="W54" s="760"/>
      <c r="X54" s="760"/>
      <c r="Y54" s="760"/>
      <c r="Z54" s="760"/>
      <c r="AA54" s="760"/>
      <c r="AB54" s="760"/>
      <c r="AC54" s="760"/>
    </row>
    <row r="55" spans="1:29" s="502" customFormat="1">
      <c r="A55" s="1147"/>
      <c r="B55" s="1148"/>
      <c r="C55" s="1152"/>
      <c r="D55" s="1147"/>
      <c r="E55" s="1147"/>
      <c r="F55" s="1147"/>
      <c r="G55" s="1147"/>
      <c r="H55" s="1147"/>
      <c r="I55" s="1147"/>
      <c r="J55" s="1147"/>
      <c r="K55" s="1150"/>
      <c r="L55" s="1151"/>
      <c r="M55" s="1147"/>
      <c r="N55" s="1147"/>
      <c r="O55" s="1147"/>
      <c r="P55" s="2662"/>
      <c r="Q55" s="760"/>
      <c r="R55" s="760"/>
      <c r="S55" s="760"/>
      <c r="T55" s="760"/>
      <c r="U55" s="760"/>
      <c r="V55" s="760"/>
      <c r="W55" s="760"/>
      <c r="X55" s="760"/>
      <c r="Y55" s="760"/>
      <c r="Z55" s="760"/>
      <c r="AA55" s="760"/>
      <c r="AB55" s="760"/>
      <c r="AC55" s="760"/>
    </row>
    <row r="56" spans="1:29">
      <c r="A56" s="1146"/>
      <c r="B56" s="1148"/>
      <c r="C56" s="1152"/>
      <c r="D56" s="1146"/>
      <c r="E56" s="1146"/>
      <c r="F56" s="1146"/>
      <c r="G56" s="1146"/>
      <c r="H56" s="1146"/>
      <c r="I56" s="1146"/>
      <c r="J56" s="1146"/>
      <c r="K56" s="1107"/>
      <c r="L56" s="1108"/>
      <c r="M56" s="1146"/>
      <c r="N56" s="1146"/>
      <c r="O56" s="1146"/>
      <c r="P56" s="675"/>
      <c r="Q56" s="759"/>
      <c r="R56" s="759"/>
      <c r="S56" s="759"/>
      <c r="T56" s="759"/>
      <c r="U56" s="759"/>
      <c r="V56" s="759"/>
      <c r="W56" s="759"/>
      <c r="X56" s="759"/>
      <c r="Y56" s="759"/>
      <c r="Z56" s="759"/>
      <c r="AA56" s="759"/>
      <c r="AB56" s="759"/>
      <c r="AC56" s="759"/>
    </row>
    <row r="57" spans="1:29" ht="21.75" thickBot="1">
      <c r="A57" s="763" t="s">
        <v>2662</v>
      </c>
      <c r="B57" s="759"/>
      <c r="C57" s="764"/>
      <c r="D57" s="764"/>
      <c r="E57" s="764"/>
      <c r="F57" s="765"/>
      <c r="G57" s="765"/>
      <c r="H57" s="764"/>
      <c r="I57" s="764"/>
      <c r="J57" s="764"/>
      <c r="K57" s="766"/>
      <c r="L57" s="1163"/>
      <c r="M57" s="1161"/>
      <c r="N57" s="1161"/>
      <c r="O57" s="1161"/>
      <c r="P57" s="2663"/>
      <c r="Q57" s="2664"/>
      <c r="R57" s="759"/>
      <c r="S57" s="759"/>
      <c r="T57" s="759"/>
      <c r="U57" s="759"/>
      <c r="V57" s="759"/>
      <c r="W57" s="759"/>
      <c r="X57" s="759"/>
      <c r="Y57" s="759"/>
      <c r="Z57" s="759"/>
      <c r="AA57" s="759"/>
      <c r="AB57" s="759"/>
      <c r="AC57" s="759"/>
    </row>
    <row r="58" spans="1:29" s="508" customFormat="1" ht="15">
      <c r="A58" s="505" t="s">
        <v>2536</v>
      </c>
      <c r="B58" s="506"/>
      <c r="C58" s="1576" t="str">
        <f>YEAR(C7)&amp;"-"&amp;MONTH(C7)</f>
        <v>2018-3</v>
      </c>
      <c r="D58" s="1577">
        <f>EDATE(C58,-1)</f>
        <v>43132</v>
      </c>
      <c r="E58" s="1577">
        <f t="shared" ref="E58:N58" si="16">EDATE(D58,-1)</f>
        <v>43101</v>
      </c>
      <c r="F58" s="1577">
        <f t="shared" si="16"/>
        <v>43070</v>
      </c>
      <c r="G58" s="1577">
        <f t="shared" si="16"/>
        <v>43040</v>
      </c>
      <c r="H58" s="1577">
        <f t="shared" si="16"/>
        <v>43009</v>
      </c>
      <c r="I58" s="1577">
        <f t="shared" si="16"/>
        <v>42979</v>
      </c>
      <c r="J58" s="1577">
        <f t="shared" si="16"/>
        <v>42948</v>
      </c>
      <c r="K58" s="1577">
        <f t="shared" si="16"/>
        <v>42917</v>
      </c>
      <c r="L58" s="1577">
        <f t="shared" si="16"/>
        <v>42887</v>
      </c>
      <c r="M58" s="1577">
        <f t="shared" si="16"/>
        <v>42856</v>
      </c>
      <c r="N58" s="1577">
        <f t="shared" si="16"/>
        <v>42826</v>
      </c>
      <c r="O58" s="1577">
        <f>EDATE(N58,-1)</f>
        <v>42795</v>
      </c>
      <c r="P58" s="1572"/>
    </row>
    <row r="59" spans="1:29" s="117" customFormat="1" ht="15">
      <c r="A59" s="509"/>
      <c r="B59" s="510"/>
      <c r="C59" s="1575">
        <v>100</v>
      </c>
      <c r="D59" s="512"/>
      <c r="E59" s="512"/>
      <c r="F59" s="512"/>
      <c r="G59" s="512"/>
      <c r="H59" s="512"/>
      <c r="I59" s="512"/>
      <c r="J59" s="512"/>
      <c r="K59" s="512"/>
      <c r="L59" s="512"/>
      <c r="M59" s="513"/>
      <c r="N59" s="512"/>
      <c r="O59" s="513"/>
      <c r="P59" s="2624"/>
    </row>
    <row r="60" spans="1:29" s="117" customFormat="1" ht="15.75" thickBot="1">
      <c r="A60" s="515" t="s">
        <v>2573</v>
      </c>
      <c r="B60" s="516"/>
      <c r="C60" s="517"/>
      <c r="D60" s="518"/>
      <c r="E60" s="518"/>
      <c r="F60" s="518"/>
      <c r="G60" s="518"/>
      <c r="H60" s="518"/>
      <c r="I60" s="518"/>
      <c r="J60" s="518"/>
      <c r="K60" s="518"/>
      <c r="L60" s="518"/>
      <c r="M60" s="519"/>
      <c r="N60" s="518"/>
      <c r="O60" s="519"/>
      <c r="P60" s="2624"/>
      <c r="Q60" s="504"/>
    </row>
    <row r="61" spans="1:29" s="117" customFormat="1" ht="15">
      <c r="A61" s="521" t="s">
        <v>2538</v>
      </c>
      <c r="B61" s="510"/>
      <c r="C61" s="522" t="s">
        <v>2640</v>
      </c>
      <c r="D61" s="523"/>
      <c r="E61" s="523"/>
      <c r="F61" s="523"/>
      <c r="G61" s="523"/>
      <c r="H61" s="523"/>
      <c r="I61" s="523"/>
      <c r="J61" s="523"/>
      <c r="K61" s="523"/>
      <c r="L61" s="524"/>
      <c r="M61" s="525"/>
      <c r="N61" s="1153"/>
      <c r="O61" s="1153"/>
      <c r="P61" s="2625"/>
      <c r="Q61" s="504"/>
    </row>
    <row r="62" spans="1:29" s="117" customFormat="1" ht="15.75" thickBot="1">
      <c r="A62" s="521"/>
      <c r="B62" s="510"/>
      <c r="C62" s="511">
        <v>100</v>
      </c>
      <c r="D62" s="512"/>
      <c r="E62" s="512"/>
      <c r="F62" s="512"/>
      <c r="G62" s="512"/>
      <c r="H62" s="512"/>
      <c r="I62" s="512"/>
      <c r="J62" s="512"/>
      <c r="K62" s="512"/>
      <c r="L62" s="512"/>
      <c r="M62" s="514"/>
      <c r="N62" s="1153"/>
      <c r="O62" s="1153"/>
      <c r="P62" s="2624"/>
      <c r="Q62" s="504"/>
    </row>
    <row r="63" spans="1:29">
      <c r="A63" s="527" t="s">
        <v>2576</v>
      </c>
      <c r="B63" s="528" t="s">
        <v>2542</v>
      </c>
      <c r="C63" s="529">
        <f>C9</f>
        <v>0</v>
      </c>
      <c r="D63" s="530"/>
      <c r="E63" s="530"/>
      <c r="F63" s="530"/>
      <c r="G63" s="530"/>
      <c r="H63" s="530"/>
      <c r="I63" s="530"/>
      <c r="J63" s="530"/>
      <c r="K63" s="531"/>
      <c r="L63" s="532"/>
      <c r="M63" s="533"/>
      <c r="N63" s="1154"/>
      <c r="O63" s="1154"/>
      <c r="P63" s="2626"/>
      <c r="Q63" s="504"/>
    </row>
    <row r="64" spans="1:29" ht="15.75" thickBot="1">
      <c r="A64" s="534"/>
      <c r="B64" s="535"/>
      <c r="C64" s="536">
        <v>100</v>
      </c>
      <c r="D64" s="536"/>
      <c r="E64" s="536"/>
      <c r="F64" s="536"/>
      <c r="G64" s="536"/>
      <c r="H64" s="536"/>
      <c r="I64" s="536"/>
      <c r="J64" s="536"/>
      <c r="K64" s="536"/>
      <c r="L64" s="536"/>
      <c r="M64" s="537"/>
      <c r="N64" s="1155"/>
      <c r="O64" s="1155"/>
      <c r="P64" s="2626"/>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4"/>
      <c r="O65" s="1154"/>
      <c r="P65" s="262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5"/>
      <c r="O66" s="1155"/>
      <c r="P66" s="2626"/>
      <c r="Q66" s="504"/>
    </row>
    <row r="67" spans="1:17" ht="15.75" thickTop="1">
      <c r="A67" s="534"/>
      <c r="B67" s="546" t="s">
        <v>2546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5"/>
      <c r="O67" s="1155"/>
      <c r="P67" s="2626"/>
      <c r="Q67" s="504"/>
    </row>
    <row r="68" spans="1:17" ht="15">
      <c r="A68" s="534"/>
      <c r="B68" s="548"/>
      <c r="C68" s="549"/>
      <c r="D68" s="549"/>
      <c r="E68" s="549"/>
      <c r="F68" s="549"/>
      <c r="G68" s="549"/>
      <c r="H68" s="549"/>
      <c r="I68" s="549"/>
      <c r="J68" s="549"/>
      <c r="K68" s="550"/>
      <c r="L68" s="551"/>
      <c r="M68" s="552"/>
      <c r="N68" s="1154"/>
      <c r="O68" s="1154"/>
      <c r="P68" s="262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5"/>
      <c r="O69" s="1155"/>
      <c r="P69" s="2626"/>
      <c r="Q69" s="504"/>
    </row>
    <row r="70" spans="1:17" s="471" customFormat="1" ht="15.75" thickTop="1">
      <c r="A70" s="553"/>
      <c r="B70" s="538">
        <f>B12</f>
        <v>111</v>
      </c>
      <c r="C70" s="554"/>
      <c r="D70" s="554"/>
      <c r="E70" s="554"/>
      <c r="F70" s="554"/>
      <c r="G70" s="554"/>
      <c r="H70" s="555"/>
      <c r="I70" s="555"/>
      <c r="J70" s="555"/>
      <c r="K70" s="555"/>
      <c r="L70" s="556"/>
      <c r="M70" s="557"/>
      <c r="N70" s="1156"/>
      <c r="O70" s="1156"/>
      <c r="P70" s="2627"/>
      <c r="Q70" s="559"/>
    </row>
    <row r="71" spans="1:17" s="471" customFormat="1" ht="15.75" thickBot="1">
      <c r="A71" s="553"/>
      <c r="B71" s="543"/>
      <c r="C71" s="560"/>
      <c r="D71" s="536"/>
      <c r="E71" s="536"/>
      <c r="F71" s="536"/>
      <c r="G71" s="536"/>
      <c r="H71" s="536"/>
      <c r="I71" s="536"/>
      <c r="J71" s="536"/>
      <c r="K71" s="536"/>
      <c r="L71" s="536"/>
      <c r="M71" s="537"/>
      <c r="N71" s="1155"/>
      <c r="O71" s="1155"/>
      <c r="P71" s="2627"/>
      <c r="Q71" s="559"/>
    </row>
    <row r="72" spans="1:17" s="471" customFormat="1" ht="15.75" thickTop="1">
      <c r="A72" s="553"/>
      <c r="B72" s="538">
        <f>B13</f>
        <v>111</v>
      </c>
      <c r="C72" s="554"/>
      <c r="D72" s="554"/>
      <c r="E72" s="554"/>
      <c r="F72" s="554"/>
      <c r="G72" s="554"/>
      <c r="H72" s="555"/>
      <c r="I72" s="555"/>
      <c r="J72" s="555"/>
      <c r="K72" s="555"/>
      <c r="L72" s="556"/>
      <c r="M72" s="557"/>
      <c r="N72" s="1156"/>
      <c r="O72" s="1156"/>
      <c r="P72" s="2628"/>
      <c r="Q72" s="561"/>
    </row>
    <row r="73" spans="1:17" s="471" customFormat="1" ht="15.75" thickBot="1">
      <c r="A73" s="553"/>
      <c r="B73" s="543"/>
      <c r="C73" s="560"/>
      <c r="D73" s="536"/>
      <c r="E73" s="536"/>
      <c r="F73" s="536"/>
      <c r="G73" s="560"/>
      <c r="H73" s="562"/>
      <c r="I73" s="562"/>
      <c r="J73" s="562"/>
      <c r="K73" s="562"/>
      <c r="L73" s="562"/>
      <c r="M73" s="563"/>
      <c r="N73" s="1156"/>
      <c r="O73" s="1156"/>
      <c r="P73" s="2627"/>
      <c r="Q73" s="559"/>
    </row>
    <row r="74" spans="1:17" s="471" customFormat="1" ht="15.75" thickTop="1">
      <c r="A74" s="553"/>
      <c r="B74" s="546">
        <f>B14</f>
        <v>111</v>
      </c>
      <c r="C74" s="554"/>
      <c r="D74" s="554"/>
      <c r="E74" s="554"/>
      <c r="F74" s="554"/>
      <c r="G74" s="523"/>
      <c r="H74" s="564"/>
      <c r="I74" s="564"/>
      <c r="J74" s="564"/>
      <c r="K74" s="564"/>
      <c r="L74" s="565"/>
      <c r="M74" s="566"/>
      <c r="N74" s="1156"/>
      <c r="O74" s="1156"/>
      <c r="P74" s="2629"/>
      <c r="Q74" s="559"/>
    </row>
    <row r="75" spans="1:17" s="471" customFormat="1" ht="15.75" thickBot="1">
      <c r="A75" s="568"/>
      <c r="B75" s="569"/>
      <c r="C75" s="570"/>
      <c r="D75" s="570"/>
      <c r="E75" s="570"/>
      <c r="F75" s="570"/>
      <c r="G75" s="570"/>
      <c r="H75" s="571"/>
      <c r="I75" s="571"/>
      <c r="J75" s="571"/>
      <c r="K75" s="571"/>
      <c r="L75" s="571"/>
      <c r="M75" s="572"/>
      <c r="N75" s="1156"/>
      <c r="O75" s="1156"/>
      <c r="P75" s="2627"/>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4"/>
      <c r="O76" s="1154"/>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26"/>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4"/>
      <c r="O78" s="1154"/>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26"/>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4"/>
      <c r="O80" s="1154"/>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26"/>
      <c r="Q81" s="504"/>
    </row>
    <row r="82" spans="1:17" ht="15.75" thickTop="1">
      <c r="A82" s="534"/>
      <c r="B82" s="546" t="s">
        <v>2643</v>
      </c>
      <c r="C82" s="660" t="s">
        <v>2663</v>
      </c>
      <c r="D82" s="660" t="s">
        <v>2664</v>
      </c>
      <c r="E82" s="660" t="s">
        <v>2665</v>
      </c>
      <c r="F82" s="660" t="s">
        <v>2666</v>
      </c>
      <c r="G82" s="660" t="s">
        <v>2667</v>
      </c>
      <c r="H82" s="539"/>
      <c r="I82" s="539"/>
      <c r="J82" s="539"/>
      <c r="K82" s="539"/>
      <c r="L82" s="539"/>
      <c r="M82" s="1384"/>
      <c r="N82" s="1155"/>
      <c r="O82" s="1155"/>
      <c r="P82" s="262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5"/>
      <c r="O83" s="1155"/>
      <c r="P83" s="2626"/>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4"/>
      <c r="O84" s="1154"/>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26"/>
      <c r="Q85" s="504"/>
    </row>
    <row r="86" spans="1:17" s="117" customFormat="1" ht="15.75" thickTop="1">
      <c r="A86" s="579"/>
      <c r="B86" s="538" t="s">
        <v>2668</v>
      </c>
      <c r="C86" s="554"/>
      <c r="D86" s="554"/>
      <c r="E86" s="554"/>
      <c r="F86" s="554"/>
      <c r="G86" s="554"/>
      <c r="H86" s="554"/>
      <c r="I86" s="554"/>
      <c r="J86" s="554"/>
      <c r="K86" s="554"/>
      <c r="L86" s="580"/>
      <c r="M86" s="581"/>
      <c r="N86" s="1153"/>
      <c r="O86" s="1153"/>
      <c r="P86" s="262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5"/>
      <c r="O87" s="1155"/>
      <c r="P87" s="2626"/>
      <c r="Q87" s="504"/>
    </row>
    <row r="88" spans="1:17" s="117" customFormat="1" ht="15.75" thickTop="1">
      <c r="A88" s="579"/>
      <c r="B88" s="538" t="str">
        <f>B26</f>
        <v>平面位置/可视性</v>
      </c>
      <c r="C88" s="554"/>
      <c r="D88" s="554"/>
      <c r="E88" s="554"/>
      <c r="F88" s="2631"/>
      <c r="G88" s="554"/>
      <c r="H88" s="554"/>
      <c r="I88" s="554"/>
      <c r="J88" s="554"/>
      <c r="K88" s="554"/>
      <c r="L88" s="554"/>
      <c r="M88" s="581"/>
      <c r="N88" s="1153"/>
      <c r="O88" s="1153"/>
      <c r="P88" s="2626"/>
      <c r="Q88" s="504"/>
    </row>
    <row r="89" spans="1:17" s="117" customFormat="1" ht="15.75" thickBot="1">
      <c r="A89" s="579"/>
      <c r="B89" s="543"/>
      <c r="C89" s="560"/>
      <c r="D89" s="536"/>
      <c r="E89" s="536"/>
      <c r="F89" s="536"/>
      <c r="G89" s="536"/>
      <c r="H89" s="536"/>
      <c r="I89" s="536"/>
      <c r="J89" s="536"/>
      <c r="K89" s="536"/>
      <c r="L89" s="536"/>
      <c r="M89" s="536"/>
      <c r="N89" s="1155"/>
      <c r="O89" s="1155"/>
      <c r="P89" s="2626"/>
      <c r="Q89" s="504"/>
    </row>
    <row r="90" spans="1:17" s="471" customFormat="1" ht="15.75" thickTop="1">
      <c r="A90" s="553"/>
      <c r="B90" s="538" t="str">
        <f>B27</f>
        <v>人流量</v>
      </c>
      <c r="C90" s="554"/>
      <c r="D90" s="554"/>
      <c r="E90" s="554"/>
      <c r="F90" s="554"/>
      <c r="G90" s="554"/>
      <c r="H90" s="555"/>
      <c r="I90" s="555"/>
      <c r="J90" s="555"/>
      <c r="K90" s="555"/>
      <c r="L90" s="556"/>
      <c r="M90" s="557"/>
      <c r="N90" s="1156"/>
      <c r="O90" s="1156"/>
      <c r="P90" s="262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6"/>
      <c r="O91" s="1156"/>
      <c r="P91" s="2627"/>
      <c r="Q91" s="559"/>
    </row>
    <row r="92" spans="1:17" ht="15.75" thickTop="1">
      <c r="A92" s="534"/>
      <c r="B92" s="538" t="str">
        <f>B28</f>
        <v>楼层</v>
      </c>
      <c r="C92" s="554"/>
      <c r="D92" s="554"/>
      <c r="E92" s="554"/>
      <c r="F92" s="554"/>
      <c r="G92" s="554"/>
      <c r="H92" s="554"/>
      <c r="I92" s="554"/>
      <c r="J92" s="554"/>
      <c r="K92" s="554"/>
      <c r="L92" s="580"/>
      <c r="M92" s="581"/>
      <c r="N92" s="1154"/>
      <c r="O92" s="1154"/>
      <c r="P92" s="2626"/>
      <c r="Q92" s="504"/>
    </row>
    <row r="93" spans="1:17" ht="15.75" thickBot="1">
      <c r="A93" s="534"/>
      <c r="B93" s="543"/>
      <c r="C93" s="536"/>
      <c r="D93" s="536"/>
      <c r="E93" s="536"/>
      <c r="F93" s="536"/>
      <c r="G93" s="536"/>
      <c r="H93" s="536"/>
      <c r="I93" s="536"/>
      <c r="J93" s="536"/>
      <c r="K93" s="536"/>
      <c r="L93" s="536"/>
      <c r="M93" s="537"/>
      <c r="N93" s="1155"/>
      <c r="O93" s="1155"/>
      <c r="P93" s="2626"/>
      <c r="Q93" s="504"/>
    </row>
    <row r="94" spans="1:17" ht="15.75" thickTop="1">
      <c r="A94" s="534"/>
      <c r="B94" s="538">
        <f>B29</f>
        <v>111</v>
      </c>
      <c r="C94" s="554"/>
      <c r="D94" s="554"/>
      <c r="E94" s="554"/>
      <c r="F94" s="554"/>
      <c r="G94" s="583"/>
      <c r="H94" s="583"/>
      <c r="I94" s="583"/>
      <c r="J94" s="583"/>
      <c r="K94" s="584"/>
      <c r="L94" s="585"/>
      <c r="M94" s="586"/>
      <c r="N94" s="1154"/>
      <c r="O94" s="1154"/>
      <c r="P94" s="2626"/>
      <c r="Q94" s="504"/>
    </row>
    <row r="95" spans="1:17" ht="15.75" thickBot="1">
      <c r="A95" s="534"/>
      <c r="B95" s="543"/>
      <c r="C95" s="560"/>
      <c r="D95" s="536"/>
      <c r="E95" s="536"/>
      <c r="F95" s="536"/>
      <c r="G95" s="536"/>
      <c r="H95" s="536"/>
      <c r="I95" s="536"/>
      <c r="J95" s="536"/>
      <c r="K95" s="536"/>
      <c r="L95" s="536"/>
      <c r="M95" s="537"/>
      <c r="N95" s="1155"/>
      <c r="O95" s="1155"/>
      <c r="P95" s="2626"/>
      <c r="Q95" s="504"/>
    </row>
    <row r="96" spans="1:17" ht="15.75" thickTop="1">
      <c r="A96" s="534"/>
      <c r="B96" s="538">
        <f>B30</f>
        <v>111</v>
      </c>
      <c r="C96" s="554"/>
      <c r="D96" s="554"/>
      <c r="E96" s="554"/>
      <c r="F96" s="554"/>
      <c r="G96" s="583"/>
      <c r="H96" s="583"/>
      <c r="I96" s="583"/>
      <c r="J96" s="583"/>
      <c r="K96" s="584"/>
      <c r="L96" s="585"/>
      <c r="M96" s="586"/>
      <c r="N96" s="1154"/>
      <c r="O96" s="1154"/>
      <c r="P96" s="2626"/>
      <c r="Q96" s="504"/>
    </row>
    <row r="97" spans="1:17" ht="15.75" thickBot="1">
      <c r="A97" s="534"/>
      <c r="B97" s="543"/>
      <c r="C97" s="560"/>
      <c r="D97" s="536"/>
      <c r="E97" s="536"/>
      <c r="F97" s="536"/>
      <c r="G97" s="536"/>
      <c r="H97" s="536"/>
      <c r="I97" s="536"/>
      <c r="J97" s="536"/>
      <c r="K97" s="536"/>
      <c r="L97" s="536"/>
      <c r="M97" s="537"/>
      <c r="N97" s="1155"/>
      <c r="O97" s="1155"/>
      <c r="P97" s="2626"/>
      <c r="Q97" s="504"/>
    </row>
    <row r="98" spans="1:17" ht="15.75" thickTop="1">
      <c r="A98" s="534"/>
      <c r="B98" s="546">
        <f>B31</f>
        <v>111</v>
      </c>
      <c r="C98" s="554"/>
      <c r="D98" s="554"/>
      <c r="E98" s="554"/>
      <c r="F98" s="554"/>
      <c r="G98" s="587"/>
      <c r="H98" s="587"/>
      <c r="I98" s="587"/>
      <c r="J98" s="587"/>
      <c r="K98" s="588"/>
      <c r="L98" s="589"/>
      <c r="M98" s="590"/>
      <c r="N98" s="1154"/>
      <c r="O98" s="1154"/>
      <c r="P98" s="2626"/>
      <c r="Q98" s="504"/>
    </row>
    <row r="99" spans="1:17" ht="15.75" thickBot="1">
      <c r="A99" s="2632"/>
      <c r="B99" s="569"/>
      <c r="C99" s="570"/>
      <c r="D99" s="570"/>
      <c r="E99" s="570"/>
      <c r="F99" s="570"/>
      <c r="G99" s="591"/>
      <c r="H99" s="591"/>
      <c r="I99" s="591"/>
      <c r="J99" s="591"/>
      <c r="K99" s="591"/>
      <c r="L99" s="591"/>
      <c r="M99" s="592"/>
      <c r="N99" s="1155"/>
      <c r="O99" s="1155"/>
      <c r="P99" s="2626"/>
      <c r="Q99" s="504"/>
    </row>
    <row r="100" spans="1:17">
      <c r="A100" s="527" t="s">
        <v>2551</v>
      </c>
      <c r="B100" s="528" t="s">
        <v>2669</v>
      </c>
      <c r="C100" s="530"/>
      <c r="D100" s="530"/>
      <c r="E100" s="530"/>
      <c r="F100" s="530"/>
      <c r="G100" s="530"/>
      <c r="H100" s="530"/>
      <c r="I100" s="530"/>
      <c r="J100" s="530"/>
      <c r="K100" s="531"/>
      <c r="L100" s="532"/>
      <c r="M100" s="533"/>
      <c r="N100" s="1154"/>
      <c r="O100" s="1154"/>
      <c r="P100" s="262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5"/>
      <c r="O101" s="1155"/>
      <c r="P101" s="2626"/>
      <c r="Q101" s="504"/>
    </row>
    <row r="102" spans="1:17" ht="15.75" thickTop="1">
      <c r="A102" s="534"/>
      <c r="B102" s="538" t="s">
        <v>2601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3"/>
      <c r="O102" s="1153"/>
      <c r="P102" s="2626"/>
      <c r="Q102" s="504"/>
    </row>
    <row r="103" spans="1:17" s="471" customFormat="1">
      <c r="A103" s="593"/>
      <c r="B103" s="594"/>
      <c r="C103" s="595"/>
      <c r="D103" s="595"/>
      <c r="E103" s="595"/>
      <c r="F103" s="595"/>
      <c r="G103" s="595"/>
      <c r="H103" s="595"/>
      <c r="I103" s="595"/>
      <c r="J103" s="596"/>
      <c r="K103" s="596"/>
      <c r="L103" s="597"/>
      <c r="M103" s="598"/>
      <c r="N103" s="1156"/>
      <c r="O103" s="1156"/>
      <c r="P103" s="2627"/>
      <c r="Q103" s="559"/>
    </row>
    <row r="104" spans="1:17" s="471" customFormat="1" ht="15.75" thickBot="1">
      <c r="A104" s="553"/>
      <c r="B104" s="543"/>
      <c r="C104" s="560"/>
      <c r="D104" s="536"/>
      <c r="E104" s="536"/>
      <c r="F104" s="536"/>
      <c r="G104" s="536"/>
      <c r="H104" s="536"/>
      <c r="I104" s="536"/>
      <c r="J104" s="536"/>
      <c r="K104" s="536"/>
      <c r="L104" s="536"/>
      <c r="M104" s="537"/>
      <c r="N104" s="1155"/>
      <c r="O104" s="1155"/>
      <c r="P104" s="2627"/>
      <c r="Q104" s="559"/>
    </row>
    <row r="105" spans="1:17" ht="15" thickTop="1">
      <c r="A105" s="599"/>
      <c r="B105" s="538" t="s">
        <v>2602</v>
      </c>
      <c r="C105" s="554"/>
      <c r="D105" s="554"/>
      <c r="E105" s="583"/>
      <c r="F105" s="583"/>
      <c r="G105" s="583"/>
      <c r="H105" s="583"/>
      <c r="I105" s="583"/>
      <c r="J105" s="583"/>
      <c r="K105" s="584"/>
      <c r="L105" s="585"/>
      <c r="M105" s="586"/>
      <c r="N105" s="1154"/>
      <c r="O105" s="1154"/>
      <c r="P105" s="262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5"/>
      <c r="O106" s="1155"/>
      <c r="P106" s="2626"/>
      <c r="Q106" s="504"/>
    </row>
    <row r="107" spans="1:17" ht="15" thickTop="1">
      <c r="A107" s="599"/>
      <c r="B107" s="538" t="s">
        <v>2604</v>
      </c>
      <c r="C107" s="554"/>
      <c r="D107" s="554"/>
      <c r="E107" s="554"/>
      <c r="F107" s="583"/>
      <c r="G107" s="583"/>
      <c r="H107" s="583"/>
      <c r="I107" s="583"/>
      <c r="J107" s="583"/>
      <c r="K107" s="584"/>
      <c r="L107" s="585"/>
      <c r="M107" s="586"/>
      <c r="N107" s="1154"/>
      <c r="O107" s="1154"/>
      <c r="P107" s="262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5"/>
      <c r="O108" s="1155"/>
      <c r="P108" s="2626"/>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4"/>
      <c r="O109" s="1154"/>
      <c r="P109" s="2626"/>
      <c r="Q109" s="504"/>
    </row>
    <row r="110" spans="1:17">
      <c r="A110" s="599"/>
      <c r="B110" s="546"/>
      <c r="C110" s="603">
        <v>0.5</v>
      </c>
      <c r="D110" s="603">
        <v>0.6</v>
      </c>
      <c r="E110" s="603">
        <v>0.7</v>
      </c>
      <c r="F110" s="603">
        <v>0.8</v>
      </c>
      <c r="G110" s="603">
        <v>0.9</v>
      </c>
      <c r="H110" s="603">
        <v>1.0001</v>
      </c>
      <c r="I110" s="623"/>
      <c r="J110" s="623"/>
      <c r="K110" s="624"/>
      <c r="L110" s="625"/>
      <c r="M110" s="626"/>
      <c r="N110" s="1154"/>
      <c r="O110" s="1154"/>
      <c r="P110" s="262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5"/>
      <c r="O111" s="1155"/>
      <c r="P111" s="2626"/>
      <c r="Q111" s="504"/>
    </row>
    <row r="112" spans="1:17" s="471" customFormat="1" ht="15" thickTop="1">
      <c r="A112" s="593"/>
      <c r="B112" s="538" t="s">
        <v>2606</v>
      </c>
      <c r="C112" s="554"/>
      <c r="D112" s="554"/>
      <c r="E112" s="554"/>
      <c r="F112" s="554"/>
      <c r="G112" s="554"/>
      <c r="H112" s="583"/>
      <c r="I112" s="583"/>
      <c r="J112" s="583"/>
      <c r="K112" s="584"/>
      <c r="L112" s="585"/>
      <c r="M112" s="586"/>
      <c r="N112" s="1156"/>
      <c r="O112" s="1156"/>
      <c r="P112" s="262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6"/>
      <c r="O113" s="1156"/>
      <c r="P113" s="2627"/>
      <c r="Q113" s="559"/>
    </row>
    <row r="114" spans="1:17" ht="15" thickTop="1">
      <c r="A114" s="599"/>
      <c r="B114" s="538" t="s">
        <v>2670</v>
      </c>
      <c r="C114" s="554"/>
      <c r="D114" s="554"/>
      <c r="E114" s="583"/>
      <c r="F114" s="583"/>
      <c r="G114" s="583"/>
      <c r="H114" s="583"/>
      <c r="I114" s="583"/>
      <c r="J114" s="583"/>
      <c r="K114" s="584"/>
      <c r="L114" s="585"/>
      <c r="M114" s="586"/>
      <c r="N114" s="1154"/>
      <c r="O114" s="1154"/>
      <c r="P114" s="262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2626"/>
      <c r="Q115" s="504"/>
    </row>
    <row r="116" spans="1:17" ht="15" thickTop="1">
      <c r="A116" s="599"/>
      <c r="B116" s="538" t="s">
        <v>2671</v>
      </c>
      <c r="C116" s="554"/>
      <c r="D116" s="554"/>
      <c r="E116" s="554"/>
      <c r="F116" s="554"/>
      <c r="G116" s="554"/>
      <c r="H116" s="583"/>
      <c r="I116" s="583"/>
      <c r="J116" s="583"/>
      <c r="K116" s="584"/>
      <c r="L116" s="585"/>
      <c r="M116" s="586"/>
      <c r="N116" s="1154"/>
      <c r="O116" s="1154"/>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26"/>
      <c r="Q117" s="504"/>
    </row>
    <row r="118" spans="1:17" ht="15" thickTop="1">
      <c r="A118" s="599"/>
      <c r="B118" s="538" t="s">
        <v>2672</v>
      </c>
      <c r="C118" s="627"/>
      <c r="D118" s="627"/>
      <c r="E118" s="627"/>
      <c r="F118" s="627"/>
      <c r="G118" s="627"/>
      <c r="H118" s="555"/>
      <c r="I118" s="555"/>
      <c r="J118" s="555"/>
      <c r="K118" s="555"/>
      <c r="L118" s="556"/>
      <c r="M118" s="557"/>
      <c r="N118" s="1154"/>
      <c r="O118" s="1154"/>
      <c r="P118" s="2626"/>
      <c r="Q118" s="504"/>
    </row>
    <row r="119" spans="1:17" ht="15.75" thickBot="1">
      <c r="A119" s="534"/>
      <c r="B119" s="543"/>
      <c r="C119" s="560"/>
      <c r="D119" s="536"/>
      <c r="E119" s="536"/>
      <c r="F119" s="536"/>
      <c r="G119" s="536"/>
      <c r="H119" s="536"/>
      <c r="I119" s="536"/>
      <c r="J119" s="536"/>
      <c r="K119" s="536"/>
      <c r="L119" s="536"/>
      <c r="M119" s="537"/>
      <c r="N119" s="1155"/>
      <c r="O119" s="1155"/>
      <c r="P119" s="2626"/>
      <c r="Q119" s="504"/>
    </row>
    <row r="120" spans="1:17" s="471" customFormat="1" ht="15" thickTop="1">
      <c r="A120" s="593"/>
      <c r="B120" s="538" t="s">
        <v>2673</v>
      </c>
      <c r="C120" s="583"/>
      <c r="D120" s="583"/>
      <c r="E120" s="583"/>
      <c r="F120" s="583"/>
      <c r="G120" s="555"/>
      <c r="H120" s="555"/>
      <c r="I120" s="555"/>
      <c r="J120" s="555"/>
      <c r="K120" s="555"/>
      <c r="L120" s="556"/>
      <c r="M120" s="557"/>
      <c r="N120" s="1156"/>
      <c r="O120" s="1156"/>
      <c r="P120" s="262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6"/>
      <c r="O121" s="1156"/>
      <c r="P121" s="2627"/>
      <c r="Q121" s="559"/>
    </row>
    <row r="122" spans="1:17" ht="15" thickTop="1">
      <c r="A122" s="599"/>
      <c r="B122" s="538" t="s">
        <v>2608</v>
      </c>
      <c r="C122" s="554"/>
      <c r="D122" s="554"/>
      <c r="E122" s="554"/>
      <c r="F122" s="583"/>
      <c r="G122" s="583"/>
      <c r="H122" s="583"/>
      <c r="I122" s="583"/>
      <c r="J122" s="583"/>
      <c r="K122" s="584"/>
      <c r="L122" s="585"/>
      <c r="M122" s="586"/>
      <c r="N122" s="1154"/>
      <c r="O122" s="1154"/>
      <c r="P122" s="262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5"/>
      <c r="O123" s="1155"/>
      <c r="P123" s="2626"/>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4"/>
      <c r="O124" s="1154"/>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26"/>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27"/>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27"/>
      <c r="Q127" s="559"/>
    </row>
    <row r="128" spans="1:17" ht="15" thickTop="1">
      <c r="A128" s="599"/>
      <c r="B128" s="538">
        <f>B45</f>
        <v>111</v>
      </c>
      <c r="C128" s="554"/>
      <c r="D128" s="554"/>
      <c r="E128" s="554"/>
      <c r="F128" s="554"/>
      <c r="G128" s="583"/>
      <c r="H128" s="583"/>
      <c r="I128" s="583"/>
      <c r="J128" s="583"/>
      <c r="K128" s="584"/>
      <c r="L128" s="585"/>
      <c r="M128" s="586"/>
      <c r="N128" s="1154"/>
      <c r="O128" s="1154"/>
      <c r="P128" s="2626"/>
      <c r="Q128" s="504"/>
    </row>
    <row r="129" spans="1:17" ht="15.75" thickBot="1">
      <c r="A129" s="534"/>
      <c r="B129" s="543"/>
      <c r="C129" s="560"/>
      <c r="D129" s="536"/>
      <c r="E129" s="536"/>
      <c r="F129" s="536"/>
      <c r="G129" s="536"/>
      <c r="H129" s="536"/>
      <c r="I129" s="536"/>
      <c r="J129" s="536"/>
      <c r="K129" s="536"/>
      <c r="L129" s="536"/>
      <c r="M129" s="537"/>
      <c r="N129" s="1155"/>
      <c r="O129" s="1155"/>
      <c r="P129" s="2626"/>
      <c r="Q129" s="504"/>
    </row>
    <row r="130" spans="1:17" ht="15" thickTop="1">
      <c r="A130" s="599"/>
      <c r="B130" s="546">
        <f>B46</f>
        <v>111</v>
      </c>
      <c r="C130" s="554"/>
      <c r="D130" s="554"/>
      <c r="E130" s="554"/>
      <c r="F130" s="554"/>
      <c r="G130" s="587"/>
      <c r="H130" s="587"/>
      <c r="I130" s="587"/>
      <c r="J130" s="587"/>
      <c r="K130" s="523"/>
      <c r="L130" s="524"/>
      <c r="M130" s="590"/>
      <c r="N130" s="1154"/>
      <c r="O130" s="1154"/>
      <c r="P130" s="2626"/>
      <c r="Q130" s="504"/>
    </row>
    <row r="131" spans="1:17" ht="15.75" thickBot="1">
      <c r="A131" s="2632"/>
      <c r="B131" s="569"/>
      <c r="C131" s="570"/>
      <c r="D131" s="570"/>
      <c r="E131" s="570"/>
      <c r="F131" s="570"/>
      <c r="G131" s="591"/>
      <c r="H131" s="591"/>
      <c r="I131" s="591"/>
      <c r="J131" s="591"/>
      <c r="K131" s="591"/>
      <c r="L131" s="591"/>
      <c r="M131" s="592"/>
      <c r="N131" s="1155"/>
      <c r="O131" s="1155"/>
      <c r="P131" s="262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9" priority="17" stopIfTrue="1" operator="containsText" text="超过">
      <formula>NOT(ISERROR(SEARCH("超过",F52)))</formula>
    </cfRule>
  </conditionalFormatting>
  <conditionalFormatting sqref="H54">
    <cfRule type="containsText" dxfId="118" priority="15" stopIfTrue="1" operator="containsText" text="超过">
      <formula>NOT(ISERROR(SEARCH("超过",H54)))</formula>
    </cfRule>
  </conditionalFormatting>
  <conditionalFormatting sqref="F54">
    <cfRule type="containsText" dxfId="117" priority="14" stopIfTrue="1" operator="containsText" text="超过">
      <formula>NOT(ISERROR(SEARCH("超过",F54)))</formula>
    </cfRule>
  </conditionalFormatting>
  <conditionalFormatting sqref="F53 H53">
    <cfRule type="containsText" dxfId="116" priority="13" stopIfTrue="1" operator="containsText" text="超过">
      <formula>NOT(ISERROR(SEARCH("超过",F53)))</formula>
    </cfRule>
  </conditionalFormatting>
  <conditionalFormatting sqref="E52">
    <cfRule type="expression" dxfId="115" priority="12"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G54">
    <cfRule type="expression" dxfId="112" priority="9" stopIfTrue="1">
      <formula>$H$54="超过30%"</formula>
    </cfRule>
  </conditionalFormatting>
  <conditionalFormatting sqref="G52">
    <cfRule type="expression" dxfId="111" priority="8" stopIfTrue="1">
      <formula>$H$52="超过30%"</formula>
    </cfRule>
  </conditionalFormatting>
  <conditionalFormatting sqref="G53">
    <cfRule type="expression" dxfId="110" priority="7" stopIfTrue="1">
      <formula>$H$53="超过20%"</formula>
    </cfRule>
  </conditionalFormatting>
  <conditionalFormatting sqref="J52">
    <cfRule type="containsText" dxfId="109" priority="6" stopIfTrue="1" operator="containsText" text="超过">
      <formula>NOT(ISERROR(SEARCH("超过",J52)))</formula>
    </cfRule>
  </conditionalFormatting>
  <conditionalFormatting sqref="J54">
    <cfRule type="containsText" dxfId="108" priority="5" stopIfTrue="1" operator="containsText" text="超过">
      <formula>NOT(ISERROR(SEARCH("超过",J54)))</formula>
    </cfRule>
  </conditionalFormatting>
  <conditionalFormatting sqref="J53">
    <cfRule type="containsText" dxfId="107" priority="4" stopIfTrue="1" operator="containsText" text="超过">
      <formula>NOT(ISERROR(SEARCH("超过",J53)))</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1611</v>
      </c>
    </row>
    <row r="2" spans="1:1">
      <c r="A2" s="1948"/>
    </row>
    <row r="3" spans="1:1" ht="18">
      <c r="A3" s="1949" t="str">
        <f>项目基本情况!B5&amp;"："</f>
        <v>北京厦诚科技有限公司：</v>
      </c>
    </row>
    <row r="4" spans="1:1" ht="36">
      <c r="A4" s="1950" t="str">
        <f>"受贵公司委托，我公司对"&amp;项目基本情况!S1&amp;"进行了预评估。"</f>
        <v>受贵公司委托，我公司对北京市昌平区超前路37号院20号楼1至4层101号房地产抵押价值进行了预评估。</v>
      </c>
    </row>
    <row r="5" spans="1:1" ht="18.75">
      <c r="A5" s="1951" t="s">
        <v>1612</v>
      </c>
    </row>
    <row r="6" spans="1:1" ht="18.75">
      <c r="A6" s="1952" t="s">
        <v>1613</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估价对象为北京市昌平区超前路37号院20号楼1至4层101号房地产，为北京厦诚科技有限公司所有。根据《不动产权证书》，估价对象（分摊）出让国有建设用地使用权面积为0平方米，建筑面积为1246.4平方米。</v>
      </c>
    </row>
    <row r="8" spans="1:1" ht="57.75">
      <c r="A8" s="1953" t="s">
        <v>1614</v>
      </c>
    </row>
    <row r="9" spans="1:1" ht="18.75">
      <c r="A9" s="1952" t="s">
        <v>1615</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超前路37号院20号楼1至4层101号房地产,属北京厦诚科技有限公司开发建设的工业项目，该项目尚在开发建设中。根据《不动产权证书》，估价对象（分摊）出让国有建设用地使用权面积为0平方米，规划建筑面积为1246.4平方米。</v>
      </c>
    </row>
    <row r="11" spans="1:1" ht="76.5">
      <c r="A11" s="1953" t="s">
        <v>1616</v>
      </c>
    </row>
    <row r="12" spans="1:1" ht="18.75">
      <c r="A12" s="1951" t="s">
        <v>1617</v>
      </c>
    </row>
    <row r="13" spans="1:1" ht="38.25" customHeight="1">
      <c r="A13" s="1954" t="str">
        <f>IF(项目基本情况!B8="抵押",IF(项目基本情况!B5=项目基本情况!B6,定义!C51,定义!B51),定义!D51)</f>
        <v>为估价委托人在向工商银行总行北京分行昌平支行办理贷款手续过程中，确定房地产抵押贷款额度提供参考依据而评估房地产抵押价值。</v>
      </c>
    </row>
    <row r="14" spans="1:1" ht="18.75">
      <c r="A14" s="1955" t="s">
        <v>1618</v>
      </c>
    </row>
    <row r="15" spans="1:1" ht="18">
      <c r="A15" s="1956" t="str">
        <f>TEXT(项目基本情况!D3,"yyyy年m月d日;;")&amp;IF(项目基本情况!D3=项目基本情况!B3,"（评估专业人员实地查勘之日）","")</f>
        <v>2018年3月6日（评估专业人员实地查勘之日）</v>
      </c>
    </row>
    <row r="16" spans="1:1" ht="18.75">
      <c r="A16" s="1955" t="s">
        <v>1619</v>
      </c>
    </row>
    <row r="17" spans="1:1" ht="75">
      <c r="A17" s="1950" t="s">
        <v>1620</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6日，估价对象规划用途为工业，土地取得方式为出让，出让国有建设用地使用权剩余土地使用年限为工业43.03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红线内场地平整条件下，剩余土地使用年限为工业43.03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1609</v>
      </c>
    </row>
    <row r="24" spans="1:1" ht="18">
      <c r="A24" s="1957" t="str">
        <f>"本次评估采用的主估价方法为"&amp;结果表!K4&amp;"和"&amp;结果表!L4&amp;"。"</f>
        <v>本次评估采用的主估价方法为比较法和收益法。</v>
      </c>
    </row>
    <row r="25" spans="1:1" ht="18">
      <c r="A25" s="1957"/>
    </row>
    <row r="26" spans="1:1" ht="18.75">
      <c r="A26" s="1958" t="s">
        <v>1610</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665" t="s">
        <v>2674</v>
      </c>
      <c r="C1" s="1622" t="s">
        <v>2518</v>
      </c>
      <c r="D1" s="1623"/>
      <c r="E1" s="1632"/>
      <c r="F1" s="2580"/>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t="e">
        <f ca="1">IF(C2="——",ROUND(C50*D3/10000,0),ROUND(C50*D3/10000,0)-D2)</f>
        <v>#DIV/0!</v>
      </c>
      <c r="C2" s="2582"/>
      <c r="D2" s="1367" t="e">
        <f ca="1">SUMIF(INDIRECT("'"&amp;F2&amp;"'"&amp;"!A:A"),"承租人权益价值",INDIRECT("'"&amp;F2&amp;"'"&amp;"!c:c"))</f>
        <v>#REF!</v>
      </c>
      <c r="E2" s="2583" t="s">
        <v>2316</v>
      </c>
      <c r="F2" s="2584"/>
      <c r="G2" s="1127"/>
      <c r="H2" s="1127"/>
      <c r="I2" s="1127"/>
      <c r="J2" s="1127"/>
      <c r="K2" s="1127"/>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2317</v>
      </c>
      <c r="B3" s="609" t="e">
        <f ca="1">IF(C2="——",C50,ROUND(B2*10000/D3,0))</f>
        <v>#DIV/0!</v>
      </c>
      <c r="C3" s="400" t="s">
        <v>2632</v>
      </c>
      <c r="D3" s="399">
        <f>IF(D1="",'数据-汇总表'!E3,SUMIF('数据-汇总表'!$C19:$C33,D1,'数据-汇总表'!$E19:$E33))</f>
        <v>1246.4000000000001</v>
      </c>
      <c r="E3" s="2659"/>
      <c r="F3" s="1128"/>
      <c r="G3" s="1127"/>
      <c r="H3" s="1127"/>
      <c r="I3" s="1127"/>
      <c r="J3" s="1127"/>
      <c r="K3" s="1129"/>
      <c r="L3" s="1130"/>
      <c r="M3" s="1131"/>
      <c r="N3" s="1131"/>
      <c r="O3" s="1131"/>
      <c r="P3" s="768"/>
      <c r="Q3" s="768"/>
      <c r="R3" s="768"/>
      <c r="S3" s="768"/>
      <c r="T3" s="768"/>
      <c r="U3" s="768"/>
      <c r="V3" s="768"/>
      <c r="W3" s="768"/>
      <c r="X3" s="768"/>
      <c r="Y3" s="768"/>
      <c r="Z3" s="768"/>
      <c r="AA3" s="768"/>
      <c r="AB3" s="768"/>
      <c r="AC3" s="769"/>
    </row>
    <row r="4" spans="1:29" ht="15">
      <c r="A4" s="401" t="s">
        <v>2633</v>
      </c>
      <c r="B4" s="402"/>
      <c r="C4" s="3212" t="s">
        <v>2634</v>
      </c>
      <c r="D4" s="3213"/>
      <c r="E4" s="3214" t="s">
        <v>2635</v>
      </c>
      <c r="F4" s="3215"/>
      <c r="G4" s="3212" t="s">
        <v>2636</v>
      </c>
      <c r="H4" s="3213"/>
      <c r="I4" s="3212" t="s">
        <v>2637</v>
      </c>
      <c r="J4" s="3213"/>
      <c r="K4" s="610" t="s">
        <v>2638</v>
      </c>
      <c r="L4" s="1132"/>
      <c r="M4" s="1133"/>
      <c r="N4" s="1133"/>
      <c r="O4" s="1133"/>
      <c r="P4" s="3246" t="s">
        <v>2639</v>
      </c>
      <c r="Q4" s="3247"/>
      <c r="R4" s="3241" t="s">
        <v>2635</v>
      </c>
      <c r="S4" s="3242"/>
      <c r="T4" s="3241" t="s">
        <v>2636</v>
      </c>
      <c r="U4" s="3242"/>
      <c r="V4" s="3250" t="s">
        <v>2637</v>
      </c>
      <c r="W4" s="3250"/>
      <c r="X4" s="2666"/>
      <c r="Y4" s="3241" t="s">
        <v>2639</v>
      </c>
      <c r="Z4" s="3242"/>
      <c r="AA4" s="3240" t="s">
        <v>2635</v>
      </c>
      <c r="AB4" s="3240" t="s">
        <v>2636</v>
      </c>
      <c r="AC4" s="3243" t="s">
        <v>2637</v>
      </c>
    </row>
    <row r="5" spans="1:29" ht="15">
      <c r="A5" s="404"/>
      <c r="B5" s="405"/>
      <c r="C5" s="3205" t="s">
        <v>2530</v>
      </c>
      <c r="D5" s="3206"/>
      <c r="E5" s="3203" t="s">
        <v>2531</v>
      </c>
      <c r="F5" s="3204"/>
      <c r="G5" s="3205" t="s">
        <v>2532</v>
      </c>
      <c r="H5" s="3206"/>
      <c r="I5" s="3205" t="s">
        <v>2533</v>
      </c>
      <c r="J5" s="3206"/>
      <c r="K5" s="610"/>
      <c r="L5" s="1132"/>
      <c r="M5" s="1133"/>
      <c r="N5" s="1133"/>
      <c r="O5" s="1133"/>
      <c r="P5" s="3248"/>
      <c r="Q5" s="3219"/>
      <c r="R5" s="3201"/>
      <c r="S5" s="3202"/>
      <c r="T5" s="3201"/>
      <c r="U5" s="3202"/>
      <c r="V5" s="3224"/>
      <c r="W5" s="3224"/>
      <c r="X5" s="1815"/>
      <c r="Y5" s="3201"/>
      <c r="Z5" s="3202"/>
      <c r="AA5" s="3195"/>
      <c r="AB5" s="3195"/>
      <c r="AC5" s="3244"/>
    </row>
    <row r="6" spans="1:29" ht="15.75" thickBot="1">
      <c r="A6" s="406"/>
      <c r="B6" s="407"/>
      <c r="C6" s="3207" t="s">
        <v>2534</v>
      </c>
      <c r="D6" s="3208"/>
      <c r="E6" s="3209" t="s">
        <v>2534</v>
      </c>
      <c r="F6" s="3210"/>
      <c r="G6" s="3207" t="s">
        <v>2534</v>
      </c>
      <c r="H6" s="3208"/>
      <c r="I6" s="3207" t="s">
        <v>2534</v>
      </c>
      <c r="J6" s="3208"/>
      <c r="K6" s="610" t="s">
        <v>2535</v>
      </c>
      <c r="L6" s="1132"/>
      <c r="M6" s="1133"/>
      <c r="N6" s="1133"/>
      <c r="O6" s="1133"/>
      <c r="P6" s="3249"/>
      <c r="Q6" s="3221"/>
      <c r="R6" s="3201"/>
      <c r="S6" s="3202"/>
      <c r="T6" s="3222"/>
      <c r="U6" s="3223"/>
      <c r="V6" s="3224"/>
      <c r="W6" s="3224"/>
      <c r="X6" s="1815"/>
      <c r="Y6" s="3222"/>
      <c r="Z6" s="3223"/>
      <c r="AA6" s="3196"/>
      <c r="AB6" s="3196"/>
      <c r="AC6" s="3245"/>
    </row>
    <row r="7" spans="1:29" s="117" customFormat="1" ht="15.75" thickBot="1">
      <c r="A7" s="408" t="s">
        <v>2536</v>
      </c>
      <c r="B7" s="409"/>
      <c r="C7" s="410">
        <f>'数据-取费表'!B2</f>
        <v>43165</v>
      </c>
      <c r="D7" s="411">
        <v>100</v>
      </c>
      <c r="E7" s="412"/>
      <c r="F7" s="413">
        <f>SUMIF(59:59,YEAR(E7)&amp;"-"&amp;MONTH(E7),60:60)</f>
        <v>0</v>
      </c>
      <c r="G7" s="412"/>
      <c r="H7" s="411">
        <f>SUMIF(59:59,YEAR(G7)&amp;"-"&amp;MONTH(G7),60:60)</f>
        <v>0</v>
      </c>
      <c r="I7" s="412"/>
      <c r="J7" s="411">
        <f>SUMIF(59:59,YEAR(I7)&amp;"-"&amp;MONTH(I7),60:60)</f>
        <v>0</v>
      </c>
      <c r="K7" s="611"/>
      <c r="L7" s="1134"/>
      <c r="M7" s="1135"/>
      <c r="N7" s="1135"/>
      <c r="O7" s="1135"/>
      <c r="P7" s="3251" t="s">
        <v>2537</v>
      </c>
      <c r="Q7" s="3225"/>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2667"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4"/>
      <c r="M8" s="1135"/>
      <c r="N8" s="1135"/>
      <c r="O8" s="1135"/>
      <c r="P8" s="3251" t="s">
        <v>2540</v>
      </c>
      <c r="Q8" s="3198"/>
      <c r="R8" s="770" t="s">
        <v>17</v>
      </c>
      <c r="S8" s="771">
        <f t="shared" si="0"/>
        <v>0</v>
      </c>
      <c r="T8" s="770" t="s">
        <v>17</v>
      </c>
      <c r="U8" s="771">
        <f t="shared" si="1"/>
        <v>0</v>
      </c>
      <c r="V8" s="770" t="s">
        <v>17</v>
      </c>
      <c r="W8" s="771">
        <f t="shared" si="2"/>
        <v>0</v>
      </c>
      <c r="X8" s="772"/>
      <c r="Y8" s="3197" t="s">
        <v>2540</v>
      </c>
      <c r="Z8" s="3198"/>
      <c r="AA8" s="773" t="e">
        <f t="shared" ref="AA8:AA47" si="3">D8/F8</f>
        <v>#DIV/0!</v>
      </c>
      <c r="AB8" s="773" t="e">
        <f t="shared" ref="AB8:AB47" si="4">D8/H8</f>
        <v>#DIV/0!</v>
      </c>
      <c r="AC8" s="2667"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4"/>
      <c r="M9" s="1135"/>
      <c r="N9" s="1135"/>
      <c r="O9" s="1135"/>
      <c r="P9" s="3211" t="s">
        <v>2543</v>
      </c>
      <c r="Q9" s="1797" t="str">
        <f t="shared" ref="Q9:Q15" si="6">B9</f>
        <v>用途</v>
      </c>
      <c r="R9" s="770" t="s">
        <v>17</v>
      </c>
      <c r="S9" s="771">
        <f t="shared" si="0"/>
        <v>100</v>
      </c>
      <c r="T9" s="770" t="s">
        <v>17</v>
      </c>
      <c r="U9" s="771">
        <f t="shared" si="1"/>
        <v>100</v>
      </c>
      <c r="V9" s="770" t="s">
        <v>17</v>
      </c>
      <c r="W9" s="771">
        <f t="shared" si="2"/>
        <v>100</v>
      </c>
      <c r="X9" s="772"/>
      <c r="Y9" s="3024" t="s">
        <v>2544</v>
      </c>
      <c r="Z9" s="55" t="str">
        <f t="shared" ref="Z9:Z15" si="7">Q9</f>
        <v>用途</v>
      </c>
      <c r="AA9" s="773">
        <f t="shared" si="3"/>
        <v>1</v>
      </c>
      <c r="AB9" s="773">
        <f t="shared" si="4"/>
        <v>1</v>
      </c>
      <c r="AC9" s="2667">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7"/>
      <c r="M10" s="1138"/>
      <c r="N10" s="1138"/>
      <c r="O10" s="1138"/>
      <c r="P10" s="3211"/>
      <c r="Q10" s="1797" t="str">
        <f t="shared" si="6"/>
        <v>土地使用年限（年）</v>
      </c>
      <c r="R10" s="770" t="s">
        <v>17</v>
      </c>
      <c r="S10" s="771">
        <f t="shared" si="0"/>
        <v>100</v>
      </c>
      <c r="T10" s="770" t="s">
        <v>17</v>
      </c>
      <c r="U10" s="771">
        <f t="shared" si="1"/>
        <v>100</v>
      </c>
      <c r="V10" s="770" t="s">
        <v>17</v>
      </c>
      <c r="W10" s="771">
        <f t="shared" si="2"/>
        <v>100</v>
      </c>
      <c r="X10" s="772"/>
      <c r="Y10" s="3024"/>
      <c r="Z10" s="55" t="str">
        <f t="shared" si="7"/>
        <v>土地使用年限（年）</v>
      </c>
      <c r="AA10" s="773">
        <f t="shared" si="3"/>
        <v>1</v>
      </c>
      <c r="AB10" s="773">
        <f t="shared" si="4"/>
        <v>1</v>
      </c>
      <c r="AC10" s="2667">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0"/>
      <c r="M11" s="1133"/>
      <c r="N11" s="1133"/>
      <c r="O11" s="1133"/>
      <c r="P11" s="3211"/>
      <c r="Q11" s="1797" t="str">
        <f t="shared" si="6"/>
        <v>容积率</v>
      </c>
      <c r="R11" s="770" t="s">
        <v>17</v>
      </c>
      <c r="S11" s="771" t="e">
        <f t="shared" si="0"/>
        <v>#N/A</v>
      </c>
      <c r="T11" s="770" t="s">
        <v>17</v>
      </c>
      <c r="U11" s="771" t="e">
        <f t="shared" si="1"/>
        <v>#N/A</v>
      </c>
      <c r="V11" s="770" t="s">
        <v>17</v>
      </c>
      <c r="W11" s="771" t="e">
        <f t="shared" si="2"/>
        <v>#N/A</v>
      </c>
      <c r="X11" s="772"/>
      <c r="Y11" s="3024"/>
      <c r="Z11" s="55" t="str">
        <f t="shared" si="7"/>
        <v>容积率</v>
      </c>
      <c r="AA11" s="773" t="e">
        <f t="shared" si="3"/>
        <v>#N/A</v>
      </c>
      <c r="AB11" s="773" t="e">
        <f t="shared" si="4"/>
        <v>#N/A</v>
      </c>
      <c r="AC11" s="2667" t="e">
        <f t="shared" si="5"/>
        <v>#N/A</v>
      </c>
    </row>
    <row r="12" spans="1:29" s="117" customFormat="1" ht="15">
      <c r="A12" s="431"/>
      <c r="B12" s="2596">
        <v>111</v>
      </c>
      <c r="C12" s="432"/>
      <c r="D12" s="433">
        <v>100</v>
      </c>
      <c r="E12" s="432"/>
      <c r="F12" s="136">
        <f>SUMIF(71:71,E12,72:72)-SUMIF(71:71,C12,72:72)+100</f>
        <v>100</v>
      </c>
      <c r="G12" s="2668"/>
      <c r="H12" s="136">
        <f>SUMIF(71:71,G12,72:72)-SUMIF(71:71,C12,72:72)+100</f>
        <v>100</v>
      </c>
      <c r="I12" s="432"/>
      <c r="J12" s="136">
        <f>SUMIF(71:71,I12,72:72)-SUMIF(71:71,C12,72:72)+100</f>
        <v>100</v>
      </c>
      <c r="K12" s="613"/>
      <c r="L12" s="1134"/>
      <c r="M12" s="1135"/>
      <c r="N12" s="1135"/>
      <c r="O12" s="1135"/>
      <c r="P12" s="3211"/>
      <c r="Q12" s="1797">
        <f t="shared" si="6"/>
        <v>111</v>
      </c>
      <c r="R12" s="770" t="s">
        <v>17</v>
      </c>
      <c r="S12" s="771">
        <f t="shared" si="0"/>
        <v>100</v>
      </c>
      <c r="T12" s="770" t="s">
        <v>17</v>
      </c>
      <c r="U12" s="771">
        <f t="shared" si="1"/>
        <v>100</v>
      </c>
      <c r="V12" s="770" t="s">
        <v>17</v>
      </c>
      <c r="W12" s="771">
        <f t="shared" si="2"/>
        <v>100</v>
      </c>
      <c r="X12" s="772"/>
      <c r="Y12" s="3024"/>
      <c r="Z12" s="55">
        <f t="shared" si="7"/>
        <v>111</v>
      </c>
      <c r="AA12" s="773">
        <f>D12/F12</f>
        <v>1</v>
      </c>
      <c r="AB12" s="773">
        <f>D12/H12</f>
        <v>1</v>
      </c>
      <c r="AC12" s="2667">
        <f>D12/J12</f>
        <v>1</v>
      </c>
    </row>
    <row r="13" spans="1:29" ht="15">
      <c r="A13" s="428"/>
      <c r="B13" s="2596">
        <v>111</v>
      </c>
      <c r="C13" s="434"/>
      <c r="D13" s="435">
        <v>100</v>
      </c>
      <c r="E13" s="432"/>
      <c r="F13" s="136">
        <f>SUMIF(73:73,E13,74:74)-SUMIF(73:73,C13,74:74)+100</f>
        <v>100</v>
      </c>
      <c r="G13" s="2668"/>
      <c r="H13" s="435">
        <f>SUMIF(73:73,G13,74:74)-SUMIF(73:73,C13,74:74)+100</f>
        <v>100</v>
      </c>
      <c r="I13" s="432"/>
      <c r="J13" s="435">
        <f>SUMIF(73:73,I13,74:74)-SUMIF(73:73,C13,74:74)+100</f>
        <v>100</v>
      </c>
      <c r="K13" s="613"/>
      <c r="L13" s="1142"/>
      <c r="M13" s="1133"/>
      <c r="N13" s="1133"/>
      <c r="O13" s="1133"/>
      <c r="P13" s="3211"/>
      <c r="Q13" s="1797">
        <f t="shared" si="6"/>
        <v>111</v>
      </c>
      <c r="R13" s="770" t="s">
        <v>17</v>
      </c>
      <c r="S13" s="771">
        <f t="shared" si="0"/>
        <v>100</v>
      </c>
      <c r="T13" s="770" t="s">
        <v>17</v>
      </c>
      <c r="U13" s="771">
        <f t="shared" si="1"/>
        <v>100</v>
      </c>
      <c r="V13" s="770" t="s">
        <v>17</v>
      </c>
      <c r="W13" s="771">
        <f t="shared" si="2"/>
        <v>100</v>
      </c>
      <c r="X13" s="772"/>
      <c r="Y13" s="3024"/>
      <c r="Z13" s="55">
        <f t="shared" si="7"/>
        <v>111</v>
      </c>
      <c r="AA13" s="773">
        <f t="shared" si="3"/>
        <v>1</v>
      </c>
      <c r="AB13" s="773">
        <f t="shared" si="4"/>
        <v>1</v>
      </c>
      <c r="AC13" s="2667">
        <f t="shared" si="5"/>
        <v>1</v>
      </c>
    </row>
    <row r="14" spans="1:29" ht="15.75" thickBot="1">
      <c r="A14" s="436"/>
      <c r="B14" s="2598">
        <v>111</v>
      </c>
      <c r="C14" s="437"/>
      <c r="D14" s="438">
        <v>100</v>
      </c>
      <c r="E14" s="628"/>
      <c r="F14" s="438">
        <f>SUMIF(75:75,E14,76:76)-SUMIF(75:75,C14,76:76)+100</f>
        <v>100</v>
      </c>
      <c r="G14" s="2668"/>
      <c r="H14" s="438">
        <f>SUMIF(75:75,G14,76:76)-SUMIF(75:75,C14,76:76)+100</f>
        <v>100</v>
      </c>
      <c r="I14" s="432"/>
      <c r="J14" s="438">
        <f>SUMIF(75:75,I14,76:76)-SUMIF(75:75,C14,76:76)+100</f>
        <v>100</v>
      </c>
      <c r="K14" s="613"/>
      <c r="L14" s="1142"/>
      <c r="M14" s="1133"/>
      <c r="N14" s="1133"/>
      <c r="O14" s="1133"/>
      <c r="P14" s="3211"/>
      <c r="Q14" s="1797">
        <f t="shared" si="6"/>
        <v>111</v>
      </c>
      <c r="R14" s="770" t="s">
        <v>17</v>
      </c>
      <c r="S14" s="771">
        <f t="shared" si="0"/>
        <v>100</v>
      </c>
      <c r="T14" s="770" t="s">
        <v>17</v>
      </c>
      <c r="U14" s="771">
        <f t="shared" si="1"/>
        <v>100</v>
      </c>
      <c r="V14" s="770" t="s">
        <v>17</v>
      </c>
      <c r="W14" s="771">
        <f t="shared" si="2"/>
        <v>100</v>
      </c>
      <c r="X14" s="772"/>
      <c r="Y14" s="3024"/>
      <c r="Z14" s="55">
        <f t="shared" si="7"/>
        <v>111</v>
      </c>
      <c r="AA14" s="773">
        <f t="shared" si="3"/>
        <v>1</v>
      </c>
      <c r="AB14" s="773">
        <f t="shared" si="4"/>
        <v>1</v>
      </c>
      <c r="AC14" s="2667">
        <f t="shared" si="5"/>
        <v>1</v>
      </c>
    </row>
    <row r="15" spans="1:29" ht="15">
      <c r="A15" s="440" t="s">
        <v>2547</v>
      </c>
      <c r="B15" s="629" t="s">
        <v>2675</v>
      </c>
      <c r="C15" s="2669">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2"/>
      <c r="M15" s="1133"/>
      <c r="N15" s="1133"/>
      <c r="O15" s="1133"/>
      <c r="P15" s="3238" t="s">
        <v>2548</v>
      </c>
      <c r="Q15" s="1812" t="str">
        <f t="shared" si="6"/>
        <v>办公集聚程度</v>
      </c>
      <c r="R15" s="774" t="s">
        <v>17</v>
      </c>
      <c r="S15" s="775">
        <f t="shared" si="0"/>
        <v>100</v>
      </c>
      <c r="T15" s="774" t="s">
        <v>17</v>
      </c>
      <c r="U15" s="775">
        <f t="shared" si="1"/>
        <v>100</v>
      </c>
      <c r="V15" s="774" t="s">
        <v>17</v>
      </c>
      <c r="W15" s="775">
        <f t="shared" si="2"/>
        <v>100</v>
      </c>
      <c r="X15" s="1815"/>
      <c r="Y15" s="3231" t="s">
        <v>2548</v>
      </c>
      <c r="Z15" s="1816" t="str">
        <f t="shared" si="7"/>
        <v>办公集聚程度</v>
      </c>
      <c r="AA15" s="1813">
        <f t="shared" si="3"/>
        <v>1</v>
      </c>
      <c r="AB15" s="1813">
        <f t="shared" si="4"/>
        <v>1</v>
      </c>
      <c r="AC15" s="2670">
        <f t="shared" si="5"/>
        <v>1</v>
      </c>
    </row>
    <row r="16" spans="1:29" ht="15">
      <c r="A16" s="428"/>
      <c r="B16" s="630"/>
      <c r="C16" s="2607"/>
      <c r="D16" s="448"/>
      <c r="E16" s="447"/>
      <c r="F16" s="448"/>
      <c r="G16" s="2607"/>
      <c r="H16" s="450"/>
      <c r="I16" s="447"/>
      <c r="J16" s="448"/>
      <c r="K16" s="615"/>
      <c r="L16" s="1142"/>
      <c r="M16" s="1133"/>
      <c r="N16" s="1133"/>
      <c r="O16" s="1133"/>
      <c r="P16" s="3239"/>
      <c r="Q16" s="1812"/>
      <c r="R16" s="774"/>
      <c r="S16" s="775"/>
      <c r="T16" s="774"/>
      <c r="U16" s="775"/>
      <c r="V16" s="774"/>
      <c r="W16" s="775"/>
      <c r="X16" s="1815"/>
      <c r="Y16" s="3232"/>
      <c r="Z16" s="1816"/>
      <c r="AA16" s="1813">
        <v>1</v>
      </c>
      <c r="AB16" s="1813">
        <v>1</v>
      </c>
      <c r="AC16" s="2670">
        <v>1</v>
      </c>
    </row>
    <row r="17" spans="1:29" ht="15">
      <c r="A17" s="428"/>
      <c r="B17" s="631" t="s">
        <v>2089</v>
      </c>
      <c r="C17" s="2671">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2"/>
      <c r="M17" s="1133"/>
      <c r="N17" s="1133"/>
      <c r="O17" s="1133"/>
      <c r="P17" s="3239"/>
      <c r="Q17" s="1812" t="str">
        <f>B17</f>
        <v>交通便捷度</v>
      </c>
      <c r="R17" s="774" t="s">
        <v>17</v>
      </c>
      <c r="S17" s="775">
        <f>F17</f>
        <v>100</v>
      </c>
      <c r="T17" s="774" t="s">
        <v>17</v>
      </c>
      <c r="U17" s="775">
        <f>H17</f>
        <v>100</v>
      </c>
      <c r="V17" s="774" t="s">
        <v>17</v>
      </c>
      <c r="W17" s="775">
        <f>J17</f>
        <v>100</v>
      </c>
      <c r="X17" s="1815"/>
      <c r="Y17" s="3232"/>
      <c r="Z17" s="1816" t="str">
        <f>Q17</f>
        <v>交通便捷度</v>
      </c>
      <c r="AA17" s="1813">
        <f t="shared" si="3"/>
        <v>1</v>
      </c>
      <c r="AB17" s="1813">
        <f t="shared" si="4"/>
        <v>1</v>
      </c>
      <c r="AC17" s="2670">
        <f t="shared" si="5"/>
        <v>1</v>
      </c>
    </row>
    <row r="18" spans="1:29" ht="15">
      <c r="A18" s="428"/>
      <c r="B18" s="632"/>
      <c r="C18" s="2672"/>
      <c r="D18" s="450"/>
      <c r="E18" s="2605"/>
      <c r="F18" s="450"/>
      <c r="G18" s="2606"/>
      <c r="H18" s="448"/>
      <c r="I18" s="2606"/>
      <c r="J18" s="448"/>
      <c r="K18" s="615"/>
      <c r="L18" s="1142"/>
      <c r="M18" s="1133"/>
      <c r="N18" s="1133"/>
      <c r="O18" s="1133"/>
      <c r="P18" s="3239"/>
      <c r="Q18" s="1812"/>
      <c r="R18" s="774"/>
      <c r="S18" s="775"/>
      <c r="T18" s="774"/>
      <c r="U18" s="775"/>
      <c r="V18" s="774"/>
      <c r="W18" s="775"/>
      <c r="X18" s="1815"/>
      <c r="Y18" s="3232"/>
      <c r="Z18" s="1816"/>
      <c r="AA18" s="1813">
        <v>1</v>
      </c>
      <c r="AB18" s="1813">
        <v>1</v>
      </c>
      <c r="AC18" s="2670">
        <v>1</v>
      </c>
    </row>
    <row r="19" spans="1:29" ht="15">
      <c r="A19" s="428"/>
      <c r="B19" s="631" t="s">
        <v>2676</v>
      </c>
      <c r="C19" s="2671">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2"/>
      <c r="M19" s="1133"/>
      <c r="N19" s="1133"/>
      <c r="O19" s="1133"/>
      <c r="P19" s="3239"/>
      <c r="Q19" s="1812" t="str">
        <f>B19</f>
        <v>公共配套设施</v>
      </c>
      <c r="R19" s="774" t="s">
        <v>17</v>
      </c>
      <c r="S19" s="775">
        <f>F19</f>
        <v>100</v>
      </c>
      <c r="T19" s="774" t="s">
        <v>17</v>
      </c>
      <c r="U19" s="775">
        <f>H19</f>
        <v>100</v>
      </c>
      <c r="V19" s="774" t="s">
        <v>17</v>
      </c>
      <c r="W19" s="775">
        <f>J19</f>
        <v>100</v>
      </c>
      <c r="X19" s="1815"/>
      <c r="Y19" s="3232"/>
      <c r="Z19" s="1816" t="str">
        <f>Q19</f>
        <v>公共配套设施</v>
      </c>
      <c r="AA19" s="1813">
        <f t="shared" si="3"/>
        <v>1</v>
      </c>
      <c r="AB19" s="1813">
        <f t="shared" si="4"/>
        <v>1</v>
      </c>
      <c r="AC19" s="2670">
        <f t="shared" si="5"/>
        <v>1</v>
      </c>
    </row>
    <row r="20" spans="1:29" ht="15">
      <c r="A20" s="428"/>
      <c r="B20" s="632"/>
      <c r="C20" s="2607"/>
      <c r="D20" s="448"/>
      <c r="E20" s="2600"/>
      <c r="F20" s="448"/>
      <c r="G20" s="2601"/>
      <c r="H20" s="448"/>
      <c r="I20" s="2601"/>
      <c r="J20" s="448"/>
      <c r="K20" s="615"/>
      <c r="L20" s="1142"/>
      <c r="M20" s="1133"/>
      <c r="N20" s="1133"/>
      <c r="O20" s="1133"/>
      <c r="P20" s="3239"/>
      <c r="Q20" s="1812"/>
      <c r="R20" s="774"/>
      <c r="S20" s="775"/>
      <c r="T20" s="774"/>
      <c r="U20" s="775"/>
      <c r="V20" s="774"/>
      <c r="W20" s="775"/>
      <c r="X20" s="1815"/>
      <c r="Y20" s="3232"/>
      <c r="Z20" s="1816"/>
      <c r="AA20" s="1813">
        <v>1</v>
      </c>
      <c r="AB20" s="1813">
        <v>1</v>
      </c>
      <c r="AC20" s="2670">
        <v>1</v>
      </c>
    </row>
    <row r="21" spans="1:29" ht="15">
      <c r="A21" s="428"/>
      <c r="B21" s="633" t="s">
        <v>2677</v>
      </c>
      <c r="C21" s="2671">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2"/>
      <c r="M21" s="1133"/>
      <c r="N21" s="1133"/>
      <c r="O21" s="1133"/>
      <c r="P21" s="3239"/>
      <c r="Q21" s="1812" t="str">
        <f>B21</f>
        <v>基础设施水平</v>
      </c>
      <c r="R21" s="774" t="s">
        <v>17</v>
      </c>
      <c r="S21" s="775">
        <f>F21</f>
        <v>100</v>
      </c>
      <c r="T21" s="774" t="s">
        <v>17</v>
      </c>
      <c r="U21" s="775">
        <f>H21</f>
        <v>100</v>
      </c>
      <c r="V21" s="774" t="s">
        <v>17</v>
      </c>
      <c r="W21" s="775">
        <f>J21</f>
        <v>100</v>
      </c>
      <c r="X21" s="1815"/>
      <c r="Y21" s="3232"/>
      <c r="Z21" s="1816" t="str">
        <f>Q21</f>
        <v>基础设施水平</v>
      </c>
      <c r="AA21" s="1813">
        <f t="shared" ref="AA21" si="8">D21/F21</f>
        <v>1</v>
      </c>
      <c r="AB21" s="1813">
        <f t="shared" ref="AB21" si="9">D21/H21</f>
        <v>1</v>
      </c>
      <c r="AC21" s="2670">
        <f t="shared" ref="AC21" si="10">D21/J21</f>
        <v>1</v>
      </c>
    </row>
    <row r="22" spans="1:29" ht="15">
      <c r="A22" s="428"/>
      <c r="B22" s="633"/>
      <c r="C22" s="2672"/>
      <c r="D22" s="448"/>
      <c r="E22" s="447"/>
      <c r="F22" s="448"/>
      <c r="G22" s="2607"/>
      <c r="H22" s="448"/>
      <c r="I22" s="2607"/>
      <c r="J22" s="448"/>
      <c r="K22" s="1385"/>
      <c r="L22" s="1142"/>
      <c r="M22" s="1133"/>
      <c r="N22" s="1133"/>
      <c r="O22" s="1133"/>
      <c r="P22" s="3239"/>
      <c r="Q22" s="1812"/>
      <c r="R22" s="774"/>
      <c r="S22" s="775"/>
      <c r="T22" s="774"/>
      <c r="U22" s="775"/>
      <c r="V22" s="774"/>
      <c r="W22" s="775"/>
      <c r="X22" s="1815"/>
      <c r="Y22" s="3232"/>
      <c r="Z22" s="1816"/>
      <c r="AA22" s="1813">
        <v>1</v>
      </c>
      <c r="AB22" s="1813">
        <v>1</v>
      </c>
      <c r="AC22" s="2670">
        <v>1</v>
      </c>
    </row>
    <row r="23" spans="1:29" ht="15">
      <c r="A23" s="428"/>
      <c r="B23" s="631" t="s">
        <v>2678</v>
      </c>
      <c r="C23" s="2671">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2"/>
      <c r="M23" s="1133"/>
      <c r="N23" s="1133"/>
      <c r="O23" s="1133"/>
      <c r="P23" s="3239"/>
      <c r="Q23" s="1812" t="str">
        <f>B23</f>
        <v>环境质量</v>
      </c>
      <c r="R23" s="774" t="s">
        <v>17</v>
      </c>
      <c r="S23" s="775">
        <f>F23</f>
        <v>100</v>
      </c>
      <c r="T23" s="774" t="s">
        <v>17</v>
      </c>
      <c r="U23" s="775">
        <f>H23</f>
        <v>100</v>
      </c>
      <c r="V23" s="774" t="s">
        <v>17</v>
      </c>
      <c r="W23" s="775">
        <f>J23</f>
        <v>100</v>
      </c>
      <c r="X23" s="1815"/>
      <c r="Y23" s="3232"/>
      <c r="Z23" s="1816" t="str">
        <f>Q23</f>
        <v>环境质量</v>
      </c>
      <c r="AA23" s="1813">
        <f t="shared" si="3"/>
        <v>1</v>
      </c>
      <c r="AB23" s="1813">
        <f t="shared" si="4"/>
        <v>1</v>
      </c>
      <c r="AC23" s="2670">
        <f t="shared" si="5"/>
        <v>1</v>
      </c>
    </row>
    <row r="24" spans="1:29" ht="15">
      <c r="A24" s="428"/>
      <c r="B24" s="633"/>
      <c r="C24" s="2607"/>
      <c r="D24" s="448"/>
      <c r="E24" s="2600"/>
      <c r="F24" s="448"/>
      <c r="G24" s="2601"/>
      <c r="H24" s="448"/>
      <c r="I24" s="2601"/>
      <c r="J24" s="448"/>
      <c r="K24" s="615"/>
      <c r="L24" s="1142"/>
      <c r="M24" s="1133"/>
      <c r="N24" s="1133"/>
      <c r="O24" s="1133"/>
      <c r="P24" s="3239"/>
      <c r="Q24" s="1812"/>
      <c r="R24" s="774"/>
      <c r="S24" s="775"/>
      <c r="T24" s="774"/>
      <c r="U24" s="775"/>
      <c r="V24" s="774"/>
      <c r="W24" s="775"/>
      <c r="X24" s="1815"/>
      <c r="Y24" s="3232"/>
      <c r="Z24" s="1816"/>
      <c r="AA24" s="1813">
        <v>1</v>
      </c>
      <c r="AB24" s="1813">
        <v>1</v>
      </c>
      <c r="AC24" s="2670">
        <v>1</v>
      </c>
    </row>
    <row r="25" spans="1:29" ht="27">
      <c r="A25" s="404"/>
      <c r="B25" s="631" t="s">
        <v>2679</v>
      </c>
      <c r="C25" s="2611"/>
      <c r="D25" s="435">
        <v>100</v>
      </c>
      <c r="E25" s="434"/>
      <c r="F25" s="435">
        <f>SUMIF(87:87,E26,88:88)-SUMIF(87:87,C26,88:88)+100</f>
        <v>100</v>
      </c>
      <c r="G25" s="2611"/>
      <c r="H25" s="435">
        <f>SUMIF(87:87,G26,88:88)-SUMIF(87:87,C26,88:88)+100</f>
        <v>100</v>
      </c>
      <c r="I25" s="434"/>
      <c r="J25" s="435">
        <f>SUMIF(87:87,I26,88:88)-SUMIF(87:87,C26,88:88)+100</f>
        <v>100</v>
      </c>
      <c r="K25" s="614"/>
      <c r="L25" s="1142"/>
      <c r="M25" s="1133"/>
      <c r="N25" s="1133"/>
      <c r="O25" s="1133"/>
      <c r="P25" s="3239"/>
      <c r="Q25" s="1812" t="str">
        <f>B25</f>
        <v>毗邻道路的类型与等级</v>
      </c>
      <c r="R25" s="774" t="s">
        <v>17</v>
      </c>
      <c r="S25" s="775">
        <f>F25</f>
        <v>100</v>
      </c>
      <c r="T25" s="774" t="s">
        <v>17</v>
      </c>
      <c r="U25" s="775">
        <f>H25</f>
        <v>100</v>
      </c>
      <c r="V25" s="774" t="s">
        <v>17</v>
      </c>
      <c r="W25" s="775">
        <f>J25</f>
        <v>100</v>
      </c>
      <c r="X25" s="1815"/>
      <c r="Y25" s="3232"/>
      <c r="Z25" s="1816" t="str">
        <f>Q25</f>
        <v>毗邻道路的类型与等级</v>
      </c>
      <c r="AA25" s="1813">
        <f t="shared" si="3"/>
        <v>1</v>
      </c>
      <c r="AB25" s="1813">
        <f t="shared" si="4"/>
        <v>1</v>
      </c>
      <c r="AC25" s="2670">
        <f t="shared" si="5"/>
        <v>1</v>
      </c>
    </row>
    <row r="26" spans="1:29" ht="15">
      <c r="A26" s="404"/>
      <c r="B26" s="632"/>
      <c r="C26" s="634"/>
      <c r="D26" s="435"/>
      <c r="E26" s="616"/>
      <c r="F26" s="435"/>
      <c r="G26" s="634"/>
      <c r="H26" s="435"/>
      <c r="I26" s="616"/>
      <c r="J26" s="435"/>
      <c r="K26" s="615"/>
      <c r="L26" s="1142"/>
      <c r="M26" s="1133"/>
      <c r="N26" s="1133"/>
      <c r="O26" s="1133"/>
      <c r="P26" s="3239"/>
      <c r="Q26" s="1812"/>
      <c r="R26" s="774"/>
      <c r="S26" s="775"/>
      <c r="T26" s="774"/>
      <c r="U26" s="775"/>
      <c r="V26" s="774"/>
      <c r="W26" s="775"/>
      <c r="X26" s="1815"/>
      <c r="Y26" s="3232"/>
      <c r="Z26" s="1816"/>
      <c r="AA26" s="1813">
        <v>1</v>
      </c>
      <c r="AB26" s="1813">
        <v>1</v>
      </c>
      <c r="AC26" s="2670">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42"/>
      <c r="M27" s="1133"/>
      <c r="N27" s="1133"/>
      <c r="O27" s="1133"/>
      <c r="P27" s="3239"/>
      <c r="Q27" s="1812" t="str">
        <f t="shared" ref="Q27:Q47" si="11">B27</f>
        <v>楼层</v>
      </c>
      <c r="R27" s="774" t="s">
        <v>17</v>
      </c>
      <c r="S27" s="775">
        <f>F27</f>
        <v>100</v>
      </c>
      <c r="T27" s="774" t="s">
        <v>17</v>
      </c>
      <c r="U27" s="775">
        <f>H27</f>
        <v>100</v>
      </c>
      <c r="V27" s="774" t="s">
        <v>17</v>
      </c>
      <c r="W27" s="775">
        <f>J27</f>
        <v>100</v>
      </c>
      <c r="X27" s="1815"/>
      <c r="Y27" s="3232"/>
      <c r="Z27" s="1816" t="str">
        <f>Q27</f>
        <v>楼层</v>
      </c>
      <c r="AA27" s="1813">
        <f t="shared" si="3"/>
        <v>1</v>
      </c>
      <c r="AB27" s="1813">
        <f t="shared" si="4"/>
        <v>1</v>
      </c>
      <c r="AC27" s="2670">
        <f t="shared" si="5"/>
        <v>1</v>
      </c>
    </row>
    <row r="28" spans="1:29" s="117" customFormat="1" ht="15">
      <c r="A28" s="431"/>
      <c r="B28" s="631" t="s">
        <v>2680</v>
      </c>
      <c r="C28" s="2673"/>
      <c r="D28" s="462">
        <v>100</v>
      </c>
      <c r="E28" s="2661"/>
      <c r="F28" s="462">
        <f>SUMIF(91:91,E28,92:92)-SUMIF(91:91,C28,92:92)+100</f>
        <v>100</v>
      </c>
      <c r="G28" s="2673"/>
      <c r="H28" s="462">
        <f>SUMIF(91:91,G28,92:92)-SUMIF(91:91,C28,92:92)+100</f>
        <v>100</v>
      </c>
      <c r="I28" s="2661"/>
      <c r="J28" s="462">
        <f>SUMIF(91:91,I28,92:92)-SUMIF(91:91,C28,92:92)+100</f>
        <v>100</v>
      </c>
      <c r="K28" s="612"/>
      <c r="L28" s="1134"/>
      <c r="M28" s="1135"/>
      <c r="N28" s="1135"/>
      <c r="O28" s="1135"/>
      <c r="P28" s="3239"/>
      <c r="Q28" s="1797" t="str">
        <f t="shared" si="11"/>
        <v>朝向</v>
      </c>
      <c r="R28" s="770" t="s">
        <v>17</v>
      </c>
      <c r="S28" s="771">
        <f>F28</f>
        <v>100</v>
      </c>
      <c r="T28" s="770" t="s">
        <v>17</v>
      </c>
      <c r="U28" s="771">
        <f>H28</f>
        <v>100</v>
      </c>
      <c r="V28" s="770" t="s">
        <v>17</v>
      </c>
      <c r="W28" s="771">
        <f>J28</f>
        <v>100</v>
      </c>
      <c r="X28" s="772"/>
      <c r="Y28" s="3232"/>
      <c r="Z28" s="55" t="str">
        <f>Q28</f>
        <v>朝向</v>
      </c>
      <c r="AA28" s="1813">
        <f>D28/F28</f>
        <v>1</v>
      </c>
      <c r="AB28" s="1813">
        <f>D28/H28</f>
        <v>1</v>
      </c>
      <c r="AC28" s="2670">
        <f>D28/J28</f>
        <v>1</v>
      </c>
    </row>
    <row r="29" spans="1:29" ht="15">
      <c r="A29" s="428"/>
      <c r="B29" s="2674">
        <v>111</v>
      </c>
      <c r="C29" s="2611"/>
      <c r="D29" s="435">
        <v>100</v>
      </c>
      <c r="E29" s="432"/>
      <c r="F29" s="435">
        <f>SUMIF(93:93,E29,94:94)-SUMIF(93:93,C29,94:94)+100</f>
        <v>100</v>
      </c>
      <c r="G29" s="2668"/>
      <c r="H29" s="435">
        <f>SUMIF(93:93,G29,94:94)-SUMIF(93:93,C29,94:94)+100</f>
        <v>100</v>
      </c>
      <c r="I29" s="432"/>
      <c r="J29" s="435">
        <f>SUMIF(93:93,I29,94:94)-SUMIF(93:93,C29,94:94)+100</f>
        <v>100</v>
      </c>
      <c r="K29" s="613"/>
      <c r="L29" s="1142"/>
      <c r="M29" s="1133"/>
      <c r="N29" s="1133"/>
      <c r="O29" s="1133"/>
      <c r="P29" s="3239"/>
      <c r="Q29" s="1812">
        <f t="shared" si="11"/>
        <v>111</v>
      </c>
      <c r="R29" s="774" t="s">
        <v>17</v>
      </c>
      <c r="S29" s="775">
        <f t="shared" ref="S29:S47" si="12">F29</f>
        <v>100</v>
      </c>
      <c r="T29" s="774" t="s">
        <v>17</v>
      </c>
      <c r="U29" s="775">
        <f t="shared" ref="U29:U47" si="13">H29</f>
        <v>100</v>
      </c>
      <c r="V29" s="774" t="s">
        <v>17</v>
      </c>
      <c r="W29" s="775">
        <f t="shared" ref="W29:W47" si="14">J29</f>
        <v>100</v>
      </c>
      <c r="X29" s="1815"/>
      <c r="Y29" s="3232"/>
      <c r="Z29" s="1816">
        <f t="shared" ref="Z29:Z47" si="15">Q29</f>
        <v>111</v>
      </c>
      <c r="AA29" s="1813">
        <f t="shared" si="3"/>
        <v>1</v>
      </c>
      <c r="AB29" s="1813">
        <f t="shared" si="4"/>
        <v>1</v>
      </c>
      <c r="AC29" s="2670">
        <f t="shared" si="5"/>
        <v>1</v>
      </c>
    </row>
    <row r="30" spans="1:29" ht="15">
      <c r="A30" s="428"/>
      <c r="B30" s="2674">
        <v>111</v>
      </c>
      <c r="C30" s="2611"/>
      <c r="D30" s="435">
        <v>100</v>
      </c>
      <c r="E30" s="432"/>
      <c r="F30" s="435">
        <f>SUMIF(95:95,E30,96:96)-SUMIF(95:95,C30,96:96)+100</f>
        <v>100</v>
      </c>
      <c r="G30" s="2668"/>
      <c r="H30" s="435">
        <f>SUMIF(95:95,G30,96:96)-SUMIF(95:95,C30,96:96)+100</f>
        <v>100</v>
      </c>
      <c r="I30" s="432"/>
      <c r="J30" s="435">
        <f>SUMIF(95:95,I30,96:96)-SUMIF(95:95,C30,96:96)+100</f>
        <v>100</v>
      </c>
      <c r="K30" s="613"/>
      <c r="L30" s="1142"/>
      <c r="M30" s="1133"/>
      <c r="N30" s="1133"/>
      <c r="O30" s="1133"/>
      <c r="P30" s="3239"/>
      <c r="Q30" s="1812">
        <f t="shared" si="11"/>
        <v>111</v>
      </c>
      <c r="R30" s="774" t="s">
        <v>17</v>
      </c>
      <c r="S30" s="775">
        <f t="shared" si="12"/>
        <v>100</v>
      </c>
      <c r="T30" s="774" t="s">
        <v>17</v>
      </c>
      <c r="U30" s="775">
        <f t="shared" si="13"/>
        <v>100</v>
      </c>
      <c r="V30" s="774" t="s">
        <v>17</v>
      </c>
      <c r="W30" s="775">
        <f t="shared" si="14"/>
        <v>100</v>
      </c>
      <c r="X30" s="1815"/>
      <c r="Y30" s="3232"/>
      <c r="Z30" s="1816">
        <f t="shared" si="15"/>
        <v>111</v>
      </c>
      <c r="AA30" s="1813">
        <f t="shared" si="3"/>
        <v>1</v>
      </c>
      <c r="AB30" s="1813">
        <f t="shared" si="4"/>
        <v>1</v>
      </c>
      <c r="AC30" s="2670">
        <f t="shared" si="5"/>
        <v>1</v>
      </c>
    </row>
    <row r="31" spans="1:29" ht="15">
      <c r="A31" s="428"/>
      <c r="B31" s="2674">
        <v>111</v>
      </c>
      <c r="C31" s="2611"/>
      <c r="D31" s="435">
        <v>100</v>
      </c>
      <c r="E31" s="432"/>
      <c r="F31" s="435">
        <f>SUMIF(97:97,E31,98:98)-SUMIF(97:97,C31,98:98)+100</f>
        <v>100</v>
      </c>
      <c r="G31" s="2668"/>
      <c r="H31" s="435">
        <f>SUMIF(97:97,G31,98:98)-SUMIF(97:97,C31,98:98)+100</f>
        <v>100</v>
      </c>
      <c r="I31" s="432"/>
      <c r="J31" s="435">
        <f>SUMIF(97:97,I31,98:98)-SUMIF(97:97,C31,98:98)+100</f>
        <v>100</v>
      </c>
      <c r="K31" s="613"/>
      <c r="L31" s="1142"/>
      <c r="M31" s="1133"/>
      <c r="N31" s="1133"/>
      <c r="O31" s="1133"/>
      <c r="P31" s="3239"/>
      <c r="Q31" s="1812">
        <f t="shared" si="11"/>
        <v>111</v>
      </c>
      <c r="R31" s="774" t="s">
        <v>17</v>
      </c>
      <c r="S31" s="775">
        <f t="shared" si="12"/>
        <v>100</v>
      </c>
      <c r="T31" s="774" t="s">
        <v>17</v>
      </c>
      <c r="U31" s="775">
        <f t="shared" si="13"/>
        <v>100</v>
      </c>
      <c r="V31" s="774" t="s">
        <v>17</v>
      </c>
      <c r="W31" s="775">
        <f t="shared" si="14"/>
        <v>100</v>
      </c>
      <c r="X31" s="1815"/>
      <c r="Y31" s="3232"/>
      <c r="Z31" s="1816">
        <f t="shared" si="15"/>
        <v>111</v>
      </c>
      <c r="AA31" s="1813">
        <f t="shared" si="3"/>
        <v>1</v>
      </c>
      <c r="AB31" s="1813">
        <f t="shared" si="4"/>
        <v>1</v>
      </c>
      <c r="AC31" s="2670">
        <f t="shared" si="5"/>
        <v>1</v>
      </c>
    </row>
    <row r="32" spans="1:29" ht="15.75" thickBot="1">
      <c r="A32" s="436"/>
      <c r="B32" s="635">
        <v>111</v>
      </c>
      <c r="C32" s="2612"/>
      <c r="D32" s="438">
        <v>100</v>
      </c>
      <c r="E32" s="628"/>
      <c r="F32" s="438">
        <f>SUMIF(99:99,E32,100:100)-SUMIF(99:99,C32,100:100)+100</f>
        <v>100</v>
      </c>
      <c r="G32" s="2668"/>
      <c r="H32" s="438">
        <f>SUMIF(99:99,G32,100:100)-SUMIF(99:99,C32,100:100)+100</f>
        <v>100</v>
      </c>
      <c r="I32" s="432"/>
      <c r="J32" s="438">
        <f>SUMIF(99:99,I32,100:100)-SUMIF(99:99,C32,100:100)+100</f>
        <v>100</v>
      </c>
      <c r="K32" s="613"/>
      <c r="L32" s="1142"/>
      <c r="M32" s="1133"/>
      <c r="N32" s="1133"/>
      <c r="O32" s="1133"/>
      <c r="P32" s="3239"/>
      <c r="Q32" s="1812">
        <f t="shared" si="11"/>
        <v>111</v>
      </c>
      <c r="R32" s="774" t="s">
        <v>17</v>
      </c>
      <c r="S32" s="775">
        <f t="shared" si="12"/>
        <v>100</v>
      </c>
      <c r="T32" s="774" t="s">
        <v>17</v>
      </c>
      <c r="U32" s="775">
        <f t="shared" si="13"/>
        <v>100</v>
      </c>
      <c r="V32" s="774" t="s">
        <v>17</v>
      </c>
      <c r="W32" s="775">
        <f t="shared" si="14"/>
        <v>100</v>
      </c>
      <c r="X32" s="1815"/>
      <c r="Y32" s="3232"/>
      <c r="Z32" s="1816">
        <f t="shared" si="15"/>
        <v>111</v>
      </c>
      <c r="AA32" s="1813">
        <f t="shared" si="3"/>
        <v>1</v>
      </c>
      <c r="AB32" s="1813">
        <f t="shared" si="4"/>
        <v>1</v>
      </c>
      <c r="AC32" s="2670">
        <f t="shared" si="5"/>
        <v>1</v>
      </c>
    </row>
    <row r="33" spans="1:29" ht="15">
      <c r="A33" s="440" t="s">
        <v>2551</v>
      </c>
      <c r="B33" s="71" t="s">
        <v>2681</v>
      </c>
      <c r="C33" s="2675"/>
      <c r="D33" s="467">
        <v>100</v>
      </c>
      <c r="E33" s="2675"/>
      <c r="F33" s="461">
        <f>SUMIF(101:101,E33,102:102)-SUMIF(101:101,C33,102:102)+100</f>
        <v>100</v>
      </c>
      <c r="G33" s="2675"/>
      <c r="H33" s="435">
        <f>SUMIF(101:101,G33,102:102)-SUMIF(101:101,C33,102:102)+100</f>
        <v>100</v>
      </c>
      <c r="I33" s="2675"/>
      <c r="J33" s="467">
        <f>SUMIF(101:101,I33,102:102)-SUMIF(101:101,C33,102:102)+100</f>
        <v>100</v>
      </c>
      <c r="K33" s="612"/>
      <c r="L33" s="1142"/>
      <c r="M33" s="1133"/>
      <c r="N33" s="1133"/>
      <c r="O33" s="1133"/>
      <c r="P33" s="3233" t="s">
        <v>2553</v>
      </c>
      <c r="Q33" s="1812" t="str">
        <f t="shared" si="11"/>
        <v>建筑类型</v>
      </c>
      <c r="R33" s="774" t="s">
        <v>17</v>
      </c>
      <c r="S33" s="775">
        <f t="shared" si="12"/>
        <v>100</v>
      </c>
      <c r="T33" s="774" t="s">
        <v>17</v>
      </c>
      <c r="U33" s="775">
        <f t="shared" si="13"/>
        <v>100</v>
      </c>
      <c r="V33" s="774" t="s">
        <v>17</v>
      </c>
      <c r="W33" s="775">
        <f t="shared" si="14"/>
        <v>100</v>
      </c>
      <c r="X33" s="1815"/>
      <c r="Y33" s="3236" t="s">
        <v>2553</v>
      </c>
      <c r="Z33" s="1816" t="str">
        <f t="shared" si="15"/>
        <v>建筑类型</v>
      </c>
      <c r="AA33" s="1813">
        <f t="shared" si="3"/>
        <v>1</v>
      </c>
      <c r="AB33" s="1813">
        <f t="shared" si="4"/>
        <v>1</v>
      </c>
      <c r="AC33" s="2670">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0"/>
      <c r="M34" s="1143"/>
      <c r="N34" s="1143"/>
      <c r="O34" s="1143"/>
      <c r="P34" s="3234"/>
      <c r="Q34" s="776" t="str">
        <f t="shared" si="11"/>
        <v>项目建筑规模</v>
      </c>
      <c r="R34" s="777" t="s">
        <v>17</v>
      </c>
      <c r="S34" s="778" t="e">
        <f t="shared" si="12"/>
        <v>#N/A</v>
      </c>
      <c r="T34" s="777" t="s">
        <v>17</v>
      </c>
      <c r="U34" s="778" t="e">
        <f t="shared" si="13"/>
        <v>#N/A</v>
      </c>
      <c r="V34" s="777" t="s">
        <v>17</v>
      </c>
      <c r="W34" s="778" t="e">
        <f t="shared" si="14"/>
        <v>#N/A</v>
      </c>
      <c r="X34" s="779"/>
      <c r="Y34" s="3236"/>
      <c r="Z34" s="780" t="str">
        <f t="shared" si="15"/>
        <v>项目建筑规模</v>
      </c>
      <c r="AA34" s="1813" t="e">
        <f t="shared" si="3"/>
        <v>#N/A</v>
      </c>
      <c r="AB34" s="1813" t="e">
        <f t="shared" si="4"/>
        <v>#N/A</v>
      </c>
      <c r="AC34" s="2670"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2"/>
      <c r="M35" s="1133"/>
      <c r="N35" s="1133"/>
      <c r="O35" s="1133"/>
      <c r="P35" s="3234"/>
      <c r="Q35" s="1812" t="str">
        <f t="shared" si="11"/>
        <v>建筑结构</v>
      </c>
      <c r="R35" s="774" t="s">
        <v>17</v>
      </c>
      <c r="S35" s="775">
        <f t="shared" si="12"/>
        <v>100</v>
      </c>
      <c r="T35" s="774" t="s">
        <v>17</v>
      </c>
      <c r="U35" s="775">
        <f t="shared" si="13"/>
        <v>100</v>
      </c>
      <c r="V35" s="774" t="s">
        <v>17</v>
      </c>
      <c r="W35" s="775">
        <f t="shared" si="14"/>
        <v>100</v>
      </c>
      <c r="X35" s="1815"/>
      <c r="Y35" s="3236"/>
      <c r="Z35" s="1816" t="str">
        <f t="shared" si="15"/>
        <v>建筑结构</v>
      </c>
      <c r="AA35" s="1813">
        <f t="shared" si="3"/>
        <v>1</v>
      </c>
      <c r="AB35" s="1813">
        <f t="shared" si="4"/>
        <v>1</v>
      </c>
      <c r="AC35" s="2670">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2"/>
      <c r="M36" s="1133"/>
      <c r="N36" s="1133"/>
      <c r="O36" s="1133"/>
      <c r="P36" s="3234"/>
      <c r="Q36" s="1812" t="str">
        <f t="shared" si="11"/>
        <v>公共部分装修</v>
      </c>
      <c r="R36" s="774" t="s">
        <v>17</v>
      </c>
      <c r="S36" s="775">
        <f t="shared" si="12"/>
        <v>100</v>
      </c>
      <c r="T36" s="774" t="s">
        <v>17</v>
      </c>
      <c r="U36" s="775">
        <f t="shared" si="13"/>
        <v>100</v>
      </c>
      <c r="V36" s="774" t="s">
        <v>17</v>
      </c>
      <c r="W36" s="775">
        <f t="shared" si="14"/>
        <v>100</v>
      </c>
      <c r="X36" s="1815"/>
      <c r="Y36" s="3236"/>
      <c r="Z36" s="1816" t="str">
        <f t="shared" si="15"/>
        <v>公共部分装修</v>
      </c>
      <c r="AA36" s="1813">
        <f t="shared" si="3"/>
        <v>1</v>
      </c>
      <c r="AB36" s="1813">
        <f t="shared" si="4"/>
        <v>1</v>
      </c>
      <c r="AC36" s="2670">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2"/>
      <c r="M37" s="1133"/>
      <c r="N37" s="1133"/>
      <c r="O37" s="1133"/>
      <c r="P37" s="3234"/>
      <c r="Q37" s="1812" t="str">
        <f t="shared" si="11"/>
        <v>成新度</v>
      </c>
      <c r="R37" s="774" t="s">
        <v>17</v>
      </c>
      <c r="S37" s="775" t="e">
        <f t="shared" si="12"/>
        <v>#N/A</v>
      </c>
      <c r="T37" s="774" t="s">
        <v>17</v>
      </c>
      <c r="U37" s="775" t="e">
        <f t="shared" si="13"/>
        <v>#N/A</v>
      </c>
      <c r="V37" s="774" t="s">
        <v>17</v>
      </c>
      <c r="W37" s="775" t="e">
        <f t="shared" si="14"/>
        <v>#N/A</v>
      </c>
      <c r="X37" s="1815"/>
      <c r="Y37" s="3236"/>
      <c r="Z37" s="1816" t="str">
        <f t="shared" si="15"/>
        <v>成新度</v>
      </c>
      <c r="AA37" s="1813" t="e">
        <f t="shared" si="3"/>
        <v>#N/A</v>
      </c>
      <c r="AB37" s="1813" t="e">
        <f t="shared" si="4"/>
        <v>#N/A</v>
      </c>
      <c r="AC37" s="2670"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4"/>
      <c r="M38" s="1135"/>
      <c r="N38" s="1135"/>
      <c r="O38" s="1135"/>
      <c r="P38" s="3234"/>
      <c r="Q38" s="1797" t="str">
        <f t="shared" si="11"/>
        <v>写字楼等级</v>
      </c>
      <c r="R38" s="770" t="s">
        <v>17</v>
      </c>
      <c r="S38" s="771">
        <f t="shared" si="12"/>
        <v>100</v>
      </c>
      <c r="T38" s="770" t="s">
        <v>17</v>
      </c>
      <c r="U38" s="771">
        <f t="shared" si="13"/>
        <v>100</v>
      </c>
      <c r="V38" s="770" t="s">
        <v>17</v>
      </c>
      <c r="W38" s="771">
        <f t="shared" si="14"/>
        <v>100</v>
      </c>
      <c r="X38" s="772"/>
      <c r="Y38" s="3236"/>
      <c r="Z38" s="55" t="str">
        <f t="shared" si="15"/>
        <v>写字楼等级</v>
      </c>
      <c r="AA38" s="773">
        <f t="shared" si="3"/>
        <v>1</v>
      </c>
      <c r="AB38" s="773">
        <f t="shared" si="4"/>
        <v>1</v>
      </c>
      <c r="AC38" s="2667">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2"/>
      <c r="M39" s="1133"/>
      <c r="N39" s="1133"/>
      <c r="O39" s="1133"/>
      <c r="P39" s="3234" t="s">
        <v>2553</v>
      </c>
      <c r="Q39" s="1812" t="str">
        <f t="shared" si="11"/>
        <v>物业管理</v>
      </c>
      <c r="R39" s="774" t="s">
        <v>17</v>
      </c>
      <c r="S39" s="775">
        <f t="shared" si="12"/>
        <v>100</v>
      </c>
      <c r="T39" s="774" t="s">
        <v>17</v>
      </c>
      <c r="U39" s="775">
        <f t="shared" si="13"/>
        <v>100</v>
      </c>
      <c r="V39" s="774" t="s">
        <v>17</v>
      </c>
      <c r="W39" s="775">
        <f t="shared" si="14"/>
        <v>100</v>
      </c>
      <c r="X39" s="1815"/>
      <c r="Y39" s="3236" t="s">
        <v>2553</v>
      </c>
      <c r="Z39" s="1816" t="str">
        <f t="shared" si="15"/>
        <v>物业管理</v>
      </c>
      <c r="AA39" s="1813">
        <f t="shared" si="3"/>
        <v>1</v>
      </c>
      <c r="AB39" s="1813">
        <f t="shared" si="4"/>
        <v>1</v>
      </c>
      <c r="AC39" s="2670">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2"/>
      <c r="M40" s="1133"/>
      <c r="N40" s="1133"/>
      <c r="O40" s="1133"/>
      <c r="P40" s="3234"/>
      <c r="Q40" s="1812" t="str">
        <f t="shared" si="11"/>
        <v>市政基础设施</v>
      </c>
      <c r="R40" s="774" t="s">
        <v>17</v>
      </c>
      <c r="S40" s="775">
        <f t="shared" si="12"/>
        <v>100</v>
      </c>
      <c r="T40" s="774" t="s">
        <v>17</v>
      </c>
      <c r="U40" s="775">
        <f t="shared" si="13"/>
        <v>100</v>
      </c>
      <c r="V40" s="774" t="s">
        <v>17</v>
      </c>
      <c r="W40" s="775">
        <f t="shared" si="14"/>
        <v>100</v>
      </c>
      <c r="X40" s="1815"/>
      <c r="Y40" s="3236"/>
      <c r="Z40" s="1816" t="str">
        <f t="shared" si="15"/>
        <v>市政基础设施</v>
      </c>
      <c r="AA40" s="1813">
        <f t="shared" si="3"/>
        <v>1</v>
      </c>
      <c r="AB40" s="1813">
        <f t="shared" si="4"/>
        <v>1</v>
      </c>
      <c r="AC40" s="2670">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2"/>
      <c r="M41" s="1133"/>
      <c r="N41" s="1133"/>
      <c r="O41" s="1133"/>
      <c r="P41" s="3234"/>
      <c r="Q41" s="1812" t="str">
        <f t="shared" si="11"/>
        <v>层高</v>
      </c>
      <c r="R41" s="774" t="s">
        <v>17</v>
      </c>
      <c r="S41" s="775">
        <f t="shared" si="12"/>
        <v>100</v>
      </c>
      <c r="T41" s="774" t="s">
        <v>17</v>
      </c>
      <c r="U41" s="775">
        <f t="shared" si="13"/>
        <v>100</v>
      </c>
      <c r="V41" s="774" t="s">
        <v>17</v>
      </c>
      <c r="W41" s="775">
        <f t="shared" si="14"/>
        <v>100</v>
      </c>
      <c r="X41" s="1815"/>
      <c r="Y41" s="3236"/>
      <c r="Z41" s="1816" t="str">
        <f t="shared" si="15"/>
        <v>层高</v>
      </c>
      <c r="AA41" s="1813">
        <f t="shared" si="3"/>
        <v>1</v>
      </c>
      <c r="AB41" s="1813">
        <f t="shared" si="4"/>
        <v>1</v>
      </c>
      <c r="AC41" s="2670">
        <f t="shared" si="5"/>
        <v>1</v>
      </c>
    </row>
    <row r="42" spans="1:29" s="471" customFormat="1" ht="15">
      <c r="A42" s="468"/>
      <c r="B42" s="1814"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0"/>
      <c r="M42" s="1143"/>
      <c r="N42" s="1143"/>
      <c r="O42" s="1143"/>
      <c r="P42" s="3234"/>
      <c r="Q42" s="776" t="str">
        <f t="shared" si="11"/>
        <v>单套建筑面积</v>
      </c>
      <c r="R42" s="777" t="s">
        <v>17</v>
      </c>
      <c r="S42" s="778">
        <f t="shared" si="12"/>
        <v>100</v>
      </c>
      <c r="T42" s="777" t="s">
        <v>17</v>
      </c>
      <c r="U42" s="778">
        <f t="shared" si="13"/>
        <v>100</v>
      </c>
      <c r="V42" s="777" t="s">
        <v>17</v>
      </c>
      <c r="W42" s="778">
        <f t="shared" si="14"/>
        <v>100</v>
      </c>
      <c r="X42" s="779"/>
      <c r="Y42" s="3236"/>
      <c r="Z42" s="780" t="str">
        <f t="shared" si="15"/>
        <v>单套建筑面积</v>
      </c>
      <c r="AA42" s="1813">
        <f t="shared" si="3"/>
        <v>1</v>
      </c>
      <c r="AB42" s="1813">
        <f t="shared" si="4"/>
        <v>1</v>
      </c>
      <c r="AC42" s="2670">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2"/>
      <c r="M43" s="1133"/>
      <c r="N43" s="1133"/>
      <c r="O43" s="1133"/>
      <c r="P43" s="3234"/>
      <c r="Q43" s="1812" t="str">
        <f t="shared" si="11"/>
        <v>内部装修</v>
      </c>
      <c r="R43" s="774" t="s">
        <v>17</v>
      </c>
      <c r="S43" s="775">
        <f t="shared" si="12"/>
        <v>100</v>
      </c>
      <c r="T43" s="774" t="s">
        <v>17</v>
      </c>
      <c r="U43" s="775">
        <f t="shared" si="13"/>
        <v>100</v>
      </c>
      <c r="V43" s="774" t="s">
        <v>17</v>
      </c>
      <c r="W43" s="775">
        <f t="shared" si="14"/>
        <v>100</v>
      </c>
      <c r="X43" s="1815"/>
      <c r="Y43" s="3236"/>
      <c r="Z43" s="1816" t="str">
        <f t="shared" si="15"/>
        <v>内部装修</v>
      </c>
      <c r="AA43" s="1813">
        <f t="shared" si="3"/>
        <v>1</v>
      </c>
      <c r="AB43" s="1813">
        <f t="shared" si="4"/>
        <v>1</v>
      </c>
      <c r="AC43" s="2670">
        <f t="shared" si="5"/>
        <v>1</v>
      </c>
    </row>
    <row r="44" spans="1:29" ht="15">
      <c r="A44" s="472"/>
      <c r="B44" s="422" t="s">
        <v>2564</v>
      </c>
      <c r="C44" s="460"/>
      <c r="D44" s="435">
        <v>100</v>
      </c>
      <c r="E44" s="2609"/>
      <c r="F44" s="461">
        <f>SUMIF(125:125,E44,126:126)-SUMIF(125:125,C44,126:126)+100</f>
        <v>100</v>
      </c>
      <c r="G44" s="2609"/>
      <c r="H44" s="435">
        <f>SUMIF(125:125,G44,126:126)-SUMIF(125:125,C44,126:126)+100</f>
        <v>100</v>
      </c>
      <c r="I44" s="2609"/>
      <c r="J44" s="435">
        <f>SUMIF(125:125,I44,126:126)-SUMIF(125:125,C44,126:126)+100</f>
        <v>100</v>
      </c>
      <c r="K44" s="612"/>
      <c r="L44" s="1142"/>
      <c r="M44" s="1133"/>
      <c r="N44" s="1133"/>
      <c r="O44" s="1133"/>
      <c r="P44" s="3234"/>
      <c r="Q44" s="1812" t="str">
        <f t="shared" si="11"/>
        <v>内部装修维护情况</v>
      </c>
      <c r="R44" s="774" t="s">
        <v>17</v>
      </c>
      <c r="S44" s="775">
        <f t="shared" si="12"/>
        <v>100</v>
      </c>
      <c r="T44" s="774" t="s">
        <v>17</v>
      </c>
      <c r="U44" s="775">
        <f t="shared" si="13"/>
        <v>100</v>
      </c>
      <c r="V44" s="774" t="s">
        <v>17</v>
      </c>
      <c r="W44" s="775">
        <f t="shared" si="14"/>
        <v>100</v>
      </c>
      <c r="X44" s="1815"/>
      <c r="Y44" s="3236"/>
      <c r="Z44" s="1816" t="str">
        <f t="shared" si="15"/>
        <v>内部装修维护情况</v>
      </c>
      <c r="AA44" s="1813">
        <f t="shared" si="3"/>
        <v>1</v>
      </c>
      <c r="AB44" s="1813">
        <f t="shared" si="4"/>
        <v>1</v>
      </c>
      <c r="AC44" s="2670">
        <f t="shared" si="5"/>
        <v>1</v>
      </c>
    </row>
    <row r="45" spans="1:29" s="117" customFormat="1" ht="15">
      <c r="A45" s="473"/>
      <c r="B45" s="1388">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4"/>
      <c r="M45" s="1135"/>
      <c r="N45" s="1135"/>
      <c r="O45" s="1135"/>
      <c r="P45" s="3234"/>
      <c r="Q45" s="1797">
        <f t="shared" si="11"/>
        <v>111</v>
      </c>
      <c r="R45" s="770" t="s">
        <v>17</v>
      </c>
      <c r="S45" s="771">
        <f t="shared" si="12"/>
        <v>100</v>
      </c>
      <c r="T45" s="770" t="s">
        <v>17</v>
      </c>
      <c r="U45" s="771">
        <f t="shared" si="13"/>
        <v>100</v>
      </c>
      <c r="V45" s="770" t="s">
        <v>17</v>
      </c>
      <c r="W45" s="771">
        <f t="shared" si="14"/>
        <v>100</v>
      </c>
      <c r="X45" s="772"/>
      <c r="Y45" s="3236"/>
      <c r="Z45" s="55">
        <f t="shared" si="15"/>
        <v>111</v>
      </c>
      <c r="AA45" s="773">
        <f t="shared" si="3"/>
        <v>1</v>
      </c>
      <c r="AB45" s="773">
        <f t="shared" si="4"/>
        <v>1</v>
      </c>
      <c r="AC45" s="2667">
        <f t="shared" si="5"/>
        <v>1</v>
      </c>
    </row>
    <row r="46" spans="1:29" ht="15">
      <c r="A46" s="472"/>
      <c r="B46" s="1388">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2"/>
      <c r="M46" s="1133"/>
      <c r="N46" s="1133"/>
      <c r="O46" s="1133"/>
      <c r="P46" s="3234"/>
      <c r="Q46" s="1812">
        <f t="shared" si="11"/>
        <v>111</v>
      </c>
      <c r="R46" s="774" t="s">
        <v>17</v>
      </c>
      <c r="S46" s="775">
        <f t="shared" si="12"/>
        <v>100</v>
      </c>
      <c r="T46" s="774" t="s">
        <v>17</v>
      </c>
      <c r="U46" s="775">
        <f t="shared" si="13"/>
        <v>100</v>
      </c>
      <c r="V46" s="774" t="s">
        <v>17</v>
      </c>
      <c r="W46" s="775">
        <f t="shared" si="14"/>
        <v>100</v>
      </c>
      <c r="X46" s="1815"/>
      <c r="Y46" s="3236"/>
      <c r="Z46" s="1816">
        <f t="shared" si="15"/>
        <v>111</v>
      </c>
      <c r="AA46" s="1813">
        <f t="shared" si="3"/>
        <v>1</v>
      </c>
      <c r="AB46" s="1813">
        <f t="shared" si="4"/>
        <v>1</v>
      </c>
      <c r="AC46" s="2670">
        <f t="shared" si="5"/>
        <v>1</v>
      </c>
    </row>
    <row r="47" spans="1:29" ht="15.75" thickBot="1">
      <c r="A47" s="478"/>
      <c r="B47" s="259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2"/>
      <c r="M47" s="1133"/>
      <c r="N47" s="1133"/>
      <c r="O47" s="1133"/>
      <c r="P47" s="3235"/>
      <c r="Q47" s="1812">
        <f t="shared" si="11"/>
        <v>111</v>
      </c>
      <c r="R47" s="774" t="s">
        <v>17</v>
      </c>
      <c r="S47" s="775">
        <f t="shared" si="12"/>
        <v>100</v>
      </c>
      <c r="T47" s="774" t="s">
        <v>17</v>
      </c>
      <c r="U47" s="775">
        <f t="shared" si="13"/>
        <v>100</v>
      </c>
      <c r="V47" s="774" t="s">
        <v>17</v>
      </c>
      <c r="W47" s="775">
        <f t="shared" si="14"/>
        <v>100</v>
      </c>
      <c r="X47" s="1815"/>
      <c r="Y47" s="3237"/>
      <c r="Z47" s="1816">
        <f t="shared" si="15"/>
        <v>111</v>
      </c>
      <c r="AA47" s="1813">
        <f t="shared" si="3"/>
        <v>1</v>
      </c>
      <c r="AB47" s="1813">
        <f t="shared" si="4"/>
        <v>1</v>
      </c>
      <c r="AC47" s="2670">
        <f t="shared" si="5"/>
        <v>1</v>
      </c>
    </row>
    <row r="48" spans="1:29" ht="15">
      <c r="A48" s="479" t="s">
        <v>2565</v>
      </c>
      <c r="B48" s="480"/>
      <c r="C48" s="1409" t="s">
        <v>1</v>
      </c>
      <c r="D48" s="1410"/>
      <c r="E48" s="1411"/>
      <c r="F48" s="1412"/>
      <c r="G48" s="1413"/>
      <c r="H48" s="1414"/>
      <c r="I48" s="1411"/>
      <c r="J48" s="485"/>
      <c r="K48" s="783"/>
      <c r="L48" s="1145"/>
      <c r="M48" s="1133"/>
      <c r="N48" s="1133"/>
      <c r="O48" s="1133"/>
      <c r="P48" s="3211" t="str">
        <f>A48</f>
        <v>成交单价（元/平方米）</v>
      </c>
      <c r="Q48" s="3229"/>
      <c r="R48" s="3230">
        <f>E48</f>
        <v>0</v>
      </c>
      <c r="S48" s="3230"/>
      <c r="T48" s="3230">
        <f>G48</f>
        <v>0</v>
      </c>
      <c r="U48" s="3230"/>
      <c r="V48" s="3230">
        <f>I48</f>
        <v>0</v>
      </c>
      <c r="W48" s="3230"/>
      <c r="X48" s="446"/>
      <c r="Y48" s="781"/>
      <c r="Z48" s="446"/>
      <c r="AA48" s="446"/>
      <c r="AB48" s="446"/>
      <c r="AC48" s="630"/>
    </row>
    <row r="49" spans="1:29" ht="15.75" thickBot="1">
      <c r="A49" s="486" t="s">
        <v>2657</v>
      </c>
      <c r="B49" s="487"/>
      <c r="C49" s="1415" t="e">
        <f>R50</f>
        <v>#DIV/0!</v>
      </c>
      <c r="D49" s="1416"/>
      <c r="E49" s="1417" t="e">
        <f>R49</f>
        <v>#DIV/0!</v>
      </c>
      <c r="F49" s="1417"/>
      <c r="G49" s="1415" t="e">
        <f>T49</f>
        <v>#DIV/0!</v>
      </c>
      <c r="H49" s="1416"/>
      <c r="I49" s="1417" t="e">
        <f>V49</f>
        <v>#DIV/0!</v>
      </c>
      <c r="J49" s="489"/>
      <c r="K49" s="784"/>
      <c r="L49" s="1145"/>
      <c r="M49" s="1133"/>
      <c r="N49" s="1133"/>
      <c r="O49" s="1133"/>
      <c r="P49" s="3211" t="str">
        <f>A49</f>
        <v>比较价值（元/平方米）</v>
      </c>
      <c r="Q49" s="3229"/>
      <c r="R49" s="3230" t="e">
        <f>IF(F1="售价",ROUND(PRODUCT(R48,AA7:AA47),0),ROUND(PRODUCT(R48,AA7:AA47),1))</f>
        <v>#DIV/0!</v>
      </c>
      <c r="S49" s="3230"/>
      <c r="T49" s="3230" t="e">
        <f>IF(F1="售价",ROUND(PRODUCT(T48,AB7:AB47),0),ROUND(PRODUCT(T48,AB7:AB47),1))</f>
        <v>#DIV/0!</v>
      </c>
      <c r="U49" s="3230"/>
      <c r="V49" s="3230" t="e">
        <f>IF(F1="售价",ROUND(PRODUCT(V48,AC7:AC47),0),ROUND(PRODUCT(V48,AC7:AC47),1))</f>
        <v>#DIV/0!</v>
      </c>
      <c r="W49" s="3230"/>
      <c r="X49" s="446"/>
      <c r="Y49" s="446"/>
      <c r="Z49" s="446"/>
      <c r="AA49" s="446"/>
      <c r="AB49" s="446"/>
      <c r="AC49" s="630"/>
    </row>
    <row r="50" spans="1:29" ht="15.75" thickBot="1">
      <c r="A50" s="492" t="s">
        <v>2658</v>
      </c>
      <c r="B50" s="493"/>
      <c r="C50" s="1419" t="e">
        <f>R50</f>
        <v>#DIV/0!</v>
      </c>
      <c r="D50" s="1419"/>
      <c r="E50" s="1419"/>
      <c r="F50" s="1419"/>
      <c r="G50" s="1419"/>
      <c r="H50" s="1419"/>
      <c r="I50" s="1419"/>
      <c r="J50" s="494"/>
      <c r="K50" s="785"/>
      <c r="L50" s="1145"/>
      <c r="M50" s="1133"/>
      <c r="N50" s="1133"/>
      <c r="O50" s="1133"/>
      <c r="P50" s="3252" t="str">
        <f>A50</f>
        <v>估价对象XX用房的比较价值（楼面单价，元/平方米）</v>
      </c>
      <c r="Q50" s="3253"/>
      <c r="R50" s="3254" t="e">
        <f>IF(F1="售价",ROUND(AVERAGE(R49:V49),0),ROUND(AVERAGE(R49:V49),1))</f>
        <v>#DIV/0!</v>
      </c>
      <c r="S50" s="3254"/>
      <c r="T50" s="3254"/>
      <c r="U50" s="3254"/>
      <c r="V50" s="3254"/>
      <c r="W50" s="3254"/>
      <c r="X50" s="2650"/>
      <c r="Y50" s="2650"/>
      <c r="Z50" s="2650"/>
      <c r="AA50" s="2650"/>
      <c r="AB50" s="2650"/>
      <c r="AC50" s="2651"/>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7"/>
      <c r="L53" s="1108"/>
      <c r="M53" s="1146"/>
      <c r="N53" s="1146"/>
      <c r="O53" s="1146"/>
    </row>
    <row r="54" spans="1:29" ht="13.5" customHeight="1">
      <c r="A54" s="1146"/>
      <c r="B54" s="1146"/>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7"/>
      <c r="L54" s="1108"/>
      <c r="M54" s="1146"/>
      <c r="N54" s="1146"/>
      <c r="O54" s="1146"/>
    </row>
    <row r="55" spans="1:29" s="502" customFormat="1" ht="13.5" customHeight="1">
      <c r="A55" s="1147"/>
      <c r="B55" s="1147"/>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0"/>
      <c r="L55" s="1151"/>
      <c r="M55" s="1147"/>
      <c r="N55" s="1147"/>
      <c r="O55" s="1147"/>
      <c r="P55" s="2676"/>
    </row>
    <row r="56" spans="1:29" s="502" customFormat="1">
      <c r="A56" s="1147"/>
      <c r="B56" s="1148"/>
      <c r="C56" s="1152"/>
      <c r="D56" s="1147"/>
      <c r="E56" s="1147"/>
      <c r="F56" s="1147"/>
      <c r="G56" s="1147"/>
      <c r="H56" s="1147"/>
      <c r="I56" s="1147"/>
      <c r="J56" s="1147"/>
      <c r="K56" s="1150"/>
      <c r="L56" s="1151"/>
      <c r="M56" s="1147"/>
      <c r="N56" s="1147"/>
      <c r="O56" s="1147"/>
      <c r="P56" s="2676"/>
    </row>
    <row r="57" spans="1:29">
      <c r="A57" s="1146"/>
      <c r="B57" s="1148"/>
      <c r="C57" s="1152"/>
      <c r="D57" s="1146"/>
      <c r="E57" s="1146"/>
      <c r="F57" s="1146"/>
      <c r="G57" s="1146"/>
      <c r="H57" s="1146"/>
      <c r="I57" s="1146"/>
      <c r="J57" s="1146"/>
      <c r="K57" s="1107"/>
      <c r="L57" s="1108"/>
      <c r="M57" s="1146"/>
      <c r="N57" s="1146"/>
      <c r="O57" s="1146"/>
    </row>
    <row r="58" spans="1:29" ht="21.75" thickBot="1">
      <c r="A58" s="763" t="s">
        <v>2662</v>
      </c>
      <c r="B58" s="759"/>
      <c r="C58" s="764"/>
      <c r="D58" s="764"/>
      <c r="E58" s="764"/>
      <c r="F58" s="765"/>
      <c r="G58" s="765"/>
      <c r="H58" s="764"/>
      <c r="I58" s="764"/>
      <c r="J58" s="764"/>
      <c r="K58" s="766"/>
      <c r="L58" s="1163"/>
      <c r="M58" s="1161"/>
      <c r="N58" s="1161"/>
      <c r="O58" s="1161"/>
      <c r="P58" s="2677"/>
      <c r="Q58" s="504"/>
    </row>
    <row r="59" spans="1:29" s="508" customFormat="1" ht="15">
      <c r="A59" s="505" t="s">
        <v>2536</v>
      </c>
      <c r="B59" s="506"/>
      <c r="C59" s="1576" t="str">
        <f>YEAR(C7)&amp;"-"&amp;MONTH(C7)</f>
        <v>2018-3</v>
      </c>
      <c r="D59" s="1577">
        <f>EDATE(C59,-1)</f>
        <v>43132</v>
      </c>
      <c r="E59" s="1577">
        <f>EDATE(D59,-1)</f>
        <v>43101</v>
      </c>
      <c r="F59" s="1577">
        <f t="shared" ref="F59:O59" si="16">EDATE(E59,-1)</f>
        <v>43070</v>
      </c>
      <c r="G59" s="1577">
        <f t="shared" si="16"/>
        <v>43040</v>
      </c>
      <c r="H59" s="1577">
        <f t="shared" si="16"/>
        <v>43009</v>
      </c>
      <c r="I59" s="1577">
        <f t="shared" si="16"/>
        <v>42979</v>
      </c>
      <c r="J59" s="1577">
        <f t="shared" si="16"/>
        <v>42948</v>
      </c>
      <c r="K59" s="1577">
        <f t="shared" si="16"/>
        <v>42917</v>
      </c>
      <c r="L59" s="1577">
        <f t="shared" si="16"/>
        <v>42887</v>
      </c>
      <c r="M59" s="1577">
        <f t="shared" si="16"/>
        <v>42856</v>
      </c>
      <c r="N59" s="1577">
        <f t="shared" si="16"/>
        <v>42826</v>
      </c>
      <c r="O59" s="1577">
        <f t="shared" si="16"/>
        <v>42795</v>
      </c>
      <c r="P59" s="1573"/>
    </row>
    <row r="60" spans="1:29" s="117" customFormat="1" ht="15">
      <c r="A60" s="509"/>
      <c r="B60" s="510"/>
      <c r="C60" s="1575">
        <v>100</v>
      </c>
      <c r="D60" s="512"/>
      <c r="E60" s="512"/>
      <c r="F60" s="512"/>
      <c r="G60" s="512"/>
      <c r="H60" s="512"/>
      <c r="I60" s="512"/>
      <c r="J60" s="512"/>
      <c r="K60" s="512"/>
      <c r="L60" s="512"/>
      <c r="M60" s="513"/>
      <c r="N60" s="512"/>
      <c r="O60" s="513"/>
      <c r="P60" s="2678"/>
    </row>
    <row r="61" spans="1:29" s="117" customFormat="1" ht="15.75" thickBot="1">
      <c r="A61" s="515" t="s">
        <v>2573</v>
      </c>
      <c r="B61" s="516"/>
      <c r="C61" s="517"/>
      <c r="D61" s="518"/>
      <c r="E61" s="518"/>
      <c r="F61" s="518"/>
      <c r="G61" s="518"/>
      <c r="H61" s="518"/>
      <c r="I61" s="518"/>
      <c r="J61" s="518"/>
      <c r="K61" s="518"/>
      <c r="L61" s="518"/>
      <c r="M61" s="519"/>
      <c r="N61" s="518"/>
      <c r="O61" s="519"/>
      <c r="P61" s="2678"/>
      <c r="Q61" s="504"/>
    </row>
    <row r="62" spans="1:29" s="117" customFormat="1" ht="15">
      <c r="A62" s="521" t="s">
        <v>2538</v>
      </c>
      <c r="B62" s="510"/>
      <c r="C62" s="522" t="s">
        <v>2640</v>
      </c>
      <c r="D62" s="523"/>
      <c r="E62" s="523"/>
      <c r="F62" s="523"/>
      <c r="G62" s="523"/>
      <c r="H62" s="523"/>
      <c r="I62" s="523"/>
      <c r="J62" s="523"/>
      <c r="K62" s="523"/>
      <c r="L62" s="524"/>
      <c r="M62" s="525"/>
      <c r="N62" s="1153"/>
      <c r="O62" s="1153"/>
      <c r="P62" s="2679"/>
      <c r="Q62" s="504"/>
    </row>
    <row r="63" spans="1:29" s="117" customFormat="1" ht="15.75" thickBot="1">
      <c r="A63" s="521"/>
      <c r="B63" s="510"/>
      <c r="C63" s="511">
        <v>100</v>
      </c>
      <c r="D63" s="512"/>
      <c r="E63" s="512"/>
      <c r="F63" s="512"/>
      <c r="G63" s="512"/>
      <c r="H63" s="512"/>
      <c r="I63" s="512"/>
      <c r="J63" s="512"/>
      <c r="K63" s="512"/>
      <c r="L63" s="512"/>
      <c r="M63" s="514"/>
      <c r="N63" s="1153"/>
      <c r="O63" s="1153"/>
      <c r="P63" s="2678"/>
      <c r="Q63" s="504"/>
    </row>
    <row r="64" spans="1:29">
      <c r="A64" s="527" t="s">
        <v>2576</v>
      </c>
      <c r="B64" s="528" t="s">
        <v>2542</v>
      </c>
      <c r="C64" s="529">
        <f>C9</f>
        <v>0</v>
      </c>
      <c r="D64" s="530"/>
      <c r="E64" s="530"/>
      <c r="F64" s="530"/>
      <c r="G64" s="530"/>
      <c r="H64" s="530"/>
      <c r="I64" s="530"/>
      <c r="J64" s="530"/>
      <c r="K64" s="531"/>
      <c r="L64" s="532"/>
      <c r="M64" s="533"/>
      <c r="N64" s="1154"/>
      <c r="O64" s="1154"/>
      <c r="P64" s="2680"/>
      <c r="Q64" s="504"/>
    </row>
    <row r="65" spans="1:17" ht="15.75" thickBot="1">
      <c r="A65" s="534"/>
      <c r="B65" s="535"/>
      <c r="C65" s="536">
        <v>100</v>
      </c>
      <c r="D65" s="536"/>
      <c r="E65" s="536"/>
      <c r="F65" s="536"/>
      <c r="G65" s="536"/>
      <c r="H65" s="536"/>
      <c r="I65" s="536"/>
      <c r="J65" s="536"/>
      <c r="K65" s="536"/>
      <c r="L65" s="536"/>
      <c r="M65" s="537"/>
      <c r="N65" s="1155"/>
      <c r="O65" s="1155"/>
      <c r="P65" s="2680"/>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4"/>
      <c r="O66" s="1154"/>
      <c r="P66" s="268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5"/>
      <c r="O67" s="1155"/>
      <c r="P67" s="2680"/>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5"/>
      <c r="O68" s="1155"/>
      <c r="P68" s="2680"/>
      <c r="Q68" s="504"/>
    </row>
    <row r="69" spans="1:17" ht="15">
      <c r="A69" s="534"/>
      <c r="B69" s="548"/>
      <c r="C69" s="549"/>
      <c r="D69" s="549"/>
      <c r="E69" s="549"/>
      <c r="F69" s="549"/>
      <c r="G69" s="549"/>
      <c r="H69" s="549"/>
      <c r="I69" s="549"/>
      <c r="J69" s="549"/>
      <c r="K69" s="550"/>
      <c r="L69" s="551"/>
      <c r="M69" s="552"/>
      <c r="N69" s="1154"/>
      <c r="O69" s="1154"/>
      <c r="P69" s="268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5"/>
      <c r="O70" s="1155"/>
      <c r="P70" s="2680"/>
      <c r="Q70" s="504"/>
    </row>
    <row r="71" spans="1:17" s="471" customFormat="1" ht="15.75" thickTop="1">
      <c r="A71" s="553"/>
      <c r="B71" s="538">
        <f>B12</f>
        <v>111</v>
      </c>
      <c r="C71" s="554"/>
      <c r="D71" s="554"/>
      <c r="E71" s="554"/>
      <c r="F71" s="554"/>
      <c r="G71" s="554"/>
      <c r="H71" s="555"/>
      <c r="I71" s="555"/>
      <c r="J71" s="555"/>
      <c r="K71" s="555"/>
      <c r="L71" s="556"/>
      <c r="M71" s="557"/>
      <c r="N71" s="1156"/>
      <c r="O71" s="1156"/>
      <c r="P71" s="2681"/>
      <c r="Q71" s="559"/>
    </row>
    <row r="72" spans="1:17" s="471" customFormat="1" ht="15.75" thickBot="1">
      <c r="A72" s="553"/>
      <c r="B72" s="543"/>
      <c r="C72" s="560"/>
      <c r="D72" s="536"/>
      <c r="E72" s="536"/>
      <c r="F72" s="536"/>
      <c r="G72" s="536"/>
      <c r="H72" s="536"/>
      <c r="I72" s="536"/>
      <c r="J72" s="536"/>
      <c r="K72" s="536"/>
      <c r="L72" s="536"/>
      <c r="M72" s="537"/>
      <c r="N72" s="1155"/>
      <c r="O72" s="1155"/>
      <c r="P72" s="2681"/>
      <c r="Q72" s="559"/>
    </row>
    <row r="73" spans="1:17" s="471" customFormat="1" ht="15.75" thickTop="1">
      <c r="A73" s="553"/>
      <c r="B73" s="538">
        <f>B13</f>
        <v>111</v>
      </c>
      <c r="C73" s="554"/>
      <c r="D73" s="554"/>
      <c r="E73" s="554"/>
      <c r="F73" s="554"/>
      <c r="G73" s="554"/>
      <c r="H73" s="555"/>
      <c r="I73" s="555"/>
      <c r="J73" s="555"/>
      <c r="K73" s="555"/>
      <c r="L73" s="556"/>
      <c r="M73" s="557"/>
      <c r="N73" s="1156"/>
      <c r="O73" s="1156"/>
      <c r="P73" s="2682"/>
      <c r="Q73" s="561"/>
    </row>
    <row r="74" spans="1:17" s="471" customFormat="1" ht="15.75" thickBot="1">
      <c r="A74" s="553"/>
      <c r="B74" s="543"/>
      <c r="C74" s="560"/>
      <c r="D74" s="560"/>
      <c r="E74" s="560"/>
      <c r="F74" s="560"/>
      <c r="G74" s="560"/>
      <c r="H74" s="562"/>
      <c r="I74" s="562"/>
      <c r="J74" s="562"/>
      <c r="K74" s="562"/>
      <c r="L74" s="562"/>
      <c r="M74" s="563"/>
      <c r="N74" s="1156"/>
      <c r="O74" s="1156"/>
      <c r="P74" s="2681"/>
      <c r="Q74" s="559"/>
    </row>
    <row r="75" spans="1:17" s="471" customFormat="1" ht="15.75" thickTop="1">
      <c r="A75" s="553"/>
      <c r="B75" s="546">
        <f>B14</f>
        <v>111</v>
      </c>
      <c r="C75" s="523"/>
      <c r="D75" s="523"/>
      <c r="E75" s="523"/>
      <c r="F75" s="523"/>
      <c r="G75" s="523"/>
      <c r="H75" s="564"/>
      <c r="I75" s="564"/>
      <c r="J75" s="564"/>
      <c r="K75" s="564"/>
      <c r="L75" s="565"/>
      <c r="M75" s="566"/>
      <c r="N75" s="1156"/>
      <c r="O75" s="1156"/>
      <c r="P75" s="2683"/>
      <c r="Q75" s="559"/>
    </row>
    <row r="76" spans="1:17" s="471" customFormat="1" ht="15.75" thickBot="1">
      <c r="A76" s="568"/>
      <c r="B76" s="569"/>
      <c r="C76" s="570"/>
      <c r="D76" s="570"/>
      <c r="E76" s="570"/>
      <c r="F76" s="570"/>
      <c r="G76" s="570"/>
      <c r="H76" s="571"/>
      <c r="I76" s="571"/>
      <c r="J76" s="571"/>
      <c r="K76" s="571"/>
      <c r="L76" s="571"/>
      <c r="M76" s="572"/>
      <c r="N76" s="1156"/>
      <c r="O76" s="1156"/>
      <c r="P76" s="2681"/>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4"/>
      <c r="O77" s="1154"/>
      <c r="P77" s="268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5"/>
      <c r="O78" s="1155"/>
      <c r="P78" s="2680"/>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4"/>
      <c r="O79" s="1154"/>
      <c r="P79" s="268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5"/>
      <c r="O80" s="1155"/>
      <c r="P80" s="2680"/>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4"/>
      <c r="O81" s="1154"/>
      <c r="P81" s="268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5"/>
      <c r="O82" s="1155"/>
      <c r="P82" s="2680"/>
      <c r="Q82" s="504"/>
    </row>
    <row r="83" spans="1:17" ht="15.75" thickTop="1">
      <c r="A83" s="534"/>
      <c r="B83" s="546" t="s">
        <v>2677</v>
      </c>
      <c r="C83" s="660" t="s">
        <v>2663</v>
      </c>
      <c r="D83" s="660" t="s">
        <v>2664</v>
      </c>
      <c r="E83" s="660" t="s">
        <v>2665</v>
      </c>
      <c r="F83" s="660" t="s">
        <v>2666</v>
      </c>
      <c r="G83" s="660" t="s">
        <v>2667</v>
      </c>
      <c r="H83" s="539"/>
      <c r="I83" s="539"/>
      <c r="J83" s="539"/>
      <c r="K83" s="539"/>
      <c r="L83" s="539"/>
      <c r="M83" s="1384"/>
      <c r="N83" s="1155"/>
      <c r="O83" s="1155"/>
      <c r="P83" s="268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5"/>
      <c r="O84" s="1155"/>
      <c r="P84" s="2680"/>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4"/>
      <c r="O85" s="1154"/>
      <c r="P85" s="268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5"/>
      <c r="O86" s="1155"/>
      <c r="P86" s="2680"/>
      <c r="Q86" s="504"/>
    </row>
    <row r="87" spans="1:17" s="117" customFormat="1" ht="27.75" thickTop="1">
      <c r="A87" s="579"/>
      <c r="B87" s="538" t="s">
        <v>2687</v>
      </c>
      <c r="C87" s="554"/>
      <c r="D87" s="554"/>
      <c r="E87" s="554"/>
      <c r="F87" s="554"/>
      <c r="G87" s="554"/>
      <c r="H87" s="554"/>
      <c r="I87" s="554"/>
      <c r="J87" s="554"/>
      <c r="K87" s="554"/>
      <c r="L87" s="580"/>
      <c r="M87" s="581"/>
      <c r="N87" s="1153"/>
      <c r="O87" s="1153"/>
      <c r="P87" s="268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5"/>
      <c r="O88" s="1155"/>
      <c r="P88" s="2680"/>
      <c r="Q88" s="504"/>
    </row>
    <row r="89" spans="1:17" s="117" customFormat="1" ht="15.75" thickTop="1">
      <c r="A89" s="579"/>
      <c r="B89" s="538" t="str">
        <f>B27</f>
        <v>楼层</v>
      </c>
      <c r="C89" s="554"/>
      <c r="D89" s="554"/>
      <c r="E89" s="554"/>
      <c r="F89" s="2631"/>
      <c r="G89" s="554"/>
      <c r="H89" s="554"/>
      <c r="I89" s="554"/>
      <c r="J89" s="554"/>
      <c r="K89" s="554"/>
      <c r="L89" s="554"/>
      <c r="M89" s="581"/>
      <c r="N89" s="1153"/>
      <c r="O89" s="1153"/>
      <c r="P89" s="268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5"/>
      <c r="O90" s="1155"/>
      <c r="P90" s="2680"/>
      <c r="Q90" s="504"/>
    </row>
    <row r="91" spans="1:17" s="471" customFormat="1" ht="15.75" thickTop="1">
      <c r="A91" s="553"/>
      <c r="B91" s="538" t="str">
        <f>B28</f>
        <v>朝向</v>
      </c>
      <c r="C91" s="554"/>
      <c r="D91" s="554"/>
      <c r="E91" s="554"/>
      <c r="F91" s="554"/>
      <c r="G91" s="554"/>
      <c r="H91" s="555"/>
      <c r="I91" s="555"/>
      <c r="J91" s="555"/>
      <c r="K91" s="555"/>
      <c r="L91" s="556"/>
      <c r="M91" s="557"/>
      <c r="N91" s="1156"/>
      <c r="O91" s="1156"/>
      <c r="P91" s="268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6"/>
      <c r="O92" s="1156"/>
      <c r="P92" s="2681"/>
      <c r="Q92" s="559"/>
    </row>
    <row r="93" spans="1:17" ht="15.75" thickTop="1">
      <c r="A93" s="534"/>
      <c r="B93" s="538">
        <f>B29</f>
        <v>111</v>
      </c>
      <c r="C93" s="554"/>
      <c r="D93" s="554"/>
      <c r="E93" s="554"/>
      <c r="F93" s="554"/>
      <c r="G93" s="554"/>
      <c r="H93" s="554"/>
      <c r="I93" s="554"/>
      <c r="J93" s="554"/>
      <c r="K93" s="554"/>
      <c r="L93" s="580"/>
      <c r="M93" s="581"/>
      <c r="N93" s="1154"/>
      <c r="O93" s="1154"/>
      <c r="P93" s="2680"/>
      <c r="Q93" s="504"/>
    </row>
    <row r="94" spans="1:17" ht="15.75" thickBot="1">
      <c r="A94" s="534"/>
      <c r="B94" s="543"/>
      <c r="C94" s="560"/>
      <c r="D94" s="536"/>
      <c r="E94" s="536"/>
      <c r="F94" s="536"/>
      <c r="G94" s="536"/>
      <c r="H94" s="536"/>
      <c r="I94" s="536"/>
      <c r="J94" s="536"/>
      <c r="K94" s="536"/>
      <c r="L94" s="536"/>
      <c r="M94" s="537"/>
      <c r="N94" s="1155"/>
      <c r="O94" s="1155"/>
      <c r="P94" s="2680"/>
      <c r="Q94" s="504"/>
    </row>
    <row r="95" spans="1:17" ht="15.75" thickTop="1">
      <c r="A95" s="534"/>
      <c r="B95" s="538">
        <f>B30</f>
        <v>111</v>
      </c>
      <c r="C95" s="554"/>
      <c r="D95" s="554"/>
      <c r="E95" s="554"/>
      <c r="F95" s="554"/>
      <c r="G95" s="583"/>
      <c r="H95" s="583"/>
      <c r="I95" s="583"/>
      <c r="J95" s="583"/>
      <c r="K95" s="584"/>
      <c r="L95" s="585"/>
      <c r="M95" s="586"/>
      <c r="N95" s="1154"/>
      <c r="O95" s="1154"/>
      <c r="P95" s="2680"/>
      <c r="Q95" s="504"/>
    </row>
    <row r="96" spans="1:17" ht="15.75" thickBot="1">
      <c r="A96" s="534"/>
      <c r="B96" s="543"/>
      <c r="C96" s="560"/>
      <c r="D96" s="560"/>
      <c r="E96" s="560"/>
      <c r="F96" s="560"/>
      <c r="G96" s="536"/>
      <c r="H96" s="536"/>
      <c r="I96" s="536"/>
      <c r="J96" s="536"/>
      <c r="K96" s="536"/>
      <c r="L96" s="536"/>
      <c r="M96" s="537"/>
      <c r="N96" s="1155"/>
      <c r="O96" s="1155"/>
      <c r="P96" s="2680"/>
      <c r="Q96" s="504"/>
    </row>
    <row r="97" spans="1:17" ht="15.75" thickTop="1">
      <c r="A97" s="534"/>
      <c r="B97" s="538">
        <f>B31</f>
        <v>111</v>
      </c>
      <c r="C97" s="554"/>
      <c r="D97" s="554"/>
      <c r="E97" s="554"/>
      <c r="F97" s="554"/>
      <c r="G97" s="583"/>
      <c r="H97" s="583"/>
      <c r="I97" s="583"/>
      <c r="J97" s="583"/>
      <c r="K97" s="584"/>
      <c r="L97" s="585"/>
      <c r="M97" s="586"/>
      <c r="N97" s="1154"/>
      <c r="O97" s="1154"/>
      <c r="P97" s="2680"/>
      <c r="Q97" s="504"/>
    </row>
    <row r="98" spans="1:17" ht="15.75" thickBot="1">
      <c r="A98" s="534"/>
      <c r="B98" s="543"/>
      <c r="C98" s="560"/>
      <c r="D98" s="536"/>
      <c r="E98" s="536"/>
      <c r="F98" s="536"/>
      <c r="G98" s="536"/>
      <c r="H98" s="536"/>
      <c r="I98" s="536"/>
      <c r="J98" s="536"/>
      <c r="K98" s="536"/>
      <c r="L98" s="536"/>
      <c r="M98" s="537"/>
      <c r="N98" s="1155"/>
      <c r="O98" s="1155"/>
      <c r="P98" s="2680"/>
      <c r="Q98" s="504"/>
    </row>
    <row r="99" spans="1:17" ht="15.75" thickTop="1">
      <c r="A99" s="534"/>
      <c r="B99" s="546">
        <f>B32</f>
        <v>111</v>
      </c>
      <c r="C99" s="523"/>
      <c r="D99" s="523"/>
      <c r="E99" s="523"/>
      <c r="F99" s="523"/>
      <c r="G99" s="587"/>
      <c r="H99" s="587"/>
      <c r="I99" s="587"/>
      <c r="J99" s="587"/>
      <c r="K99" s="588"/>
      <c r="L99" s="589"/>
      <c r="M99" s="590"/>
      <c r="N99" s="1154"/>
      <c r="O99" s="1154"/>
      <c r="P99" s="2680"/>
      <c r="Q99" s="504"/>
    </row>
    <row r="100" spans="1:17" ht="15.75" thickBot="1">
      <c r="A100" s="2632"/>
      <c r="B100" s="569"/>
      <c r="C100" s="570"/>
      <c r="D100" s="570"/>
      <c r="E100" s="570"/>
      <c r="F100" s="570"/>
      <c r="G100" s="591"/>
      <c r="H100" s="591"/>
      <c r="I100" s="591"/>
      <c r="J100" s="591"/>
      <c r="K100" s="591"/>
      <c r="L100" s="591"/>
      <c r="M100" s="592"/>
      <c r="N100" s="1155"/>
      <c r="O100" s="1155"/>
      <c r="P100" s="2680"/>
      <c r="Q100" s="504"/>
    </row>
    <row r="101" spans="1:17">
      <c r="A101" s="527" t="s">
        <v>2551</v>
      </c>
      <c r="B101" s="528" t="s">
        <v>2600</v>
      </c>
      <c r="C101" s="530"/>
      <c r="D101" s="530"/>
      <c r="E101" s="530"/>
      <c r="F101" s="530"/>
      <c r="G101" s="530"/>
      <c r="H101" s="530"/>
      <c r="I101" s="530"/>
      <c r="J101" s="530"/>
      <c r="K101" s="531"/>
      <c r="L101" s="532"/>
      <c r="M101" s="533"/>
      <c r="N101" s="1154"/>
      <c r="O101" s="1154"/>
      <c r="P101" s="268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5"/>
      <c r="O102" s="1155"/>
      <c r="P102" s="2680"/>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3"/>
      <c r="O103" s="1153"/>
      <c r="P103" s="2680"/>
      <c r="Q103" s="504"/>
    </row>
    <row r="104" spans="1:17" s="471" customFormat="1">
      <c r="A104" s="593"/>
      <c r="B104" s="594"/>
      <c r="C104" s="595"/>
      <c r="D104" s="595"/>
      <c r="E104" s="595"/>
      <c r="F104" s="595"/>
      <c r="G104" s="595"/>
      <c r="H104" s="595"/>
      <c r="I104" s="595"/>
      <c r="J104" s="596"/>
      <c r="K104" s="596"/>
      <c r="L104" s="597"/>
      <c r="M104" s="598"/>
      <c r="N104" s="1156"/>
      <c r="O104" s="1156"/>
      <c r="P104" s="2681"/>
      <c r="Q104" s="559"/>
    </row>
    <row r="105" spans="1:17" s="471" customFormat="1" ht="15.75" thickBot="1">
      <c r="A105" s="553"/>
      <c r="B105" s="543"/>
      <c r="C105" s="560"/>
      <c r="D105" s="536"/>
      <c r="E105" s="536"/>
      <c r="F105" s="536"/>
      <c r="G105" s="536"/>
      <c r="H105" s="536"/>
      <c r="I105" s="536"/>
      <c r="J105" s="536"/>
      <c r="K105" s="536"/>
      <c r="L105" s="536"/>
      <c r="M105" s="537"/>
      <c r="N105" s="1155"/>
      <c r="O105" s="1155"/>
      <c r="P105" s="2681"/>
      <c r="Q105" s="559"/>
    </row>
    <row r="106" spans="1:17" ht="15" thickTop="1">
      <c r="A106" s="599"/>
      <c r="B106" s="538" t="s">
        <v>2602</v>
      </c>
      <c r="C106" s="554"/>
      <c r="D106" s="554"/>
      <c r="E106" s="583"/>
      <c r="F106" s="583"/>
      <c r="G106" s="583"/>
      <c r="H106" s="583"/>
      <c r="I106" s="583"/>
      <c r="J106" s="583"/>
      <c r="K106" s="584"/>
      <c r="L106" s="585"/>
      <c r="M106" s="586"/>
      <c r="N106" s="1154"/>
      <c r="O106" s="1154"/>
      <c r="P106" s="268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5"/>
      <c r="O107" s="1155"/>
      <c r="P107" s="2680"/>
      <c r="Q107" s="504"/>
    </row>
    <row r="108" spans="1:17" ht="15" thickTop="1">
      <c r="A108" s="599"/>
      <c r="B108" s="538" t="s">
        <v>2604</v>
      </c>
      <c r="C108" s="554"/>
      <c r="D108" s="554"/>
      <c r="E108" s="554"/>
      <c r="F108" s="583"/>
      <c r="G108" s="583"/>
      <c r="H108" s="583"/>
      <c r="I108" s="583"/>
      <c r="J108" s="583"/>
      <c r="K108" s="584"/>
      <c r="L108" s="585"/>
      <c r="M108" s="586"/>
      <c r="N108" s="1154"/>
      <c r="O108" s="1154"/>
      <c r="P108" s="268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5"/>
      <c r="O109" s="1155"/>
      <c r="P109" s="2680"/>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4"/>
      <c r="O110" s="1154"/>
      <c r="P110" s="2680"/>
      <c r="Q110" s="504"/>
    </row>
    <row r="111" spans="1:17">
      <c r="A111" s="599"/>
      <c r="B111" s="546"/>
      <c r="C111" s="603">
        <v>0.5</v>
      </c>
      <c r="D111" s="603">
        <v>0.6</v>
      </c>
      <c r="E111" s="603">
        <v>0.7</v>
      </c>
      <c r="F111" s="603">
        <v>0.8</v>
      </c>
      <c r="G111" s="603">
        <v>0.9</v>
      </c>
      <c r="H111" s="603">
        <v>1.0001</v>
      </c>
      <c r="I111" s="623"/>
      <c r="J111" s="623"/>
      <c r="K111" s="624"/>
      <c r="L111" s="625"/>
      <c r="M111" s="626"/>
      <c r="N111" s="1154"/>
      <c r="O111" s="1154"/>
      <c r="P111" s="268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5"/>
      <c r="O112" s="1155"/>
      <c r="P112" s="2680"/>
      <c r="Q112" s="504"/>
    </row>
    <row r="113" spans="1:17" s="471" customFormat="1" ht="15" thickTop="1">
      <c r="A113" s="593"/>
      <c r="B113" s="538" t="s">
        <v>2688</v>
      </c>
      <c r="C113" s="554"/>
      <c r="D113" s="554"/>
      <c r="E113" s="554"/>
      <c r="F113" s="554"/>
      <c r="G113" s="554"/>
      <c r="H113" s="583"/>
      <c r="I113" s="583"/>
      <c r="J113" s="583"/>
      <c r="K113" s="584"/>
      <c r="L113" s="585"/>
      <c r="M113" s="586"/>
      <c r="N113" s="1156"/>
      <c r="O113" s="1156"/>
      <c r="P113" s="268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6"/>
      <c r="O114" s="1156"/>
      <c r="P114" s="2681"/>
      <c r="Q114" s="559"/>
    </row>
    <row r="115" spans="1:17" ht="15" thickTop="1">
      <c r="A115" s="599"/>
      <c r="B115" s="538" t="s">
        <v>2605</v>
      </c>
      <c r="C115" s="554"/>
      <c r="D115" s="554"/>
      <c r="E115" s="583"/>
      <c r="F115" s="583"/>
      <c r="G115" s="583"/>
      <c r="H115" s="583"/>
      <c r="I115" s="583"/>
      <c r="J115" s="583"/>
      <c r="K115" s="584"/>
      <c r="L115" s="585"/>
      <c r="M115" s="586"/>
      <c r="N115" s="1154"/>
      <c r="O115" s="1154"/>
      <c r="P115" s="268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5"/>
      <c r="O116" s="1155"/>
      <c r="P116" s="2680"/>
      <c r="Q116" s="504"/>
    </row>
    <row r="117" spans="1:17" ht="15" thickTop="1">
      <c r="A117" s="599"/>
      <c r="B117" s="538" t="s">
        <v>2606</v>
      </c>
      <c r="C117" s="554"/>
      <c r="D117" s="554"/>
      <c r="E117" s="554"/>
      <c r="F117" s="554"/>
      <c r="G117" s="554"/>
      <c r="H117" s="583"/>
      <c r="I117" s="583"/>
      <c r="J117" s="583"/>
      <c r="K117" s="584"/>
      <c r="L117" s="585"/>
      <c r="M117" s="586"/>
      <c r="N117" s="1154"/>
      <c r="O117" s="1154"/>
      <c r="P117" s="268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5"/>
      <c r="O118" s="1155"/>
      <c r="P118" s="2680"/>
      <c r="Q118" s="504"/>
    </row>
    <row r="119" spans="1:17" ht="15" thickTop="1">
      <c r="A119" s="599"/>
      <c r="B119" s="636" t="s">
        <v>2689</v>
      </c>
      <c r="C119" s="583"/>
      <c r="D119" s="583"/>
      <c r="E119" s="583"/>
      <c r="F119" s="583"/>
      <c r="G119" s="583"/>
      <c r="H119" s="583"/>
      <c r="I119" s="583"/>
      <c r="J119" s="583"/>
      <c r="K119" s="583"/>
      <c r="L119" s="2685"/>
      <c r="M119" s="2686"/>
      <c r="N119" s="1155"/>
      <c r="O119" s="1155"/>
      <c r="P119" s="268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5"/>
      <c r="O120" s="1155"/>
      <c r="P120" s="2680"/>
      <c r="Q120" s="504"/>
    </row>
    <row r="121" spans="1:17" s="471" customFormat="1" ht="15" thickTop="1">
      <c r="A121" s="593"/>
      <c r="B121" s="538" t="s">
        <v>2672</v>
      </c>
      <c r="C121" s="554"/>
      <c r="D121" s="554"/>
      <c r="E121" s="554"/>
      <c r="F121" s="583"/>
      <c r="G121" s="555"/>
      <c r="H121" s="555"/>
      <c r="I121" s="555"/>
      <c r="J121" s="555"/>
      <c r="K121" s="555"/>
      <c r="L121" s="556"/>
      <c r="M121" s="557"/>
      <c r="N121" s="1156"/>
      <c r="O121" s="1156"/>
      <c r="P121" s="2681"/>
      <c r="Q121" s="559"/>
    </row>
    <row r="122" spans="1:17" s="471" customFormat="1" ht="15.75" thickBot="1">
      <c r="A122" s="553"/>
      <c r="B122" s="535"/>
      <c r="C122" s="560"/>
      <c r="D122" s="560"/>
      <c r="E122" s="560"/>
      <c r="F122" s="560"/>
      <c r="G122" s="560"/>
      <c r="H122" s="560"/>
      <c r="I122" s="560"/>
      <c r="J122" s="560"/>
      <c r="K122" s="560"/>
      <c r="L122" s="560"/>
      <c r="M122" s="560"/>
      <c r="N122" s="1156"/>
      <c r="O122" s="1156"/>
      <c r="P122" s="2681"/>
      <c r="Q122" s="559"/>
    </row>
    <row r="123" spans="1:17" ht="15" thickTop="1">
      <c r="A123" s="599"/>
      <c r="B123" s="538" t="s">
        <v>2608</v>
      </c>
      <c r="C123" s="554"/>
      <c r="D123" s="554"/>
      <c r="E123" s="554"/>
      <c r="F123" s="583"/>
      <c r="G123" s="583"/>
      <c r="H123" s="583"/>
      <c r="I123" s="583"/>
      <c r="J123" s="583"/>
      <c r="K123" s="584"/>
      <c r="L123" s="585"/>
      <c r="M123" s="586"/>
      <c r="N123" s="1154"/>
      <c r="O123" s="1154"/>
      <c r="P123" s="268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5"/>
      <c r="O124" s="1155"/>
      <c r="P124" s="2680"/>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4"/>
      <c r="O125" s="1154"/>
      <c r="P125" s="268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5"/>
      <c r="O126" s="1155"/>
      <c r="P126" s="2680"/>
      <c r="Q126" s="504"/>
    </row>
    <row r="127" spans="1:17" s="471" customFormat="1" ht="15" thickTop="1">
      <c r="A127" s="593"/>
      <c r="B127" s="538">
        <f>B45</f>
        <v>111</v>
      </c>
      <c r="C127" s="554"/>
      <c r="D127" s="554"/>
      <c r="E127" s="554"/>
      <c r="F127" s="554"/>
      <c r="G127" s="554"/>
      <c r="H127" s="555"/>
      <c r="I127" s="555"/>
      <c r="J127" s="555"/>
      <c r="K127" s="555"/>
      <c r="L127" s="556"/>
      <c r="M127" s="557"/>
      <c r="N127" s="1156"/>
      <c r="O127" s="1156"/>
      <c r="P127" s="2681"/>
      <c r="Q127" s="559"/>
    </row>
    <row r="128" spans="1:17" s="471" customFormat="1" ht="15.75" thickBot="1">
      <c r="A128" s="553"/>
      <c r="B128" s="543"/>
      <c r="C128" s="560"/>
      <c r="D128" s="536"/>
      <c r="E128" s="536"/>
      <c r="F128" s="536"/>
      <c r="G128" s="560"/>
      <c r="H128" s="562"/>
      <c r="I128" s="562"/>
      <c r="J128" s="562"/>
      <c r="K128" s="562"/>
      <c r="L128" s="562"/>
      <c r="M128" s="563"/>
      <c r="N128" s="1156"/>
      <c r="O128" s="1156"/>
      <c r="P128" s="2681"/>
      <c r="Q128" s="559"/>
    </row>
    <row r="129" spans="1:17" ht="15" thickTop="1">
      <c r="A129" s="599"/>
      <c r="B129" s="538">
        <f>B46</f>
        <v>111</v>
      </c>
      <c r="C129" s="554"/>
      <c r="D129" s="554"/>
      <c r="E129" s="554"/>
      <c r="F129" s="554"/>
      <c r="G129" s="583"/>
      <c r="H129" s="583"/>
      <c r="I129" s="583"/>
      <c r="J129" s="583"/>
      <c r="K129" s="584"/>
      <c r="L129" s="585"/>
      <c r="M129" s="586"/>
      <c r="N129" s="1154"/>
      <c r="O129" s="1154"/>
      <c r="P129" s="2680"/>
      <c r="Q129" s="504"/>
    </row>
    <row r="130" spans="1:17" ht="15.75" thickBot="1">
      <c r="A130" s="534"/>
      <c r="B130" s="543"/>
      <c r="C130" s="560"/>
      <c r="D130" s="560"/>
      <c r="E130" s="560"/>
      <c r="F130" s="560"/>
      <c r="G130" s="536"/>
      <c r="H130" s="536"/>
      <c r="I130" s="536"/>
      <c r="J130" s="536"/>
      <c r="K130" s="536"/>
      <c r="L130" s="536"/>
      <c r="M130" s="537"/>
      <c r="N130" s="1155"/>
      <c r="O130" s="1155"/>
      <c r="P130" s="2680"/>
      <c r="Q130" s="504"/>
    </row>
    <row r="131" spans="1:17" ht="15" thickTop="1">
      <c r="A131" s="599"/>
      <c r="B131" s="546">
        <f>B47</f>
        <v>111</v>
      </c>
      <c r="C131" s="523"/>
      <c r="D131" s="523"/>
      <c r="E131" s="523"/>
      <c r="F131" s="523"/>
      <c r="G131" s="587"/>
      <c r="H131" s="587"/>
      <c r="I131" s="587"/>
      <c r="J131" s="587"/>
      <c r="K131" s="523"/>
      <c r="L131" s="524"/>
      <c r="M131" s="590"/>
      <c r="N131" s="1154"/>
      <c r="O131" s="1154"/>
      <c r="P131" s="2680"/>
      <c r="Q131" s="504"/>
    </row>
    <row r="132" spans="1:17" ht="15.75" thickBot="1">
      <c r="A132" s="2632"/>
      <c r="B132" s="569"/>
      <c r="C132" s="570"/>
      <c r="D132" s="570"/>
      <c r="E132" s="570"/>
      <c r="F132" s="570"/>
      <c r="G132" s="591"/>
      <c r="H132" s="591"/>
      <c r="I132" s="591"/>
      <c r="J132" s="591"/>
      <c r="K132" s="591"/>
      <c r="L132" s="591"/>
      <c r="M132" s="592"/>
      <c r="N132" s="1155"/>
      <c r="O132" s="1155"/>
      <c r="P132" s="268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3" priority="16" stopIfTrue="1" operator="containsText" text="超过">
      <formula>NOT(ISERROR(SEARCH("超过",F53)))</formula>
    </cfRule>
  </conditionalFormatting>
  <conditionalFormatting sqref="H55">
    <cfRule type="containsText" dxfId="102" priority="15" stopIfTrue="1" operator="containsText" text="超过">
      <formula>NOT(ISERROR(SEARCH("超过",H55)))</formula>
    </cfRule>
  </conditionalFormatting>
  <conditionalFormatting sqref="F55">
    <cfRule type="containsText" dxfId="101" priority="14" stopIfTrue="1" operator="containsText" text="超过">
      <formula>NOT(ISERROR(SEARCH("超过",F55)))</formula>
    </cfRule>
  </conditionalFormatting>
  <conditionalFormatting sqref="F54 H54">
    <cfRule type="containsText" dxfId="100" priority="13" stopIfTrue="1" operator="containsText" text="超过">
      <formula>NOT(ISERROR(SEARCH("超过",F54)))</formula>
    </cfRule>
  </conditionalFormatting>
  <conditionalFormatting sqref="E53">
    <cfRule type="expression" dxfId="99" priority="12" stopIfTrue="1">
      <formula>$F$53="超过30%"</formula>
    </cfRule>
  </conditionalFormatting>
  <conditionalFormatting sqref="E54">
    <cfRule type="expression" dxfId="98" priority="11" stopIfTrue="1">
      <formula>$F$54="超过20%"</formula>
    </cfRule>
  </conditionalFormatting>
  <conditionalFormatting sqref="E55">
    <cfRule type="expression" dxfId="97" priority="10" stopIfTrue="1">
      <formula>$F$55="超过30%"</formula>
    </cfRule>
  </conditionalFormatting>
  <conditionalFormatting sqref="G55">
    <cfRule type="expression" dxfId="96" priority="9" stopIfTrue="1">
      <formula>$H$55="超过30%"</formula>
    </cfRule>
  </conditionalFormatting>
  <conditionalFormatting sqref="G53">
    <cfRule type="expression" dxfId="95" priority="8" stopIfTrue="1">
      <formula>$H$53="超过30%"</formula>
    </cfRule>
  </conditionalFormatting>
  <conditionalFormatting sqref="G54">
    <cfRule type="expression" dxfId="94" priority="7" stopIfTrue="1">
      <formula>$H$54="超过20%"</formula>
    </cfRule>
  </conditionalFormatting>
  <conditionalFormatting sqref="J53">
    <cfRule type="containsText" dxfId="93" priority="6" stopIfTrue="1" operator="containsText" text="超过">
      <formula>NOT(ISERROR(SEARCH("超过",J53)))</formula>
    </cfRule>
  </conditionalFormatting>
  <conditionalFormatting sqref="J55">
    <cfRule type="containsText" dxfId="92" priority="5" stopIfTrue="1" operator="containsText" text="超过">
      <formula>NOT(ISERROR(SEARCH("超过",J55)))</formula>
    </cfRule>
  </conditionalFormatting>
  <conditionalFormatting sqref="J54">
    <cfRule type="containsText" dxfId="91" priority="4" stopIfTrue="1" operator="containsText" text="超过">
      <formula>NOT(ISERROR(SEARCH("超过",J54)))</formula>
    </cfRule>
  </conditionalFormatting>
  <conditionalFormatting sqref="I53">
    <cfRule type="expression" dxfId="90" priority="3" stopIfTrue="1">
      <formula>$J$53="超过30%"</formula>
    </cfRule>
  </conditionalFormatting>
  <conditionalFormatting sqref="I54">
    <cfRule type="expression" dxfId="89" priority="2" stopIfTrue="1">
      <formula>$J$53+$J$54="超过20%"</formula>
    </cfRule>
  </conditionalFormatting>
  <conditionalFormatting sqref="I55">
    <cfRule type="expression" dxfId="8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2695</v>
      </c>
      <c r="B1" s="1621"/>
      <c r="C1" s="1622" t="s">
        <v>2518</v>
      </c>
      <c r="D1" s="1623"/>
      <c r="E1" s="1624"/>
      <c r="F1" s="2580"/>
      <c r="G1" s="1625" t="s">
        <v>2631</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2315</v>
      </c>
      <c r="B2" s="1420" t="e">
        <f ca="1">IF(C2="——",IF(B37="元/平方米",ROUND(C39*D3/10000,0),ROUND(F3*C39/10000,0)),IF(B37="元/平方米",ROUND(C39*D3/10000,0),ROUND(F3*C39/10000,0))-D2)</f>
        <v>#DIV/0!</v>
      </c>
      <c r="C2" s="2582"/>
      <c r="D2" s="1126" t="e">
        <f ca="1">SUMIF(INDIRECT("'"&amp;F2&amp;"'"&amp;"!A:A"),"承租人权益价值",INDIRECT("'"&amp;F2&amp;"'"&amp;"!c:c"))</f>
        <v>#REF!</v>
      </c>
      <c r="E2" s="2583" t="s">
        <v>2316</v>
      </c>
      <c r="F2" s="2584"/>
      <c r="G2" s="1127"/>
      <c r="H2" s="1127"/>
      <c r="I2" s="1127"/>
      <c r="J2" s="1127"/>
      <c r="K2" s="1129"/>
      <c r="L2" s="1130"/>
      <c r="M2" s="1131"/>
      <c r="N2" s="1131"/>
      <c r="O2" s="1131"/>
      <c r="P2" s="1421"/>
      <c r="Q2" s="768"/>
      <c r="R2" s="768"/>
      <c r="S2" s="768"/>
      <c r="T2" s="768"/>
      <c r="U2" s="768"/>
      <c r="V2" s="768"/>
      <c r="W2" s="768"/>
      <c r="X2" s="768"/>
      <c r="Y2" s="768"/>
      <c r="Z2" s="768"/>
      <c r="AA2" s="768"/>
      <c r="AB2" s="768"/>
      <c r="AC2" s="769"/>
    </row>
    <row r="3" spans="1:29" s="398" customFormat="1" ht="28.5" customHeight="1" thickBot="1">
      <c r="A3" s="247" t="s">
        <v>2317</v>
      </c>
      <c r="B3" s="609" t="e">
        <f ca="1">IF(AND(C2="——",B37="元/平方米"),C39,ROUND(B2*10000/D3,0))</f>
        <v>#DIV/0!</v>
      </c>
      <c r="C3" s="400" t="s">
        <v>2632</v>
      </c>
      <c r="D3" s="399">
        <f>SUMIF('数据-汇总表'!$C19:$C33,D1,'数据-汇总表'!$E19:$E33)</f>
        <v>0</v>
      </c>
      <c r="E3" s="400" t="s">
        <v>2696</v>
      </c>
      <c r="F3" s="399">
        <f>SUMIF('数据-取费表'!A5:A15,D1,'数据-取费表'!AH5:AH15)</f>
        <v>0</v>
      </c>
      <c r="G3" s="1127"/>
      <c r="H3" s="1127"/>
      <c r="I3" s="1127"/>
      <c r="J3" s="1127"/>
      <c r="K3" s="1129"/>
      <c r="L3" s="1130"/>
      <c r="M3" s="1131"/>
      <c r="N3" s="1131"/>
      <c r="O3" s="1131"/>
      <c r="P3" s="1421"/>
      <c r="Q3" s="768"/>
      <c r="R3" s="768"/>
      <c r="S3" s="768"/>
      <c r="T3" s="768"/>
      <c r="U3" s="768"/>
      <c r="V3" s="768"/>
      <c r="W3" s="768"/>
      <c r="X3" s="768"/>
      <c r="Y3" s="768"/>
      <c r="Z3" s="768"/>
      <c r="AA3" s="768"/>
      <c r="AB3" s="786"/>
      <c r="AC3" s="782"/>
    </row>
    <row r="4" spans="1:29" ht="15">
      <c r="A4" s="401" t="s">
        <v>2633</v>
      </c>
      <c r="B4" s="402"/>
      <c r="C4" s="3212" t="s">
        <v>2634</v>
      </c>
      <c r="D4" s="3213"/>
      <c r="E4" s="3214" t="s">
        <v>2635</v>
      </c>
      <c r="F4" s="3215"/>
      <c r="G4" s="3212" t="s">
        <v>2636</v>
      </c>
      <c r="H4" s="3213"/>
      <c r="I4" s="3212" t="s">
        <v>2637</v>
      </c>
      <c r="J4" s="3213"/>
      <c r="K4" s="610" t="s">
        <v>2638</v>
      </c>
      <c r="L4" s="1132"/>
      <c r="M4" s="1133"/>
      <c r="N4" s="1133"/>
      <c r="O4" s="1133"/>
      <c r="P4" s="3216" t="s">
        <v>2639</v>
      </c>
      <c r="Q4" s="3217"/>
      <c r="R4" s="3199" t="s">
        <v>2635</v>
      </c>
      <c r="S4" s="3200"/>
      <c r="T4" s="3199" t="s">
        <v>2636</v>
      </c>
      <c r="U4" s="3200"/>
      <c r="V4" s="3224" t="s">
        <v>2637</v>
      </c>
      <c r="W4" s="3224"/>
      <c r="X4" s="1815"/>
      <c r="Y4" s="3199" t="s">
        <v>2639</v>
      </c>
      <c r="Z4" s="3200"/>
      <c r="AA4" s="3194" t="s">
        <v>2635</v>
      </c>
      <c r="AB4" s="3195" t="s">
        <v>2636</v>
      </c>
      <c r="AC4" s="3194" t="s">
        <v>2637</v>
      </c>
    </row>
    <row r="5" spans="1:29" ht="15">
      <c r="A5" s="404"/>
      <c r="B5" s="405"/>
      <c r="C5" s="3205" t="s">
        <v>2530</v>
      </c>
      <c r="D5" s="3206"/>
      <c r="E5" s="3203" t="s">
        <v>2531</v>
      </c>
      <c r="F5" s="3204"/>
      <c r="G5" s="3205" t="s">
        <v>2532</v>
      </c>
      <c r="H5" s="3206"/>
      <c r="I5" s="3205" t="s">
        <v>2533</v>
      </c>
      <c r="J5" s="3206"/>
      <c r="K5" s="610"/>
      <c r="L5" s="1132"/>
      <c r="M5" s="1133"/>
      <c r="N5" s="1133"/>
      <c r="O5" s="1133"/>
      <c r="P5" s="3218"/>
      <c r="Q5" s="3219"/>
      <c r="R5" s="3201"/>
      <c r="S5" s="3202"/>
      <c r="T5" s="3201"/>
      <c r="U5" s="3202"/>
      <c r="V5" s="3224"/>
      <c r="W5" s="3224"/>
      <c r="X5" s="1815"/>
      <c r="Y5" s="3201"/>
      <c r="Z5" s="3202"/>
      <c r="AA5" s="3195"/>
      <c r="AB5" s="3195"/>
      <c r="AC5" s="3195"/>
    </row>
    <row r="6" spans="1:29" ht="15.75" thickBot="1">
      <c r="A6" s="406"/>
      <c r="B6" s="407"/>
      <c r="C6" s="3207" t="s">
        <v>2534</v>
      </c>
      <c r="D6" s="3208"/>
      <c r="E6" s="3209" t="s">
        <v>2534</v>
      </c>
      <c r="F6" s="3210"/>
      <c r="G6" s="3207" t="s">
        <v>2534</v>
      </c>
      <c r="H6" s="3208"/>
      <c r="I6" s="3207" t="s">
        <v>2534</v>
      </c>
      <c r="J6" s="3208"/>
      <c r="K6" s="610" t="s">
        <v>2535</v>
      </c>
      <c r="L6" s="1132"/>
      <c r="M6" s="1133"/>
      <c r="N6" s="1133"/>
      <c r="O6" s="1133"/>
      <c r="P6" s="3220"/>
      <c r="Q6" s="3221"/>
      <c r="R6" s="3201"/>
      <c r="S6" s="3202"/>
      <c r="T6" s="3222"/>
      <c r="U6" s="3223"/>
      <c r="V6" s="3224"/>
      <c r="W6" s="3224"/>
      <c r="X6" s="1815"/>
      <c r="Y6" s="3222"/>
      <c r="Z6" s="3223"/>
      <c r="AA6" s="3196"/>
      <c r="AB6" s="3196"/>
      <c r="AC6" s="3196"/>
    </row>
    <row r="7" spans="1:29" s="117" customFormat="1" ht="15.75" thickBot="1">
      <c r="A7" s="408" t="s">
        <v>2536</v>
      </c>
      <c r="B7" s="409"/>
      <c r="C7" s="410">
        <f>'数据-取费表'!B2</f>
        <v>43165</v>
      </c>
      <c r="D7" s="411">
        <v>100</v>
      </c>
      <c r="E7" s="412"/>
      <c r="F7" s="413">
        <f>SUMIF(48:48,YEAR(E7)&amp;"-"&amp;MONTH(E7),49:49)</f>
        <v>0</v>
      </c>
      <c r="G7" s="412"/>
      <c r="H7" s="411">
        <f>SUMIF(48:48,YEAR(G7)&amp;"-"&amp;MONTH(G7),49:49)</f>
        <v>0</v>
      </c>
      <c r="I7" s="412"/>
      <c r="J7" s="411">
        <f>SUMIF(48:48,YEAR(I7)&amp;"-"&amp;MONTH(I7),49:49)</f>
        <v>0</v>
      </c>
      <c r="K7" s="611"/>
      <c r="L7" s="1134"/>
      <c r="M7" s="1135"/>
      <c r="N7" s="1135"/>
      <c r="O7" s="1135"/>
      <c r="P7" s="3197" t="s">
        <v>2537</v>
      </c>
      <c r="Q7" s="3225"/>
      <c r="R7" s="770" t="s">
        <v>17</v>
      </c>
      <c r="S7" s="771">
        <f t="shared" ref="S7:S14" si="0">F7</f>
        <v>0</v>
      </c>
      <c r="T7" s="770" t="s">
        <v>17</v>
      </c>
      <c r="U7" s="771">
        <f t="shared" ref="U7:U14" si="1">H7</f>
        <v>0</v>
      </c>
      <c r="V7" s="770" t="s">
        <v>17</v>
      </c>
      <c r="W7" s="771">
        <f t="shared" ref="W7:W14" si="2">J7</f>
        <v>0</v>
      </c>
      <c r="X7" s="772"/>
      <c r="Y7" s="3197" t="s">
        <v>2537</v>
      </c>
      <c r="Z7" s="3198"/>
      <c r="AA7" s="773" t="e">
        <f>D7/F7</f>
        <v>#DIV/0!</v>
      </c>
      <c r="AB7" s="773" t="e">
        <f>D7/H7</f>
        <v>#DIV/0!</v>
      </c>
      <c r="AC7" s="773"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4"/>
      <c r="M8" s="1135"/>
      <c r="N8" s="1135"/>
      <c r="O8" s="1135"/>
      <c r="P8" s="3197" t="s">
        <v>2540</v>
      </c>
      <c r="Q8" s="3198"/>
      <c r="R8" s="770" t="s">
        <v>17</v>
      </c>
      <c r="S8" s="771">
        <f t="shared" si="0"/>
        <v>0</v>
      </c>
      <c r="T8" s="770" t="s">
        <v>17</v>
      </c>
      <c r="U8" s="771">
        <f t="shared" si="1"/>
        <v>0</v>
      </c>
      <c r="V8" s="770" t="s">
        <v>17</v>
      </c>
      <c r="W8" s="771">
        <f t="shared" si="2"/>
        <v>0</v>
      </c>
      <c r="X8" s="772"/>
      <c r="Y8" s="3197" t="s">
        <v>2540</v>
      </c>
      <c r="Z8" s="3198"/>
      <c r="AA8" s="773" t="e">
        <f t="shared" ref="AA8:AA36" si="3">D8/F8</f>
        <v>#DIV/0!</v>
      </c>
      <c r="AB8" s="773" t="e">
        <f t="shared" ref="AB8:AB36" si="4">D8/H8</f>
        <v>#DIV/0!</v>
      </c>
      <c r="AC8" s="773"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4"/>
      <c r="M9" s="1135"/>
      <c r="N9" s="1135"/>
      <c r="O9" s="1135"/>
      <c r="P9" s="3229" t="s">
        <v>2543</v>
      </c>
      <c r="Q9" s="1797" t="str">
        <f t="shared" ref="Q9:Q14" si="6">B9</f>
        <v>用途</v>
      </c>
      <c r="R9" s="770" t="s">
        <v>17</v>
      </c>
      <c r="S9" s="771">
        <f t="shared" si="0"/>
        <v>100</v>
      </c>
      <c r="T9" s="770" t="s">
        <v>17</v>
      </c>
      <c r="U9" s="771">
        <f t="shared" si="1"/>
        <v>100</v>
      </c>
      <c r="V9" s="770" t="s">
        <v>17</v>
      </c>
      <c r="W9" s="771">
        <f t="shared" si="2"/>
        <v>100</v>
      </c>
      <c r="X9" s="772"/>
      <c r="Y9" s="3024" t="s">
        <v>2544</v>
      </c>
      <c r="Z9" s="55" t="str">
        <f t="shared" ref="Z9:Z14" si="7">Q9</f>
        <v>用途</v>
      </c>
      <c r="AA9" s="773">
        <f t="shared" si="3"/>
        <v>1</v>
      </c>
      <c r="AB9" s="773">
        <f t="shared" si="4"/>
        <v>1</v>
      </c>
      <c r="AC9" s="773">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7"/>
      <c r="M10" s="1138"/>
      <c r="N10" s="1138"/>
      <c r="O10" s="1138"/>
      <c r="P10" s="3229"/>
      <c r="Q10" s="1797" t="str">
        <f t="shared" si="6"/>
        <v>土地使用年限（年）</v>
      </c>
      <c r="R10" s="770" t="s">
        <v>17</v>
      </c>
      <c r="S10" s="771">
        <f t="shared" si="0"/>
        <v>100</v>
      </c>
      <c r="T10" s="770" t="s">
        <v>17</v>
      </c>
      <c r="U10" s="771">
        <f t="shared" si="1"/>
        <v>100</v>
      </c>
      <c r="V10" s="770" t="s">
        <v>17</v>
      </c>
      <c r="W10" s="771">
        <f t="shared" si="2"/>
        <v>100</v>
      </c>
      <c r="X10" s="772"/>
      <c r="Y10" s="3024"/>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0"/>
      <c r="M11" s="1133"/>
      <c r="N11" s="1133"/>
      <c r="O11" s="1133"/>
      <c r="P11" s="3229"/>
      <c r="Q11" s="1797">
        <f t="shared" si="6"/>
        <v>111</v>
      </c>
      <c r="R11" s="770" t="s">
        <v>17</v>
      </c>
      <c r="S11" s="771">
        <f t="shared" si="0"/>
        <v>100</v>
      </c>
      <c r="T11" s="770" t="s">
        <v>17</v>
      </c>
      <c r="U11" s="771">
        <f t="shared" si="1"/>
        <v>100</v>
      </c>
      <c r="V11" s="770" t="s">
        <v>17</v>
      </c>
      <c r="W11" s="771">
        <f t="shared" si="2"/>
        <v>100</v>
      </c>
      <c r="X11" s="772"/>
      <c r="Y11" s="3024"/>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4"/>
      <c r="M12" s="1135"/>
      <c r="N12" s="1135"/>
      <c r="O12" s="1135"/>
      <c r="P12" s="3229"/>
      <c r="Q12" s="1797">
        <f t="shared" si="6"/>
        <v>111</v>
      </c>
      <c r="R12" s="770" t="s">
        <v>17</v>
      </c>
      <c r="S12" s="771">
        <f t="shared" si="0"/>
        <v>100</v>
      </c>
      <c r="T12" s="770" t="s">
        <v>17</v>
      </c>
      <c r="U12" s="771">
        <f t="shared" si="1"/>
        <v>100</v>
      </c>
      <c r="V12" s="770" t="s">
        <v>17</v>
      </c>
      <c r="W12" s="771">
        <f t="shared" si="2"/>
        <v>100</v>
      </c>
      <c r="X12" s="772"/>
      <c r="Y12" s="3024"/>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2"/>
      <c r="M13" s="1133"/>
      <c r="N13" s="1133"/>
      <c r="O13" s="1133"/>
      <c r="P13" s="3229"/>
      <c r="Q13" s="1797">
        <f t="shared" si="6"/>
        <v>111</v>
      </c>
      <c r="R13" s="770" t="s">
        <v>17</v>
      </c>
      <c r="S13" s="771">
        <f t="shared" si="0"/>
        <v>100</v>
      </c>
      <c r="T13" s="770" t="s">
        <v>17</v>
      </c>
      <c r="U13" s="771">
        <f t="shared" si="1"/>
        <v>100</v>
      </c>
      <c r="V13" s="770" t="s">
        <v>17</v>
      </c>
      <c r="W13" s="771">
        <f t="shared" si="2"/>
        <v>100</v>
      </c>
      <c r="X13" s="772"/>
      <c r="Y13" s="3024"/>
      <c r="Z13" s="55">
        <f t="shared" si="7"/>
        <v>111</v>
      </c>
      <c r="AA13" s="773">
        <f t="shared" si="3"/>
        <v>1</v>
      </c>
      <c r="AB13" s="773">
        <f t="shared" si="4"/>
        <v>1</v>
      </c>
      <c r="AC13" s="773">
        <f t="shared" si="5"/>
        <v>1</v>
      </c>
    </row>
    <row r="14" spans="1:29" ht="15">
      <c r="A14" s="401" t="s">
        <v>2547</v>
      </c>
      <c r="B14" s="629" t="s">
        <v>2697</v>
      </c>
      <c r="C14" s="2689">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2"/>
      <c r="M14" s="1133"/>
      <c r="N14" s="1133"/>
      <c r="O14" s="1133"/>
      <c r="P14" s="3231" t="s">
        <v>2548</v>
      </c>
      <c r="Q14" s="1812" t="str">
        <f t="shared" si="6"/>
        <v>交通便捷度</v>
      </c>
      <c r="R14" s="774" t="s">
        <v>17</v>
      </c>
      <c r="S14" s="775">
        <f t="shared" si="0"/>
        <v>100</v>
      </c>
      <c r="T14" s="774" t="s">
        <v>17</v>
      </c>
      <c r="U14" s="775">
        <f t="shared" si="1"/>
        <v>100</v>
      </c>
      <c r="V14" s="774" t="s">
        <v>17</v>
      </c>
      <c r="W14" s="775">
        <f t="shared" si="2"/>
        <v>100</v>
      </c>
      <c r="X14" s="1815"/>
      <c r="Y14" s="3231" t="s">
        <v>2548</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2"/>
      <c r="M15" s="1133"/>
      <c r="N15" s="1133"/>
      <c r="O15" s="1133"/>
      <c r="P15" s="3232"/>
      <c r="Q15" s="1812"/>
      <c r="R15" s="774"/>
      <c r="S15" s="775"/>
      <c r="T15" s="774"/>
      <c r="U15" s="775"/>
      <c r="V15" s="774"/>
      <c r="W15" s="775"/>
      <c r="X15" s="1815"/>
      <c r="Y15" s="3232"/>
      <c r="Z15" s="1816"/>
      <c r="AA15" s="1813">
        <v>1</v>
      </c>
      <c r="AB15" s="1813">
        <v>1</v>
      </c>
      <c r="AC15" s="1813">
        <v>1</v>
      </c>
    </row>
    <row r="16" spans="1:29" ht="15">
      <c r="A16" s="404"/>
      <c r="B16" s="631" t="s">
        <v>2676</v>
      </c>
      <c r="C16" s="2603">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2"/>
      <c r="M16" s="1133"/>
      <c r="N16" s="1133"/>
      <c r="O16" s="1133"/>
      <c r="P16" s="3232"/>
      <c r="Q16" s="1812" t="str">
        <f>B16</f>
        <v>公共配套设施</v>
      </c>
      <c r="R16" s="774" t="s">
        <v>17</v>
      </c>
      <c r="S16" s="775">
        <f>F16</f>
        <v>100</v>
      </c>
      <c r="T16" s="774" t="s">
        <v>17</v>
      </c>
      <c r="U16" s="775">
        <f>H16</f>
        <v>100</v>
      </c>
      <c r="V16" s="774" t="s">
        <v>17</v>
      </c>
      <c r="W16" s="775">
        <f>J16</f>
        <v>100</v>
      </c>
      <c r="X16" s="1815"/>
      <c r="Y16" s="3232"/>
      <c r="Z16" s="1816" t="str">
        <f>Q16</f>
        <v>公共配套设施</v>
      </c>
      <c r="AA16" s="1813">
        <f t="shared" si="3"/>
        <v>1</v>
      </c>
      <c r="AB16" s="1813">
        <f t="shared" si="4"/>
        <v>1</v>
      </c>
      <c r="AC16" s="1813">
        <f t="shared" si="5"/>
        <v>1</v>
      </c>
    </row>
    <row r="17" spans="1:29" ht="15">
      <c r="A17" s="404"/>
      <c r="B17" s="632"/>
      <c r="C17" s="2604"/>
      <c r="D17" s="448"/>
      <c r="E17" s="447"/>
      <c r="F17" s="449"/>
      <c r="G17" s="447"/>
      <c r="H17" s="448"/>
      <c r="I17" s="447"/>
      <c r="J17" s="448"/>
      <c r="K17" s="615"/>
      <c r="L17" s="1142"/>
      <c r="M17" s="1133"/>
      <c r="N17" s="1133"/>
      <c r="O17" s="1133"/>
      <c r="P17" s="3232"/>
      <c r="Q17" s="1812"/>
      <c r="R17" s="774"/>
      <c r="S17" s="775"/>
      <c r="T17" s="774"/>
      <c r="U17" s="775"/>
      <c r="V17" s="774"/>
      <c r="W17" s="775"/>
      <c r="X17" s="1815"/>
      <c r="Y17" s="3232"/>
      <c r="Z17" s="1816"/>
      <c r="AA17" s="1813">
        <v>1</v>
      </c>
      <c r="AB17" s="1813">
        <v>1</v>
      </c>
      <c r="AC17" s="1813">
        <v>1</v>
      </c>
    </row>
    <row r="18" spans="1:29" ht="15">
      <c r="A18" s="404"/>
      <c r="B18" s="633" t="s">
        <v>2677</v>
      </c>
      <c r="C18" s="2603">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2"/>
      <c r="M18" s="1133"/>
      <c r="N18" s="1133"/>
      <c r="O18" s="1133"/>
      <c r="P18" s="3232"/>
      <c r="Q18" s="1812" t="str">
        <f>B18</f>
        <v>基础设施水平</v>
      </c>
      <c r="R18" s="774" t="s">
        <v>17</v>
      </c>
      <c r="S18" s="775">
        <f>F18</f>
        <v>100</v>
      </c>
      <c r="T18" s="774" t="s">
        <v>17</v>
      </c>
      <c r="U18" s="775">
        <f>H18</f>
        <v>100</v>
      </c>
      <c r="V18" s="774" t="s">
        <v>17</v>
      </c>
      <c r="W18" s="775">
        <f>J18</f>
        <v>100</v>
      </c>
      <c r="X18" s="1815"/>
      <c r="Y18" s="3232"/>
      <c r="Z18" s="1816" t="str">
        <f>Q18</f>
        <v>基础设施水平</v>
      </c>
      <c r="AA18" s="1813">
        <f t="shared" ref="AA18" si="8">D18/F18</f>
        <v>1</v>
      </c>
      <c r="AB18" s="1813">
        <f t="shared" ref="AB18" si="9">D18/H18</f>
        <v>1</v>
      </c>
      <c r="AC18" s="1813">
        <f t="shared" ref="AC18" si="10">D18/J18</f>
        <v>1</v>
      </c>
    </row>
    <row r="19" spans="1:29" ht="15">
      <c r="A19" s="404"/>
      <c r="B19" s="633"/>
      <c r="C19" s="2604"/>
      <c r="D19" s="450"/>
      <c r="E19" s="2604"/>
      <c r="F19" s="453"/>
      <c r="G19" s="2604"/>
      <c r="H19" s="448"/>
      <c r="I19" s="447"/>
      <c r="J19" s="448"/>
      <c r="K19" s="1385"/>
      <c r="L19" s="1142"/>
      <c r="M19" s="1133"/>
      <c r="N19" s="1133"/>
      <c r="O19" s="1133"/>
      <c r="P19" s="3232"/>
      <c r="Q19" s="1812"/>
      <c r="R19" s="774"/>
      <c r="S19" s="775"/>
      <c r="T19" s="774"/>
      <c r="U19" s="775"/>
      <c r="V19" s="774"/>
      <c r="W19" s="775"/>
      <c r="X19" s="1815"/>
      <c r="Y19" s="3232"/>
      <c r="Z19" s="1816"/>
      <c r="AA19" s="1813">
        <v>1</v>
      </c>
      <c r="AB19" s="1813">
        <v>1</v>
      </c>
      <c r="AC19" s="1813">
        <v>1</v>
      </c>
    </row>
    <row r="20" spans="1:29" ht="15">
      <c r="A20" s="404"/>
      <c r="B20" s="631" t="s">
        <v>2698</v>
      </c>
      <c r="C20" s="2603">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2"/>
      <c r="M20" s="1133"/>
      <c r="N20" s="1133"/>
      <c r="O20" s="1133"/>
      <c r="P20" s="3232"/>
      <c r="Q20" s="1812" t="str">
        <f>B20</f>
        <v>自然及人文环境</v>
      </c>
      <c r="R20" s="774" t="s">
        <v>17</v>
      </c>
      <c r="S20" s="775">
        <f>F20</f>
        <v>100</v>
      </c>
      <c r="T20" s="774" t="s">
        <v>17</v>
      </c>
      <c r="U20" s="775">
        <f>H20</f>
        <v>100</v>
      </c>
      <c r="V20" s="774" t="s">
        <v>17</v>
      </c>
      <c r="W20" s="775">
        <f>J20</f>
        <v>100</v>
      </c>
      <c r="X20" s="1815"/>
      <c r="Y20" s="3232"/>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2"/>
      <c r="M21" s="1133"/>
      <c r="N21" s="1133"/>
      <c r="O21" s="1133"/>
      <c r="P21" s="3232"/>
      <c r="Q21" s="1812"/>
      <c r="R21" s="774"/>
      <c r="S21" s="775"/>
      <c r="T21" s="774"/>
      <c r="U21" s="775"/>
      <c r="V21" s="774"/>
      <c r="W21" s="775"/>
      <c r="X21" s="1815"/>
      <c r="Y21" s="3232"/>
      <c r="Z21" s="1816"/>
      <c r="AA21" s="1813">
        <v>1</v>
      </c>
      <c r="AB21" s="1813">
        <v>1</v>
      </c>
      <c r="AC21" s="1813">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42"/>
      <c r="M22" s="1133"/>
      <c r="N22" s="1133"/>
      <c r="O22" s="1133"/>
      <c r="P22" s="3232"/>
      <c r="Q22" s="1812" t="str">
        <f>B22</f>
        <v>楼层</v>
      </c>
      <c r="R22" s="774" t="s">
        <v>17</v>
      </c>
      <c r="S22" s="775">
        <f>F22</f>
        <v>100</v>
      </c>
      <c r="T22" s="774" t="s">
        <v>17</v>
      </c>
      <c r="U22" s="775">
        <f>H22</f>
        <v>100</v>
      </c>
      <c r="V22" s="774" t="s">
        <v>17</v>
      </c>
      <c r="W22" s="775">
        <f>J22</f>
        <v>100</v>
      </c>
      <c r="X22" s="1815"/>
      <c r="Y22" s="3232"/>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2"/>
      <c r="M23" s="1133"/>
      <c r="N23" s="1133"/>
      <c r="O23" s="1133"/>
      <c r="P23" s="3232"/>
      <c r="Q23" s="1812">
        <f>B23</f>
        <v>111</v>
      </c>
      <c r="R23" s="774" t="s">
        <v>17</v>
      </c>
      <c r="S23" s="775">
        <f>F23</f>
        <v>100</v>
      </c>
      <c r="T23" s="774" t="s">
        <v>17</v>
      </c>
      <c r="U23" s="775">
        <f>H23</f>
        <v>100</v>
      </c>
      <c r="V23" s="774" t="s">
        <v>17</v>
      </c>
      <c r="W23" s="775">
        <f>J23</f>
        <v>100</v>
      </c>
      <c r="X23" s="1815"/>
      <c r="Y23" s="3232"/>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2"/>
      <c r="M24" s="1133"/>
      <c r="N24" s="1133"/>
      <c r="O24" s="1133"/>
      <c r="P24" s="3232"/>
      <c r="Q24" s="1812">
        <f t="shared" ref="Q24:Q36" si="11">B24</f>
        <v>111</v>
      </c>
      <c r="R24" s="774" t="s">
        <v>17</v>
      </c>
      <c r="S24" s="775">
        <f>F24</f>
        <v>100</v>
      </c>
      <c r="T24" s="774" t="s">
        <v>17</v>
      </c>
      <c r="U24" s="775">
        <f>H24</f>
        <v>100</v>
      </c>
      <c r="V24" s="774" t="s">
        <v>17</v>
      </c>
      <c r="W24" s="775">
        <f>J24</f>
        <v>100</v>
      </c>
      <c r="X24" s="1815"/>
      <c r="Y24" s="3232"/>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4"/>
      <c r="M25" s="1135"/>
      <c r="N25" s="1135"/>
      <c r="O25" s="1135"/>
      <c r="P25" s="3232"/>
      <c r="Q25" s="1797">
        <f t="shared" si="11"/>
        <v>111</v>
      </c>
      <c r="R25" s="770" t="s">
        <v>17</v>
      </c>
      <c r="S25" s="771">
        <f>F25</f>
        <v>100</v>
      </c>
      <c r="T25" s="770" t="s">
        <v>17</v>
      </c>
      <c r="U25" s="771">
        <f>H25</f>
        <v>100</v>
      </c>
      <c r="V25" s="770" t="s">
        <v>17</v>
      </c>
      <c r="W25" s="771">
        <f>J25</f>
        <v>100</v>
      </c>
      <c r="X25" s="772"/>
      <c r="Y25" s="3232"/>
      <c r="Z25" s="55">
        <f>Q25</f>
        <v>111</v>
      </c>
      <c r="AA25" s="1813">
        <f>D25/F25</f>
        <v>1</v>
      </c>
      <c r="AB25" s="1813">
        <f>D25/H25</f>
        <v>1</v>
      </c>
      <c r="AC25" s="1813">
        <f>D25/J25</f>
        <v>1</v>
      </c>
    </row>
    <row r="26" spans="1:29" ht="15">
      <c r="A26" s="652" t="s">
        <v>2551</v>
      </c>
      <c r="B26" s="70" t="s">
        <v>2700</v>
      </c>
      <c r="C26" s="2690">
        <f>B1</f>
        <v>0</v>
      </c>
      <c r="D26" s="448">
        <v>100</v>
      </c>
      <c r="E26" s="447"/>
      <c r="F26" s="449">
        <f>SUMIF(79:79,E26,80:80)-SUMIF(79:79,C26,80:80)+100</f>
        <v>100</v>
      </c>
      <c r="G26" s="447"/>
      <c r="H26" s="448">
        <f>SUMIF(79:79,G26,80:80)-SUMIF(79:79,C26,80:80)+100</f>
        <v>100</v>
      </c>
      <c r="I26" s="447"/>
      <c r="J26" s="448">
        <f>SUMIF(79:79,I26,80:80)-SUMIF(79:79,C26,80:80)+100</f>
        <v>100</v>
      </c>
      <c r="K26" s="612"/>
      <c r="L26" s="1142"/>
      <c r="M26" s="1133"/>
      <c r="N26" s="1133"/>
      <c r="O26" s="1133"/>
      <c r="P26" s="3255" t="s">
        <v>2553</v>
      </c>
      <c r="Q26" s="1812" t="str">
        <f t="shared" si="11"/>
        <v>配套类型</v>
      </c>
      <c r="R26" s="774" t="s">
        <v>17</v>
      </c>
      <c r="S26" s="775">
        <f t="shared" ref="S26:S36" si="12">F26</f>
        <v>100</v>
      </c>
      <c r="T26" s="774" t="s">
        <v>17</v>
      </c>
      <c r="U26" s="775">
        <f t="shared" ref="U26:U36" si="13">H26</f>
        <v>100</v>
      </c>
      <c r="V26" s="774" t="s">
        <v>17</v>
      </c>
      <c r="W26" s="775">
        <f t="shared" ref="W26:W36" si="14">J26</f>
        <v>100</v>
      </c>
      <c r="X26" s="1815"/>
      <c r="Y26" s="3236" t="s">
        <v>2553</v>
      </c>
      <c r="Z26" s="1816" t="str">
        <f t="shared" ref="Z26:Z36" si="15">Q26</f>
        <v>配套类型</v>
      </c>
      <c r="AA26" s="1813">
        <f t="shared" si="3"/>
        <v>1</v>
      </c>
      <c r="AB26" s="1813">
        <f t="shared" si="4"/>
        <v>1</v>
      </c>
      <c r="AC26" s="1813">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40"/>
      <c r="M27" s="1143"/>
      <c r="N27" s="1143"/>
      <c r="O27" s="1143"/>
      <c r="P27" s="3236"/>
      <c r="Q27" s="776" t="str">
        <f t="shared" si="11"/>
        <v>项目停车位配比</v>
      </c>
      <c r="R27" s="777" t="s">
        <v>17</v>
      </c>
      <c r="S27" s="778">
        <f t="shared" si="12"/>
        <v>100</v>
      </c>
      <c r="T27" s="777" t="s">
        <v>17</v>
      </c>
      <c r="U27" s="778">
        <f t="shared" si="13"/>
        <v>100</v>
      </c>
      <c r="V27" s="777" t="s">
        <v>17</v>
      </c>
      <c r="W27" s="778">
        <f t="shared" si="14"/>
        <v>100</v>
      </c>
      <c r="X27" s="779"/>
      <c r="Y27" s="3236"/>
      <c r="Z27" s="780" t="str">
        <f t="shared" si="15"/>
        <v>项目停车位配比</v>
      </c>
      <c r="AA27" s="1813">
        <f t="shared" si="3"/>
        <v>1</v>
      </c>
      <c r="AB27" s="1813">
        <f t="shared" si="4"/>
        <v>1</v>
      </c>
      <c r="AC27" s="1813">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42"/>
      <c r="M28" s="1133"/>
      <c r="N28" s="1133"/>
      <c r="O28" s="1133"/>
      <c r="P28" s="3236"/>
      <c r="Q28" s="1812" t="str">
        <f t="shared" si="11"/>
        <v>公共部分装修</v>
      </c>
      <c r="R28" s="774" t="s">
        <v>17</v>
      </c>
      <c r="S28" s="775">
        <f t="shared" si="12"/>
        <v>100</v>
      </c>
      <c r="T28" s="774" t="s">
        <v>17</v>
      </c>
      <c r="U28" s="775">
        <f t="shared" si="13"/>
        <v>100</v>
      </c>
      <c r="V28" s="774" t="s">
        <v>17</v>
      </c>
      <c r="W28" s="775">
        <f t="shared" si="14"/>
        <v>100</v>
      </c>
      <c r="X28" s="1815"/>
      <c r="Y28" s="3236"/>
      <c r="Z28" s="1816" t="str">
        <f t="shared" si="15"/>
        <v>公共部分装修</v>
      </c>
      <c r="AA28" s="1813">
        <f t="shared" si="3"/>
        <v>1</v>
      </c>
      <c r="AB28" s="1813">
        <f t="shared" si="4"/>
        <v>1</v>
      </c>
      <c r="AC28" s="1813">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2"/>
      <c r="M29" s="1133"/>
      <c r="N29" s="1133"/>
      <c r="O29" s="1133"/>
      <c r="P29" s="3236"/>
      <c r="Q29" s="1812" t="str">
        <f t="shared" si="11"/>
        <v>成新率</v>
      </c>
      <c r="R29" s="774" t="s">
        <v>17</v>
      </c>
      <c r="S29" s="775" t="e">
        <f t="shared" si="12"/>
        <v>#N/A</v>
      </c>
      <c r="T29" s="774" t="s">
        <v>17</v>
      </c>
      <c r="U29" s="775" t="e">
        <f t="shared" si="13"/>
        <v>#N/A</v>
      </c>
      <c r="V29" s="774" t="s">
        <v>17</v>
      </c>
      <c r="W29" s="775" t="e">
        <f t="shared" si="14"/>
        <v>#N/A</v>
      </c>
      <c r="X29" s="1815"/>
      <c r="Y29" s="3236"/>
      <c r="Z29" s="1816" t="str">
        <f t="shared" si="15"/>
        <v>成新率</v>
      </c>
      <c r="AA29" s="1813" t="e">
        <f t="shared" si="3"/>
        <v>#N/A</v>
      </c>
      <c r="AB29" s="1813" t="e">
        <f t="shared" si="4"/>
        <v>#N/A</v>
      </c>
      <c r="AC29" s="1813"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42"/>
      <c r="M30" s="1133"/>
      <c r="N30" s="1133"/>
      <c r="O30" s="1133"/>
      <c r="P30" s="3236"/>
      <c r="Q30" s="1812" t="str">
        <f t="shared" si="11"/>
        <v>物业等级</v>
      </c>
      <c r="R30" s="774" t="s">
        <v>17</v>
      </c>
      <c r="S30" s="775">
        <f t="shared" si="12"/>
        <v>100</v>
      </c>
      <c r="T30" s="774" t="s">
        <v>17</v>
      </c>
      <c r="U30" s="775">
        <f t="shared" si="13"/>
        <v>100</v>
      </c>
      <c r="V30" s="774" t="s">
        <v>17</v>
      </c>
      <c r="W30" s="775">
        <f t="shared" si="14"/>
        <v>100</v>
      </c>
      <c r="X30" s="1815"/>
      <c r="Y30" s="3236"/>
      <c r="Z30" s="1816" t="str">
        <f t="shared" si="15"/>
        <v>物业等级</v>
      </c>
      <c r="AA30" s="1813">
        <f t="shared" si="3"/>
        <v>1</v>
      </c>
      <c r="AB30" s="1813">
        <f t="shared" si="4"/>
        <v>1</v>
      </c>
      <c r="AC30" s="1813">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4"/>
      <c r="M31" s="1135"/>
      <c r="N31" s="1135"/>
      <c r="O31" s="1135"/>
      <c r="P31" s="3236"/>
      <c r="Q31" s="1797" t="str">
        <f t="shared" si="11"/>
        <v>停车位面积</v>
      </c>
      <c r="R31" s="770" t="s">
        <v>17</v>
      </c>
      <c r="S31" s="771" t="e">
        <f t="shared" si="12"/>
        <v>#N/A</v>
      </c>
      <c r="T31" s="770" t="s">
        <v>17</v>
      </c>
      <c r="U31" s="771" t="e">
        <f t="shared" si="13"/>
        <v>#N/A</v>
      </c>
      <c r="V31" s="770" t="s">
        <v>17</v>
      </c>
      <c r="W31" s="771" t="e">
        <f t="shared" si="14"/>
        <v>#N/A</v>
      </c>
      <c r="X31" s="772"/>
      <c r="Y31" s="3236"/>
      <c r="Z31" s="55" t="str">
        <f t="shared" si="15"/>
        <v>停车位面积</v>
      </c>
      <c r="AA31" s="773" t="e">
        <f t="shared" si="3"/>
        <v>#N/A</v>
      </c>
      <c r="AB31" s="773" t="e">
        <f t="shared" si="4"/>
        <v>#N/A</v>
      </c>
      <c r="AC31" s="773"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42"/>
      <c r="M32" s="1133"/>
      <c r="N32" s="1133"/>
      <c r="O32" s="1133"/>
      <c r="P32" s="3236" t="s">
        <v>2553</v>
      </c>
      <c r="Q32" s="1812" t="str">
        <f t="shared" si="11"/>
        <v>车位类型</v>
      </c>
      <c r="R32" s="774" t="s">
        <v>17</v>
      </c>
      <c r="S32" s="775">
        <f t="shared" si="12"/>
        <v>100</v>
      </c>
      <c r="T32" s="774" t="s">
        <v>17</v>
      </c>
      <c r="U32" s="775">
        <f t="shared" si="13"/>
        <v>100</v>
      </c>
      <c r="V32" s="774" t="s">
        <v>17</v>
      </c>
      <c r="W32" s="775">
        <f t="shared" si="14"/>
        <v>100</v>
      </c>
      <c r="X32" s="1815"/>
      <c r="Y32" s="3236" t="s">
        <v>2553</v>
      </c>
      <c r="Z32" s="1816" t="str">
        <f t="shared" si="15"/>
        <v>车位类型</v>
      </c>
      <c r="AA32" s="1813">
        <f t="shared" si="3"/>
        <v>1</v>
      </c>
      <c r="AB32" s="1813">
        <f t="shared" si="4"/>
        <v>1</v>
      </c>
      <c r="AC32" s="1813">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42"/>
      <c r="M33" s="1133"/>
      <c r="N33" s="1133"/>
      <c r="O33" s="1133"/>
      <c r="P33" s="3236"/>
      <c r="Q33" s="1812" t="str">
        <f t="shared" si="11"/>
        <v>是否直接入户</v>
      </c>
      <c r="R33" s="774" t="s">
        <v>17</v>
      </c>
      <c r="S33" s="775">
        <f t="shared" si="12"/>
        <v>100</v>
      </c>
      <c r="T33" s="774" t="s">
        <v>17</v>
      </c>
      <c r="U33" s="775">
        <f t="shared" si="13"/>
        <v>100</v>
      </c>
      <c r="V33" s="774" t="s">
        <v>17</v>
      </c>
      <c r="W33" s="775">
        <f t="shared" si="14"/>
        <v>100</v>
      </c>
      <c r="X33" s="1815"/>
      <c r="Y33" s="3236"/>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2"/>
      <c r="M34" s="1133"/>
      <c r="N34" s="1133"/>
      <c r="O34" s="1133"/>
      <c r="P34" s="3236"/>
      <c r="Q34" s="1812">
        <f t="shared" si="11"/>
        <v>111</v>
      </c>
      <c r="R34" s="774" t="s">
        <v>17</v>
      </c>
      <c r="S34" s="775">
        <f t="shared" si="12"/>
        <v>100</v>
      </c>
      <c r="T34" s="774" t="s">
        <v>17</v>
      </c>
      <c r="U34" s="775">
        <f t="shared" si="13"/>
        <v>100</v>
      </c>
      <c r="V34" s="774" t="s">
        <v>17</v>
      </c>
      <c r="W34" s="775">
        <f t="shared" si="14"/>
        <v>100</v>
      </c>
      <c r="X34" s="1815"/>
      <c r="Y34" s="3236"/>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0"/>
      <c r="M35" s="1143"/>
      <c r="N35" s="1143"/>
      <c r="O35" s="1143"/>
      <c r="P35" s="3236"/>
      <c r="Q35" s="776">
        <f t="shared" si="11"/>
        <v>111</v>
      </c>
      <c r="R35" s="777" t="s">
        <v>17</v>
      </c>
      <c r="S35" s="778">
        <f t="shared" si="12"/>
        <v>100</v>
      </c>
      <c r="T35" s="777" t="s">
        <v>17</v>
      </c>
      <c r="U35" s="778">
        <f t="shared" si="13"/>
        <v>100</v>
      </c>
      <c r="V35" s="777" t="s">
        <v>17</v>
      </c>
      <c r="W35" s="778">
        <f t="shared" si="14"/>
        <v>100</v>
      </c>
      <c r="X35" s="779"/>
      <c r="Y35" s="3236"/>
      <c r="Z35" s="780">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2"/>
      <c r="M36" s="1133"/>
      <c r="N36" s="1133"/>
      <c r="O36" s="1133"/>
      <c r="P36" s="3236"/>
      <c r="Q36" s="1812">
        <f t="shared" si="11"/>
        <v>111</v>
      </c>
      <c r="R36" s="774" t="s">
        <v>17</v>
      </c>
      <c r="S36" s="775">
        <f t="shared" si="12"/>
        <v>100</v>
      </c>
      <c r="T36" s="774" t="s">
        <v>17</v>
      </c>
      <c r="U36" s="775">
        <f t="shared" si="13"/>
        <v>100</v>
      </c>
      <c r="V36" s="774" t="s">
        <v>17</v>
      </c>
      <c r="W36" s="775">
        <f t="shared" si="14"/>
        <v>100</v>
      </c>
      <c r="X36" s="1815"/>
      <c r="Y36" s="3236"/>
      <c r="Z36" s="1816">
        <f t="shared" si="15"/>
        <v>111</v>
      </c>
      <c r="AA36" s="1813">
        <f t="shared" si="3"/>
        <v>1</v>
      </c>
      <c r="AB36" s="1813">
        <f t="shared" si="4"/>
        <v>1</v>
      </c>
      <c r="AC36" s="1813">
        <f t="shared" si="5"/>
        <v>1</v>
      </c>
    </row>
    <row r="37" spans="1:29" ht="15">
      <c r="A37" s="479" t="s">
        <v>2708</v>
      </c>
      <c r="B37" s="2691" t="s">
        <v>2709</v>
      </c>
      <c r="C37" s="1409" t="s">
        <v>1</v>
      </c>
      <c r="D37" s="1410"/>
      <c r="E37" s="1411"/>
      <c r="F37" s="1412"/>
      <c r="G37" s="1413"/>
      <c r="H37" s="1414"/>
      <c r="I37" s="1411"/>
      <c r="J37" s="1414"/>
      <c r="K37" s="619"/>
      <c r="L37" s="1145"/>
      <c r="M37" s="1146"/>
      <c r="N37" s="1133"/>
      <c r="O37" s="1146"/>
      <c r="P37" s="3229" t="str">
        <f>A37</f>
        <v>成交单价</v>
      </c>
      <c r="Q37" s="3229"/>
      <c r="R37" s="3230">
        <f>E37</f>
        <v>0</v>
      </c>
      <c r="S37" s="3230"/>
      <c r="T37" s="3230">
        <f>G37</f>
        <v>0</v>
      </c>
      <c r="U37" s="3230"/>
      <c r="V37" s="3230">
        <f>I37</f>
        <v>0</v>
      </c>
      <c r="W37" s="3230"/>
      <c r="X37" s="759"/>
      <c r="Y37" s="781"/>
      <c r="Z37" s="759"/>
      <c r="AA37" s="759"/>
      <c r="AB37" s="759"/>
      <c r="AC37" s="759"/>
    </row>
    <row r="38" spans="1:29" ht="15.75" thickBot="1">
      <c r="A38" s="486" t="s">
        <v>2710</v>
      </c>
      <c r="B38" s="487" t="str">
        <f>B37</f>
        <v>元/车位</v>
      </c>
      <c r="C38" s="1415" t="e">
        <f>R39</f>
        <v>#DIV/0!</v>
      </c>
      <c r="D38" s="1416"/>
      <c r="E38" s="1417" t="e">
        <f>R38</f>
        <v>#DIV/0!</v>
      </c>
      <c r="F38" s="1417"/>
      <c r="G38" s="1415" t="e">
        <f>T38</f>
        <v>#DIV/0!</v>
      </c>
      <c r="H38" s="1416"/>
      <c r="I38" s="1417" t="e">
        <f>V38</f>
        <v>#DIV/0!</v>
      </c>
      <c r="J38" s="1416"/>
      <c r="K38" s="620"/>
      <c r="L38" s="1145"/>
      <c r="M38" s="1146"/>
      <c r="N38" s="1146"/>
      <c r="O38" s="1146"/>
      <c r="P38" s="3229" t="str">
        <f>A38</f>
        <v>比较价值（元/平方米）</v>
      </c>
      <c r="Q38" s="3229"/>
      <c r="R38" s="3230" t="e">
        <f>IF(F1="售价",ROUND(PRODUCT(R37,AA7:AA36),0),ROUND(PRODUCT(R37,AA7:AA36),1))</f>
        <v>#DIV/0!</v>
      </c>
      <c r="S38" s="3230"/>
      <c r="T38" s="3230" t="e">
        <f>IF(F1="售价",ROUND(PRODUCT(T37,AB7:AB36),0),ROUND(PRODUCT(T37,AB7:AB36),1))</f>
        <v>#DIV/0!</v>
      </c>
      <c r="U38" s="3230"/>
      <c r="V38" s="3230" t="e">
        <f>IF(F1="售价",ROUND(PRODUCT(V37,AC7:AC36),0),ROUND(PRODUCT(V37,AC7:AC36),1))</f>
        <v>#DIV/0!</v>
      </c>
      <c r="W38" s="3230"/>
      <c r="X38" s="759"/>
      <c r="Y38" s="759"/>
      <c r="Z38" s="759"/>
      <c r="AA38" s="759"/>
      <c r="AB38" s="759"/>
      <c r="AC38" s="759"/>
    </row>
    <row r="39" spans="1:29" ht="15.75" thickBot="1">
      <c r="A39" s="492" t="s">
        <v>2711</v>
      </c>
      <c r="B39" s="493"/>
      <c r="C39" s="1419" t="e">
        <f>R39</f>
        <v>#DIV/0!</v>
      </c>
      <c r="D39" s="1419"/>
      <c r="E39" s="1419"/>
      <c r="F39" s="1419"/>
      <c r="G39" s="1419"/>
      <c r="H39" s="1419"/>
      <c r="I39" s="1419"/>
      <c r="J39" s="1419"/>
      <c r="K39" s="621"/>
      <c r="L39" s="1145"/>
      <c r="M39" s="1146"/>
      <c r="N39" s="1146"/>
      <c r="O39" s="1146"/>
      <c r="P39" s="3226" t="str">
        <f>A39</f>
        <v>估价对象XX用房的比较价值（楼面单价，元/平方米）</v>
      </c>
      <c r="Q39" s="3227"/>
      <c r="R39" s="3228" t="e">
        <f>IF(F1="售价",ROUND(AVERAGE(R38:V38),0),ROUND(AVERAGE(R38:V38),1))</f>
        <v>#DIV/0!</v>
      </c>
      <c r="S39" s="3228"/>
      <c r="T39" s="3228"/>
      <c r="U39" s="3228"/>
      <c r="V39" s="3228"/>
      <c r="W39" s="3228"/>
      <c r="X39" s="759"/>
      <c r="Y39" s="759"/>
      <c r="Z39" s="759"/>
      <c r="AA39" s="759"/>
      <c r="AB39" s="759"/>
      <c r="AC39" s="759"/>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2" customFormat="1" ht="13.5" customHeight="1">
      <c r="A44" s="1147"/>
      <c r="B44" s="1147"/>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2"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2715</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8" customFormat="1" ht="15">
      <c r="A48" s="505" t="s">
        <v>2716</v>
      </c>
      <c r="B48" s="506"/>
      <c r="C48" s="1576" t="str">
        <f>YEAR(C7)&amp;"-"&amp;MONTH(C7)</f>
        <v>2018-3</v>
      </c>
      <c r="D48" s="1577">
        <f>EDATE(C48,-1)</f>
        <v>43132</v>
      </c>
      <c r="E48" s="1577">
        <f t="shared" ref="E48:O48" si="16">EDATE(D48,-1)</f>
        <v>43101</v>
      </c>
      <c r="F48" s="1577">
        <f t="shared" si="16"/>
        <v>43070</v>
      </c>
      <c r="G48" s="1577">
        <f t="shared" si="16"/>
        <v>43040</v>
      </c>
      <c r="H48" s="1577">
        <f t="shared" si="16"/>
        <v>43009</v>
      </c>
      <c r="I48" s="1577">
        <f t="shared" si="16"/>
        <v>42979</v>
      </c>
      <c r="J48" s="1577">
        <f t="shared" si="16"/>
        <v>42948</v>
      </c>
      <c r="K48" s="1577">
        <f t="shared" si="16"/>
        <v>42917</v>
      </c>
      <c r="L48" s="1577">
        <f t="shared" si="16"/>
        <v>42887</v>
      </c>
      <c r="M48" s="1577">
        <f t="shared" si="16"/>
        <v>42856</v>
      </c>
      <c r="N48" s="1577">
        <f t="shared" si="16"/>
        <v>42826</v>
      </c>
      <c r="O48" s="1577">
        <f t="shared" si="16"/>
        <v>42795</v>
      </c>
      <c r="P48" s="1440"/>
      <c r="Q48" s="1441"/>
      <c r="R48" s="1441"/>
      <c r="S48" s="1441"/>
      <c r="T48" s="1441"/>
      <c r="U48" s="1441"/>
      <c r="V48" s="1441"/>
      <c r="W48" s="1441"/>
      <c r="X48" s="1441"/>
      <c r="Y48" s="1441"/>
      <c r="Z48" s="1441"/>
      <c r="AA48" s="1441"/>
      <c r="AB48" s="1441"/>
      <c r="AC48" s="1441"/>
    </row>
    <row r="49" spans="1:29" s="117" customFormat="1" ht="15">
      <c r="A49" s="509"/>
      <c r="B49" s="510"/>
      <c r="C49" s="1568">
        <v>100</v>
      </c>
      <c r="D49" s="512"/>
      <c r="E49" s="512"/>
      <c r="F49" s="512"/>
      <c r="G49" s="512"/>
      <c r="H49" s="512"/>
      <c r="I49" s="512"/>
      <c r="J49" s="512"/>
      <c r="K49" s="512"/>
      <c r="L49" s="512"/>
      <c r="M49" s="513"/>
      <c r="N49" s="512"/>
      <c r="O49" s="513"/>
      <c r="P49" s="1430"/>
      <c r="Q49" s="1429"/>
      <c r="R49" s="1429"/>
      <c r="S49" s="1429"/>
      <c r="T49" s="1429"/>
      <c r="U49" s="1429"/>
      <c r="V49" s="1429"/>
      <c r="W49" s="1429"/>
      <c r="X49" s="1429"/>
      <c r="Y49" s="1429"/>
      <c r="Z49" s="1429"/>
      <c r="AA49" s="1429"/>
      <c r="AB49" s="1429"/>
      <c r="AC49" s="1429"/>
    </row>
    <row r="50" spans="1:29" s="117" customFormat="1" ht="15.75" thickBot="1">
      <c r="A50" s="515" t="s">
        <v>2573</v>
      </c>
      <c r="B50" s="516"/>
      <c r="C50" s="517"/>
      <c r="D50" s="518"/>
      <c r="E50" s="518"/>
      <c r="F50" s="518"/>
      <c r="G50" s="518"/>
      <c r="H50" s="518"/>
      <c r="I50" s="518"/>
      <c r="J50" s="518"/>
      <c r="K50" s="518"/>
      <c r="L50" s="518"/>
      <c r="M50" s="519"/>
      <c r="N50" s="518"/>
      <c r="O50" s="519"/>
      <c r="P50" s="1430"/>
      <c r="Q50" s="1425"/>
      <c r="R50" s="1429"/>
      <c r="S50" s="1429"/>
      <c r="T50" s="1429"/>
      <c r="U50" s="1429"/>
      <c r="V50" s="1429"/>
      <c r="W50" s="1429"/>
      <c r="X50" s="1429"/>
      <c r="Y50" s="1429"/>
      <c r="Z50" s="1429"/>
      <c r="AA50" s="1429"/>
      <c r="AB50" s="1429"/>
      <c r="AC50" s="1429"/>
    </row>
    <row r="51" spans="1:29" s="117" customFormat="1" ht="15">
      <c r="A51" s="521" t="s">
        <v>2538</v>
      </c>
      <c r="B51" s="510"/>
      <c r="C51" s="522" t="s">
        <v>2640</v>
      </c>
      <c r="D51" s="523"/>
      <c r="E51" s="523"/>
      <c r="F51" s="523"/>
      <c r="G51" s="523"/>
      <c r="H51" s="523"/>
      <c r="I51" s="523"/>
      <c r="J51" s="523"/>
      <c r="K51" s="523"/>
      <c r="L51" s="524"/>
      <c r="M51" s="525"/>
      <c r="N51" s="1153"/>
      <c r="O51" s="1153"/>
      <c r="P51" s="1428"/>
      <c r="Q51" s="1425"/>
      <c r="R51" s="1429"/>
      <c r="S51" s="1429"/>
      <c r="T51" s="1429"/>
      <c r="U51" s="1429"/>
      <c r="V51" s="1429"/>
      <c r="W51" s="1429"/>
      <c r="X51" s="1429"/>
      <c r="Y51" s="1429"/>
      <c r="Z51" s="1429"/>
      <c r="AA51" s="1429"/>
      <c r="AB51" s="1429"/>
      <c r="AC51" s="1429"/>
    </row>
    <row r="52" spans="1:29" s="117" customFormat="1" ht="15.75" thickBot="1">
      <c r="A52" s="521"/>
      <c r="B52" s="510"/>
      <c r="C52" s="639">
        <v>100</v>
      </c>
      <c r="D52" s="512"/>
      <c r="E52" s="512"/>
      <c r="F52" s="512"/>
      <c r="G52" s="512"/>
      <c r="H52" s="512"/>
      <c r="I52" s="512"/>
      <c r="J52" s="512"/>
      <c r="K52" s="512"/>
      <c r="L52" s="512"/>
      <c r="M52" s="514"/>
      <c r="N52" s="1153"/>
      <c r="O52" s="1153"/>
      <c r="P52" s="1430"/>
      <c r="Q52" s="1425"/>
      <c r="R52" s="1429"/>
      <c r="S52" s="1429"/>
      <c r="T52" s="1429"/>
      <c r="U52" s="1429"/>
      <c r="V52" s="1429"/>
      <c r="W52" s="1429"/>
      <c r="X52" s="1429"/>
      <c r="Y52" s="1429"/>
      <c r="Z52" s="1429"/>
      <c r="AA52" s="1429"/>
      <c r="AB52" s="1429"/>
      <c r="AC52" s="1429"/>
    </row>
    <row r="53" spans="1:29">
      <c r="A53" s="527" t="s">
        <v>2576</v>
      </c>
      <c r="B53" s="528" t="s">
        <v>2542</v>
      </c>
      <c r="C53" s="529">
        <f>C9</f>
        <v>0</v>
      </c>
      <c r="D53" s="530"/>
      <c r="E53" s="530"/>
      <c r="F53" s="530"/>
      <c r="G53" s="530"/>
      <c r="H53" s="530"/>
      <c r="I53" s="530"/>
      <c r="J53" s="530"/>
      <c r="K53" s="531"/>
      <c r="L53" s="532"/>
      <c r="M53" s="533"/>
      <c r="N53" s="1154"/>
      <c r="O53" s="1154"/>
      <c r="P53" s="1431"/>
      <c r="Q53" s="1425"/>
      <c r="R53" s="1146"/>
      <c r="S53" s="1146"/>
      <c r="T53" s="1146"/>
      <c r="U53" s="1146"/>
      <c r="V53" s="1146"/>
      <c r="W53" s="1146"/>
      <c r="X53" s="1146"/>
      <c r="Y53" s="1146"/>
      <c r="Z53" s="1146"/>
      <c r="AA53" s="1146"/>
      <c r="AB53" s="1146"/>
      <c r="AC53" s="1146"/>
    </row>
    <row r="54" spans="1:29" ht="15.75" thickBot="1">
      <c r="A54" s="534"/>
      <c r="B54" s="535"/>
      <c r="C54" s="536">
        <v>100</v>
      </c>
      <c r="D54" s="536"/>
      <c r="E54" s="536"/>
      <c r="F54" s="536"/>
      <c r="G54" s="536"/>
      <c r="H54" s="536"/>
      <c r="I54" s="536"/>
      <c r="J54" s="536"/>
      <c r="K54" s="536"/>
      <c r="L54" s="536"/>
      <c r="M54" s="537"/>
      <c r="N54" s="1155"/>
      <c r="O54" s="1155"/>
      <c r="P54" s="1431"/>
      <c r="Q54" s="1425"/>
      <c r="R54" s="1146"/>
      <c r="S54" s="1146"/>
      <c r="T54" s="1146"/>
      <c r="U54" s="1146"/>
      <c r="V54" s="1146"/>
      <c r="W54" s="1146"/>
      <c r="X54" s="1146"/>
      <c r="Y54" s="1146"/>
      <c r="Z54" s="1146"/>
      <c r="AA54" s="1146"/>
      <c r="AB54" s="1146"/>
      <c r="AC54" s="1146"/>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4"/>
      <c r="O55" s="1154"/>
      <c r="P55" s="1431"/>
      <c r="Q55" s="1425"/>
      <c r="R55" s="1146"/>
      <c r="S55" s="1146"/>
      <c r="T55" s="1146"/>
      <c r="U55" s="1146"/>
      <c r="V55" s="1146"/>
      <c r="W55" s="1146"/>
      <c r="X55" s="1146"/>
      <c r="Y55" s="1146"/>
      <c r="Z55" s="1146"/>
      <c r="AA55" s="1146"/>
      <c r="AB55" s="1146"/>
      <c r="AC55" s="1146"/>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5"/>
      <c r="O56" s="1155"/>
      <c r="P56" s="1431"/>
      <c r="Q56" s="1425"/>
      <c r="R56" s="1146"/>
      <c r="S56" s="1146"/>
      <c r="T56" s="1146"/>
      <c r="U56" s="1146"/>
      <c r="V56" s="1146"/>
      <c r="W56" s="1146"/>
      <c r="X56" s="1146"/>
      <c r="Y56" s="1146"/>
      <c r="Z56" s="1146"/>
      <c r="AA56" s="1146"/>
      <c r="AB56" s="1146"/>
      <c r="AC56" s="1146"/>
    </row>
    <row r="57" spans="1:29" ht="15.75" thickTop="1">
      <c r="A57" s="534"/>
      <c r="B57" s="660">
        <f>B11</f>
        <v>111</v>
      </c>
      <c r="C57" s="549"/>
      <c r="D57" s="549"/>
      <c r="E57" s="549"/>
      <c r="F57" s="549"/>
      <c r="G57" s="549"/>
      <c r="H57" s="549"/>
      <c r="I57" s="549"/>
      <c r="J57" s="549"/>
      <c r="K57" s="550"/>
      <c r="L57" s="551"/>
      <c r="M57" s="552"/>
      <c r="N57" s="1154"/>
      <c r="O57" s="1154"/>
      <c r="P57" s="1431"/>
      <c r="Q57" s="1425"/>
      <c r="R57" s="1146"/>
      <c r="S57" s="1146"/>
      <c r="T57" s="1146"/>
      <c r="U57" s="1146"/>
      <c r="V57" s="1146"/>
      <c r="W57" s="1146"/>
      <c r="X57" s="1146"/>
      <c r="Y57" s="1146"/>
      <c r="Z57" s="1146"/>
      <c r="AA57" s="1146"/>
      <c r="AB57" s="1146"/>
      <c r="AC57" s="1146"/>
    </row>
    <row r="58" spans="1:29" ht="15.75" thickBot="1">
      <c r="A58" s="534"/>
      <c r="B58" s="535"/>
      <c r="C58" s="560"/>
      <c r="D58" s="536"/>
      <c r="E58" s="536"/>
      <c r="F58" s="536"/>
      <c r="G58" s="536"/>
      <c r="H58" s="536"/>
      <c r="I58" s="536"/>
      <c r="J58" s="536"/>
      <c r="K58" s="536"/>
      <c r="L58" s="536"/>
      <c r="M58" s="537"/>
      <c r="N58" s="1155"/>
      <c r="O58" s="1155"/>
      <c r="P58" s="1431"/>
      <c r="Q58" s="1425"/>
      <c r="R58" s="1146"/>
      <c r="S58" s="1146"/>
      <c r="T58" s="1146"/>
      <c r="U58" s="1146"/>
      <c r="V58" s="1146"/>
      <c r="W58" s="1146"/>
      <c r="X58" s="1146"/>
      <c r="Y58" s="1146"/>
      <c r="Z58" s="1146"/>
      <c r="AA58" s="1146"/>
      <c r="AB58" s="1146"/>
      <c r="AC58" s="1146"/>
    </row>
    <row r="59" spans="1:29" s="471" customFormat="1" ht="15.75" thickTop="1">
      <c r="A59" s="553"/>
      <c r="B59" s="538">
        <f>B12</f>
        <v>111</v>
      </c>
      <c r="C59" s="549"/>
      <c r="D59" s="549"/>
      <c r="E59" s="549"/>
      <c r="F59" s="549"/>
      <c r="G59" s="554"/>
      <c r="H59" s="555"/>
      <c r="I59" s="555"/>
      <c r="J59" s="555"/>
      <c r="K59" s="555"/>
      <c r="L59" s="556"/>
      <c r="M59" s="557"/>
      <c r="N59" s="1156"/>
      <c r="O59" s="1156"/>
      <c r="P59" s="1432"/>
      <c r="Q59" s="1433"/>
      <c r="R59" s="1434"/>
      <c r="S59" s="1434"/>
      <c r="T59" s="1434"/>
      <c r="U59" s="1434"/>
      <c r="V59" s="1434"/>
      <c r="W59" s="1434"/>
      <c r="X59" s="1434"/>
      <c r="Y59" s="1434"/>
      <c r="Z59" s="1434"/>
      <c r="AA59" s="1434"/>
      <c r="AB59" s="1434"/>
      <c r="AC59" s="1434"/>
    </row>
    <row r="60" spans="1:29" s="471" customFormat="1" ht="15.75" thickBot="1">
      <c r="A60" s="553"/>
      <c r="B60" s="543"/>
      <c r="C60" s="560"/>
      <c r="D60" s="536"/>
      <c r="E60" s="536"/>
      <c r="F60" s="536"/>
      <c r="G60" s="536"/>
      <c r="H60" s="536"/>
      <c r="I60" s="536"/>
      <c r="J60" s="536"/>
      <c r="K60" s="536"/>
      <c r="L60" s="536"/>
      <c r="M60" s="537"/>
      <c r="N60" s="1155"/>
      <c r="O60" s="1155"/>
      <c r="P60" s="1432"/>
      <c r="Q60" s="1433"/>
      <c r="R60" s="1434"/>
      <c r="S60" s="1434"/>
      <c r="T60" s="1434"/>
      <c r="U60" s="1434"/>
      <c r="V60" s="1434"/>
      <c r="W60" s="1434"/>
      <c r="X60" s="1434"/>
      <c r="Y60" s="1434"/>
      <c r="Z60" s="1434"/>
      <c r="AA60" s="1434"/>
      <c r="AB60" s="1434"/>
      <c r="AC60" s="1434"/>
    </row>
    <row r="61" spans="1:29" s="471" customFormat="1" ht="15.75" thickTop="1">
      <c r="A61" s="553"/>
      <c r="B61" s="538">
        <f>B13</f>
        <v>111</v>
      </c>
      <c r="C61" s="554"/>
      <c r="D61" s="554"/>
      <c r="E61" s="554"/>
      <c r="F61" s="554"/>
      <c r="G61" s="554"/>
      <c r="H61" s="555"/>
      <c r="I61" s="555"/>
      <c r="J61" s="555"/>
      <c r="K61" s="555"/>
      <c r="L61" s="556"/>
      <c r="M61" s="557"/>
      <c r="N61" s="1156"/>
      <c r="O61" s="1156"/>
      <c r="P61" s="1435"/>
      <c r="Q61" s="1436"/>
      <c r="R61" s="1434"/>
      <c r="S61" s="1434"/>
      <c r="T61" s="1434"/>
      <c r="U61" s="1434"/>
      <c r="V61" s="1434"/>
      <c r="W61" s="1434"/>
      <c r="X61" s="1434"/>
      <c r="Y61" s="1434"/>
      <c r="Z61" s="1434"/>
      <c r="AA61" s="1434"/>
      <c r="AB61" s="1434"/>
      <c r="AC61" s="1434"/>
    </row>
    <row r="62" spans="1:29" s="471" customFormat="1" ht="15.75" thickBot="1">
      <c r="A62" s="553"/>
      <c r="B62" s="543"/>
      <c r="C62" s="560"/>
      <c r="D62" s="560"/>
      <c r="E62" s="560"/>
      <c r="F62" s="560"/>
      <c r="G62" s="560"/>
      <c r="H62" s="562"/>
      <c r="I62" s="562"/>
      <c r="J62" s="562"/>
      <c r="K62" s="562"/>
      <c r="L62" s="562"/>
      <c r="M62" s="563"/>
      <c r="N62" s="1156"/>
      <c r="O62" s="1156"/>
      <c r="P62" s="1432"/>
      <c r="Q62" s="1433"/>
      <c r="R62" s="1434"/>
      <c r="S62" s="1434"/>
      <c r="T62" s="1434"/>
      <c r="U62" s="1434"/>
      <c r="V62" s="1434"/>
      <c r="W62" s="1434"/>
      <c r="X62" s="1434"/>
      <c r="Y62" s="1434"/>
      <c r="Z62" s="1434"/>
      <c r="AA62" s="1434"/>
      <c r="AB62" s="1434"/>
      <c r="AC62" s="1434"/>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4"/>
      <c r="O63" s="1154"/>
      <c r="P63" s="1437"/>
      <c r="Q63" s="1425"/>
      <c r="R63" s="1146"/>
      <c r="S63" s="1146"/>
      <c r="T63" s="1146"/>
      <c r="U63" s="1146"/>
      <c r="V63" s="1146"/>
      <c r="W63" s="1146"/>
      <c r="X63" s="1146"/>
      <c r="Y63" s="1146"/>
      <c r="Z63" s="1146"/>
      <c r="AA63" s="1146"/>
      <c r="AB63" s="1146"/>
      <c r="AC63" s="1146"/>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5"/>
      <c r="O64" s="1155"/>
      <c r="P64" s="1431"/>
      <c r="Q64" s="1425"/>
      <c r="R64" s="1146"/>
      <c r="S64" s="1146"/>
      <c r="T64" s="1146"/>
      <c r="U64" s="1146"/>
      <c r="V64" s="1146"/>
      <c r="W64" s="1146"/>
      <c r="X64" s="1146"/>
      <c r="Y64" s="1146"/>
      <c r="Z64" s="1146"/>
      <c r="AA64" s="1146"/>
      <c r="AB64" s="1146"/>
      <c r="AC64" s="1146"/>
    </row>
    <row r="65" spans="1:29" ht="15.75" thickTop="1">
      <c r="A65" s="534"/>
      <c r="B65" s="538" t="s">
        <v>2591</v>
      </c>
      <c r="C65" s="578" t="s">
        <v>2585</v>
      </c>
      <c r="D65" s="578" t="s">
        <v>2586</v>
      </c>
      <c r="E65" s="578" t="s">
        <v>2587</v>
      </c>
      <c r="F65" s="578" t="s">
        <v>2588</v>
      </c>
      <c r="G65" s="578" t="s">
        <v>2589</v>
      </c>
      <c r="H65" s="539"/>
      <c r="I65" s="539"/>
      <c r="J65" s="539"/>
      <c r="K65" s="540"/>
      <c r="L65" s="541"/>
      <c r="M65" s="542"/>
      <c r="N65" s="1154"/>
      <c r="O65" s="1154"/>
      <c r="P65" s="1431"/>
      <c r="Q65" s="1425"/>
      <c r="R65" s="1146"/>
      <c r="S65" s="1146"/>
      <c r="T65" s="1146"/>
      <c r="U65" s="1146"/>
      <c r="V65" s="1146"/>
      <c r="W65" s="1146"/>
      <c r="X65" s="1146"/>
      <c r="Y65" s="1146"/>
      <c r="Z65" s="1146"/>
      <c r="AA65" s="1146"/>
      <c r="AB65" s="1146"/>
      <c r="AC65" s="1146"/>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5"/>
      <c r="O66" s="1155"/>
      <c r="P66" s="1431"/>
      <c r="Q66" s="1425"/>
      <c r="R66" s="1146"/>
      <c r="S66" s="1146"/>
      <c r="T66" s="1146"/>
      <c r="U66" s="1146"/>
      <c r="V66" s="1146"/>
      <c r="W66" s="1146"/>
      <c r="X66" s="1146"/>
      <c r="Y66" s="1146"/>
      <c r="Z66" s="1146"/>
      <c r="AA66" s="1146"/>
      <c r="AB66" s="1146"/>
      <c r="AC66" s="1146"/>
    </row>
    <row r="67" spans="1:29" ht="15.75" thickTop="1">
      <c r="A67" s="534"/>
      <c r="B67" s="546" t="s">
        <v>2677</v>
      </c>
      <c r="C67" s="660" t="s">
        <v>2663</v>
      </c>
      <c r="D67" s="660" t="s">
        <v>2664</v>
      </c>
      <c r="E67" s="660" t="s">
        <v>2665</v>
      </c>
      <c r="F67" s="660" t="s">
        <v>2666</v>
      </c>
      <c r="G67" s="660" t="s">
        <v>2667</v>
      </c>
      <c r="H67" s="539"/>
      <c r="I67" s="539"/>
      <c r="J67" s="539"/>
      <c r="K67" s="539"/>
      <c r="L67" s="539"/>
      <c r="M67" s="1384"/>
      <c r="N67" s="1155"/>
      <c r="O67" s="1155"/>
      <c r="P67" s="1431"/>
      <c r="Q67" s="1425"/>
      <c r="R67" s="1146"/>
      <c r="S67" s="1146"/>
      <c r="T67" s="1146"/>
      <c r="U67" s="1146"/>
      <c r="V67" s="1146"/>
      <c r="W67" s="1146"/>
      <c r="X67" s="1146"/>
      <c r="Y67" s="1146"/>
      <c r="Z67" s="1146"/>
      <c r="AA67" s="1146"/>
      <c r="AB67" s="1146"/>
      <c r="AC67" s="1146"/>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5"/>
      <c r="O68" s="1155"/>
      <c r="P68" s="1431"/>
      <c r="Q68" s="1425"/>
      <c r="R68" s="1146"/>
      <c r="S68" s="1146"/>
      <c r="T68" s="1146"/>
      <c r="U68" s="1146"/>
      <c r="V68" s="1146"/>
      <c r="W68" s="1146"/>
      <c r="X68" s="1146"/>
      <c r="Y68" s="1146"/>
      <c r="Z68" s="1146"/>
      <c r="AA68" s="1146"/>
      <c r="AB68" s="1146"/>
      <c r="AC68" s="1146"/>
    </row>
    <row r="69" spans="1:29" ht="15.75" thickTop="1">
      <c r="A69" s="534"/>
      <c r="B69" s="538" t="s">
        <v>2597</v>
      </c>
      <c r="C69" s="578" t="s">
        <v>2585</v>
      </c>
      <c r="D69" s="578" t="s">
        <v>2586</v>
      </c>
      <c r="E69" s="578" t="s">
        <v>2587</v>
      </c>
      <c r="F69" s="578" t="s">
        <v>2588</v>
      </c>
      <c r="G69" s="578" t="s">
        <v>2589</v>
      </c>
      <c r="H69" s="539"/>
      <c r="I69" s="539"/>
      <c r="J69" s="539"/>
      <c r="K69" s="540"/>
      <c r="L69" s="541"/>
      <c r="M69" s="542"/>
      <c r="N69" s="1154"/>
      <c r="O69" s="1154"/>
      <c r="P69" s="1431"/>
      <c r="Q69" s="1425"/>
      <c r="R69" s="1146"/>
      <c r="S69" s="1146"/>
      <c r="T69" s="1146"/>
      <c r="U69" s="1146"/>
      <c r="V69" s="1146"/>
      <c r="W69" s="1146"/>
      <c r="X69" s="1146"/>
      <c r="Y69" s="1146"/>
      <c r="Z69" s="1146"/>
      <c r="AA69" s="1146"/>
      <c r="AB69" s="1146"/>
      <c r="AC69" s="1146"/>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5"/>
      <c r="O70" s="1155"/>
      <c r="P70" s="1431"/>
      <c r="Q70" s="1425"/>
      <c r="R70" s="1146"/>
      <c r="S70" s="1146"/>
      <c r="T70" s="1146"/>
      <c r="U70" s="1146"/>
      <c r="V70" s="1146"/>
      <c r="W70" s="1146"/>
      <c r="X70" s="1146"/>
      <c r="Y70" s="1146"/>
      <c r="Z70" s="1146"/>
      <c r="AA70" s="1146"/>
      <c r="AB70" s="1146"/>
      <c r="AC70" s="1146"/>
    </row>
    <row r="71" spans="1:29" ht="15.75" thickTop="1">
      <c r="A71" s="534"/>
      <c r="B71" s="538" t="s">
        <v>2717</v>
      </c>
      <c r="C71" s="554"/>
      <c r="D71" s="554"/>
      <c r="E71" s="554"/>
      <c r="F71" s="554"/>
      <c r="G71" s="554"/>
      <c r="H71" s="583"/>
      <c r="I71" s="583"/>
      <c r="J71" s="583"/>
      <c r="K71" s="584"/>
      <c r="L71" s="585"/>
      <c r="M71" s="586"/>
      <c r="N71" s="1154"/>
      <c r="O71" s="1154"/>
      <c r="P71" s="1431"/>
      <c r="Q71" s="1425"/>
      <c r="R71" s="1146"/>
      <c r="S71" s="1146"/>
      <c r="T71" s="1146"/>
      <c r="U71" s="1146"/>
      <c r="V71" s="1146"/>
      <c r="W71" s="1146"/>
      <c r="X71" s="1146"/>
      <c r="Y71" s="1146"/>
      <c r="Z71" s="1146"/>
      <c r="AA71" s="1146"/>
      <c r="AB71" s="1146"/>
      <c r="AC71" s="1146"/>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5"/>
      <c r="O72" s="1155"/>
      <c r="P72" s="1431"/>
      <c r="Q72" s="1425"/>
      <c r="R72" s="1146"/>
      <c r="S72" s="1146"/>
      <c r="T72" s="1146"/>
      <c r="U72" s="1146"/>
      <c r="V72" s="1146"/>
      <c r="W72" s="1146"/>
      <c r="X72" s="1146"/>
      <c r="Y72" s="1146"/>
      <c r="Z72" s="1146"/>
      <c r="AA72" s="1146"/>
      <c r="AB72" s="1146"/>
      <c r="AC72" s="1146"/>
    </row>
    <row r="73" spans="1:29" s="117" customFormat="1" ht="15.75" thickTop="1">
      <c r="A73" s="579"/>
      <c r="B73" s="538">
        <f>B23</f>
        <v>111</v>
      </c>
      <c r="C73" s="549"/>
      <c r="D73" s="549"/>
      <c r="E73" s="549"/>
      <c r="F73" s="549"/>
      <c r="G73" s="554"/>
      <c r="H73" s="554"/>
      <c r="I73" s="554"/>
      <c r="J73" s="554"/>
      <c r="K73" s="554"/>
      <c r="L73" s="580"/>
      <c r="M73" s="581"/>
      <c r="N73" s="1153"/>
      <c r="O73" s="1153"/>
      <c r="P73" s="1431"/>
      <c r="Q73" s="1425"/>
      <c r="R73" s="1429"/>
      <c r="S73" s="1429"/>
      <c r="T73" s="1429"/>
      <c r="U73" s="1429"/>
      <c r="V73" s="1429"/>
      <c r="W73" s="1429"/>
      <c r="X73" s="1429"/>
      <c r="Y73" s="1429"/>
      <c r="Z73" s="1429"/>
      <c r="AA73" s="1429"/>
      <c r="AB73" s="1429"/>
      <c r="AC73" s="1429"/>
    </row>
    <row r="74" spans="1:29" s="117" customFormat="1" ht="15.75" thickBot="1">
      <c r="A74" s="579"/>
      <c r="B74" s="543"/>
      <c r="C74" s="560"/>
      <c r="D74" s="536"/>
      <c r="E74" s="536"/>
      <c r="F74" s="536"/>
      <c r="G74" s="536"/>
      <c r="H74" s="536"/>
      <c r="I74" s="536"/>
      <c r="J74" s="536"/>
      <c r="K74" s="536"/>
      <c r="L74" s="536"/>
      <c r="M74" s="537"/>
      <c r="N74" s="1155"/>
      <c r="O74" s="1155"/>
      <c r="P74" s="1431"/>
      <c r="Q74" s="1425"/>
      <c r="R74" s="1429"/>
      <c r="S74" s="1429"/>
      <c r="T74" s="1429"/>
      <c r="U74" s="1429"/>
      <c r="V74" s="1429"/>
      <c r="W74" s="1429"/>
      <c r="X74" s="1429"/>
      <c r="Y74" s="1429"/>
      <c r="Z74" s="1429"/>
      <c r="AA74" s="1429"/>
      <c r="AB74" s="1429"/>
      <c r="AC74" s="1429"/>
    </row>
    <row r="75" spans="1:29" s="117" customFormat="1" ht="15.75" thickTop="1">
      <c r="A75" s="579"/>
      <c r="B75" s="538">
        <f>B24</f>
        <v>111</v>
      </c>
      <c r="C75" s="549"/>
      <c r="D75" s="549"/>
      <c r="E75" s="549"/>
      <c r="F75" s="549"/>
      <c r="G75" s="554"/>
      <c r="H75" s="554"/>
      <c r="I75" s="554"/>
      <c r="J75" s="554"/>
      <c r="K75" s="554"/>
      <c r="L75" s="554"/>
      <c r="M75" s="581"/>
      <c r="N75" s="1153"/>
      <c r="O75" s="1153"/>
      <c r="P75" s="1431"/>
      <c r="Q75" s="1425"/>
      <c r="R75" s="1429"/>
      <c r="S75" s="1429"/>
      <c r="T75" s="1429"/>
      <c r="U75" s="1429"/>
      <c r="V75" s="1429"/>
      <c r="W75" s="1429"/>
      <c r="X75" s="1429"/>
      <c r="Y75" s="1429"/>
      <c r="Z75" s="1429"/>
      <c r="AA75" s="1429"/>
      <c r="AB75" s="1429"/>
      <c r="AC75" s="1429"/>
    </row>
    <row r="76" spans="1:29" s="117" customFormat="1" ht="15.75" thickBot="1">
      <c r="A76" s="579"/>
      <c r="B76" s="543"/>
      <c r="C76" s="560"/>
      <c r="D76" s="536"/>
      <c r="E76" s="536"/>
      <c r="F76" s="536"/>
      <c r="G76" s="536"/>
      <c r="H76" s="536"/>
      <c r="I76" s="536"/>
      <c r="J76" s="536"/>
      <c r="K76" s="536"/>
      <c r="L76" s="536"/>
      <c r="M76" s="537"/>
      <c r="N76" s="1155"/>
      <c r="O76" s="1155"/>
      <c r="P76" s="1431"/>
      <c r="Q76" s="1425"/>
      <c r="R76" s="1429"/>
      <c r="S76" s="1429"/>
      <c r="T76" s="1429"/>
      <c r="U76" s="1429"/>
      <c r="V76" s="1429"/>
      <c r="W76" s="1429"/>
      <c r="X76" s="1429"/>
      <c r="Y76" s="1429"/>
      <c r="Z76" s="1429"/>
      <c r="AA76" s="1429"/>
      <c r="AB76" s="1429"/>
      <c r="AC76" s="1429"/>
    </row>
    <row r="77" spans="1:29" s="471" customFormat="1" ht="15.75" thickTop="1">
      <c r="A77" s="553"/>
      <c r="B77" s="538">
        <f>B25</f>
        <v>111</v>
      </c>
      <c r="C77" s="554"/>
      <c r="D77" s="554"/>
      <c r="E77" s="554"/>
      <c r="F77" s="554"/>
      <c r="G77" s="554"/>
      <c r="H77" s="555"/>
      <c r="I77" s="555"/>
      <c r="J77" s="555"/>
      <c r="K77" s="555"/>
      <c r="L77" s="556"/>
      <c r="M77" s="557"/>
      <c r="N77" s="1156"/>
      <c r="O77" s="1156"/>
      <c r="P77" s="1432"/>
      <c r="Q77" s="1433"/>
      <c r="R77" s="1434"/>
      <c r="S77" s="1434"/>
      <c r="T77" s="1434"/>
      <c r="U77" s="1434"/>
      <c r="V77" s="1434"/>
      <c r="W77" s="1434"/>
      <c r="X77" s="1434"/>
      <c r="Y77" s="1434"/>
      <c r="Z77" s="1434"/>
      <c r="AA77" s="1434"/>
      <c r="AB77" s="1434"/>
      <c r="AC77" s="1434"/>
    </row>
    <row r="78" spans="1:29" s="471" customFormat="1" ht="15.75" thickBot="1">
      <c r="A78" s="553"/>
      <c r="B78" s="543"/>
      <c r="C78" s="560"/>
      <c r="D78" s="560"/>
      <c r="E78" s="560"/>
      <c r="F78" s="560"/>
      <c r="G78" s="536"/>
      <c r="H78" s="536"/>
      <c r="I78" s="536"/>
      <c r="J78" s="536"/>
      <c r="K78" s="536"/>
      <c r="L78" s="536"/>
      <c r="M78" s="537"/>
      <c r="N78" s="1156"/>
      <c r="O78" s="1156"/>
      <c r="P78" s="1432"/>
      <c r="Q78" s="1433"/>
      <c r="R78" s="1434"/>
      <c r="S78" s="1434"/>
      <c r="T78" s="1434"/>
      <c r="U78" s="1434"/>
      <c r="V78" s="1434"/>
      <c r="W78" s="1434"/>
      <c r="X78" s="1434"/>
      <c r="Y78" s="1434"/>
      <c r="Z78" s="1434"/>
      <c r="AA78" s="1434"/>
      <c r="AB78" s="1434"/>
      <c r="AC78" s="1434"/>
    </row>
    <row r="79" spans="1:29" ht="27.75" thickTop="1">
      <c r="A79" s="527" t="s">
        <v>2551</v>
      </c>
      <c r="B79" s="528" t="s">
        <v>2718</v>
      </c>
      <c r="C79" s="529">
        <f>C26</f>
        <v>0</v>
      </c>
      <c r="D79" s="530"/>
      <c r="E79" s="530"/>
      <c r="F79" s="530"/>
      <c r="G79" s="530"/>
      <c r="H79" s="530"/>
      <c r="I79" s="530"/>
      <c r="J79" s="530"/>
      <c r="K79" s="531"/>
      <c r="L79" s="532"/>
      <c r="M79" s="533"/>
      <c r="N79" s="1154"/>
      <c r="O79" s="1154"/>
      <c r="P79" s="1431"/>
      <c r="Q79" s="1425"/>
      <c r="R79" s="1146"/>
      <c r="S79" s="1146"/>
      <c r="T79" s="1146"/>
      <c r="U79" s="1146"/>
      <c r="V79" s="1146"/>
      <c r="W79" s="1146"/>
      <c r="X79" s="1146"/>
      <c r="Y79" s="1146"/>
      <c r="Z79" s="1146"/>
      <c r="AA79" s="1146"/>
      <c r="AB79" s="1146"/>
      <c r="AC79" s="1146"/>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4"/>
      <c r="B81" s="538" t="s">
        <v>2719</v>
      </c>
      <c r="C81" s="661"/>
      <c r="D81" s="661"/>
      <c r="E81" s="661"/>
      <c r="F81" s="661"/>
      <c r="G81" s="661"/>
      <c r="H81" s="661"/>
      <c r="I81" s="661"/>
      <c r="J81" s="661"/>
      <c r="K81" s="662"/>
      <c r="L81" s="663"/>
      <c r="M81" s="664"/>
      <c r="N81" s="1153"/>
      <c r="O81" s="1153"/>
      <c r="P81" s="1431"/>
      <c r="Q81" s="1425"/>
      <c r="R81" s="1146"/>
      <c r="S81" s="1146"/>
      <c r="T81" s="1146"/>
      <c r="U81" s="1146"/>
      <c r="V81" s="1146"/>
      <c r="W81" s="1146"/>
      <c r="X81" s="1146"/>
      <c r="Y81" s="1146"/>
      <c r="Z81" s="1146"/>
      <c r="AA81" s="1146"/>
      <c r="AB81" s="1146"/>
      <c r="AC81" s="1146"/>
    </row>
    <row r="82" spans="1:29" s="471" customFormat="1" ht="15.75" thickBot="1">
      <c r="A82" s="553"/>
      <c r="B82" s="543"/>
      <c r="C82" s="560"/>
      <c r="D82" s="536"/>
      <c r="E82" s="536"/>
      <c r="F82" s="536"/>
      <c r="G82" s="536"/>
      <c r="H82" s="536"/>
      <c r="I82" s="536"/>
      <c r="J82" s="536"/>
      <c r="K82" s="536"/>
      <c r="L82" s="536"/>
      <c r="M82" s="537"/>
      <c r="N82" s="1155"/>
      <c r="O82" s="1155"/>
      <c r="P82" s="1432"/>
      <c r="Q82" s="1433"/>
      <c r="R82" s="1434"/>
      <c r="S82" s="1434"/>
      <c r="T82" s="1434"/>
      <c r="U82" s="1434"/>
      <c r="V82" s="1434"/>
      <c r="W82" s="1434"/>
      <c r="X82" s="1434"/>
      <c r="Y82" s="1434"/>
      <c r="Z82" s="1434"/>
      <c r="AA82" s="1434"/>
      <c r="AB82" s="1434"/>
      <c r="AC82" s="1434"/>
    </row>
    <row r="83" spans="1:29" ht="15" thickTop="1">
      <c r="A83" s="599"/>
      <c r="B83" s="538" t="s">
        <v>2604</v>
      </c>
      <c r="C83" s="554"/>
      <c r="D83" s="554"/>
      <c r="E83" s="583"/>
      <c r="F83" s="583"/>
      <c r="G83" s="583"/>
      <c r="H83" s="583"/>
      <c r="I83" s="583"/>
      <c r="J83" s="583"/>
      <c r="K83" s="584"/>
      <c r="L83" s="585"/>
      <c r="M83" s="586"/>
      <c r="N83" s="1154"/>
      <c r="O83" s="1154"/>
      <c r="P83" s="1431"/>
      <c r="Q83" s="1425"/>
      <c r="R83" s="1146"/>
      <c r="S83" s="1146"/>
      <c r="T83" s="1146"/>
      <c r="U83" s="1146"/>
      <c r="V83" s="1146"/>
      <c r="W83" s="1146"/>
      <c r="X83" s="1146"/>
      <c r="Y83" s="1146"/>
      <c r="Z83" s="1146"/>
      <c r="AA83" s="1146"/>
      <c r="AB83" s="1146"/>
      <c r="AC83" s="1146"/>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4"/>
      <c r="O85" s="1154"/>
      <c r="P85" s="1431"/>
      <c r="Q85" s="1425"/>
      <c r="R85" s="1146"/>
      <c r="S85" s="1146"/>
      <c r="T85" s="1146"/>
      <c r="U85" s="1146"/>
      <c r="V85" s="1146"/>
      <c r="W85" s="1146"/>
      <c r="X85" s="1146"/>
      <c r="Y85" s="1146"/>
      <c r="Z85" s="1146"/>
      <c r="AA85" s="1146"/>
      <c r="AB85" s="1146"/>
      <c r="AC85" s="1146"/>
    </row>
    <row r="86" spans="1:29">
      <c r="A86" s="599"/>
      <c r="B86" s="546"/>
      <c r="C86" s="603">
        <v>0.5</v>
      </c>
      <c r="D86" s="603">
        <v>0.6</v>
      </c>
      <c r="E86" s="603">
        <v>0.7</v>
      </c>
      <c r="F86" s="603">
        <v>0.8</v>
      </c>
      <c r="G86" s="603">
        <v>0.9</v>
      </c>
      <c r="H86" s="603">
        <v>1.0001</v>
      </c>
      <c r="I86" s="623"/>
      <c r="J86" s="623"/>
      <c r="K86" s="624"/>
      <c r="L86" s="625"/>
      <c r="M86" s="626"/>
      <c r="N86" s="1154"/>
      <c r="O86" s="1154"/>
      <c r="P86" s="1431"/>
      <c r="Q86" s="1425"/>
      <c r="R86" s="1146"/>
      <c r="S86" s="1146"/>
      <c r="T86" s="1146"/>
      <c r="U86" s="1146"/>
      <c r="V86" s="1146"/>
      <c r="W86" s="1146"/>
      <c r="X86" s="1146"/>
      <c r="Y86" s="1146"/>
      <c r="Z86" s="1146"/>
      <c r="AA86" s="1146"/>
      <c r="AB86" s="1146"/>
      <c r="AC86" s="1146"/>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9"/>
      <c r="B88" s="546" t="s">
        <v>2721</v>
      </c>
      <c r="C88" s="530"/>
      <c r="D88" s="530"/>
      <c r="E88" s="530"/>
      <c r="F88" s="530"/>
      <c r="G88" s="530"/>
      <c r="H88" s="530"/>
      <c r="I88" s="530"/>
      <c r="J88" s="530"/>
      <c r="K88" s="531"/>
      <c r="L88" s="532"/>
      <c r="M88" s="533"/>
      <c r="N88" s="1154"/>
      <c r="O88" s="1154"/>
      <c r="P88" s="1431"/>
      <c r="Q88" s="1425"/>
      <c r="R88" s="1146"/>
      <c r="S88" s="1146"/>
      <c r="T88" s="1146"/>
      <c r="U88" s="1146"/>
      <c r="V88" s="1146"/>
      <c r="W88" s="1146"/>
      <c r="X88" s="1146"/>
      <c r="Y88" s="1146"/>
      <c r="Z88" s="1146"/>
      <c r="AA88" s="1146"/>
      <c r="AB88" s="1146"/>
      <c r="AC88" s="1146"/>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5"/>
      <c r="O89" s="1155"/>
      <c r="P89" s="1431"/>
      <c r="Q89" s="1425"/>
      <c r="R89" s="1146"/>
      <c r="S89" s="1146"/>
      <c r="T89" s="1146"/>
      <c r="U89" s="1146"/>
      <c r="V89" s="1146"/>
      <c r="W89" s="1146"/>
      <c r="X89" s="1146"/>
      <c r="Y89" s="1146"/>
      <c r="Z89" s="1146"/>
      <c r="AA89" s="1146"/>
      <c r="AB89" s="1146"/>
      <c r="AC89" s="1146"/>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6"/>
      <c r="O90" s="1156"/>
      <c r="P90" s="1432"/>
      <c r="Q90" s="1433"/>
      <c r="R90" s="1434"/>
      <c r="S90" s="1434"/>
      <c r="T90" s="1434"/>
      <c r="U90" s="1434"/>
      <c r="V90" s="1434"/>
      <c r="W90" s="1434"/>
      <c r="X90" s="1434"/>
      <c r="Y90" s="1434"/>
      <c r="Z90" s="1434"/>
      <c r="AA90" s="1434"/>
      <c r="AB90" s="1434"/>
      <c r="AC90" s="1434"/>
    </row>
    <row r="91" spans="1:29" s="471" customFormat="1">
      <c r="A91" s="593"/>
      <c r="B91" s="546"/>
      <c r="C91" s="595"/>
      <c r="D91" s="595"/>
      <c r="E91" s="595"/>
      <c r="F91" s="595"/>
      <c r="G91" s="595"/>
      <c r="H91" s="595"/>
      <c r="I91" s="595"/>
      <c r="J91" s="596"/>
      <c r="K91" s="596"/>
      <c r="L91" s="597"/>
      <c r="M91" s="598"/>
      <c r="N91" s="1156"/>
      <c r="O91" s="1156"/>
      <c r="P91" s="1432"/>
      <c r="Q91" s="1433"/>
      <c r="R91" s="1434"/>
      <c r="S91" s="1434"/>
      <c r="T91" s="1434"/>
      <c r="U91" s="1434"/>
      <c r="V91" s="1434"/>
      <c r="W91" s="1434"/>
      <c r="X91" s="1434"/>
      <c r="Y91" s="1434"/>
      <c r="Z91" s="1434"/>
      <c r="AA91" s="1434"/>
      <c r="AB91" s="1434"/>
      <c r="AC91" s="1434"/>
    </row>
    <row r="92" spans="1:29" s="471" customFormat="1" ht="15.75" thickBot="1">
      <c r="A92" s="553"/>
      <c r="B92" s="543"/>
      <c r="C92" s="560"/>
      <c r="D92" s="536"/>
      <c r="E92" s="536"/>
      <c r="F92" s="536"/>
      <c r="G92" s="536"/>
      <c r="H92" s="536"/>
      <c r="I92" s="536"/>
      <c r="J92" s="536"/>
      <c r="K92" s="536"/>
      <c r="L92" s="536"/>
      <c r="M92" s="537"/>
      <c r="N92" s="1156"/>
      <c r="O92" s="1156"/>
      <c r="P92" s="1432"/>
      <c r="Q92" s="1433"/>
      <c r="R92" s="1434"/>
      <c r="S92" s="1434"/>
      <c r="T92" s="1434"/>
      <c r="U92" s="1434"/>
      <c r="V92" s="1434"/>
      <c r="W92" s="1434"/>
      <c r="X92" s="1434"/>
      <c r="Y92" s="1434"/>
      <c r="Z92" s="1434"/>
      <c r="AA92" s="1434"/>
      <c r="AB92" s="1434"/>
      <c r="AC92" s="1434"/>
    </row>
    <row r="93" spans="1:29" ht="15" thickTop="1">
      <c r="A93" s="599"/>
      <c r="B93" s="538" t="s">
        <v>2723</v>
      </c>
      <c r="C93" s="554"/>
      <c r="D93" s="554"/>
      <c r="E93" s="583"/>
      <c r="F93" s="583"/>
      <c r="G93" s="583"/>
      <c r="H93" s="583"/>
      <c r="I93" s="583"/>
      <c r="J93" s="583"/>
      <c r="K93" s="584"/>
      <c r="L93" s="585"/>
      <c r="M93" s="586"/>
      <c r="N93" s="1154"/>
      <c r="O93" s="1154"/>
      <c r="P93" s="1431"/>
      <c r="Q93" s="1425"/>
      <c r="R93" s="1146"/>
      <c r="S93" s="1146"/>
      <c r="T93" s="1146"/>
      <c r="U93" s="1146"/>
      <c r="V93" s="1146"/>
      <c r="W93" s="1146"/>
      <c r="X93" s="1146"/>
      <c r="Y93" s="1146"/>
      <c r="Z93" s="1146"/>
      <c r="AA93" s="1146"/>
      <c r="AB93" s="1146"/>
      <c r="AC93" s="1146"/>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9"/>
      <c r="B95" s="538" t="s">
        <v>2724</v>
      </c>
      <c r="C95" s="530"/>
      <c r="D95" s="530"/>
      <c r="E95" s="530"/>
      <c r="F95" s="530"/>
      <c r="G95" s="530"/>
      <c r="H95" s="530"/>
      <c r="I95" s="530"/>
      <c r="J95" s="530"/>
      <c r="K95" s="531"/>
      <c r="L95" s="532"/>
      <c r="M95" s="533"/>
      <c r="N95" s="1154"/>
      <c r="O95" s="1154"/>
      <c r="P95" s="1431"/>
      <c r="Q95" s="1425"/>
      <c r="R95" s="1146"/>
      <c r="S95" s="1146"/>
      <c r="T95" s="1146"/>
      <c r="U95" s="1146"/>
      <c r="V95" s="1146"/>
      <c r="W95" s="1146"/>
      <c r="X95" s="1146"/>
      <c r="Y95" s="1146"/>
      <c r="Z95" s="1146"/>
      <c r="AA95" s="1146"/>
      <c r="AB95" s="1146"/>
      <c r="AC95" s="1146"/>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5"/>
      <c r="O96" s="1155"/>
      <c r="P96" s="1431"/>
      <c r="Q96" s="1425"/>
      <c r="R96" s="1146"/>
      <c r="S96" s="1146"/>
      <c r="T96" s="1146"/>
      <c r="U96" s="1146"/>
      <c r="V96" s="1146"/>
      <c r="W96" s="1146"/>
      <c r="X96" s="1146"/>
      <c r="Y96" s="1146"/>
      <c r="Z96" s="1146"/>
      <c r="AA96" s="1146"/>
      <c r="AB96" s="1146"/>
      <c r="AC96" s="1146"/>
    </row>
    <row r="97" spans="1:29" ht="15" thickTop="1">
      <c r="A97" s="599"/>
      <c r="B97" s="636">
        <f>B34</f>
        <v>111</v>
      </c>
      <c r="C97" s="549"/>
      <c r="D97" s="549"/>
      <c r="E97" s="549"/>
      <c r="F97" s="549"/>
      <c r="G97" s="554"/>
      <c r="H97" s="555"/>
      <c r="I97" s="555"/>
      <c r="J97" s="555"/>
      <c r="K97" s="555"/>
      <c r="L97" s="556"/>
      <c r="M97" s="557"/>
      <c r="N97" s="1155"/>
      <c r="O97" s="1155"/>
      <c r="P97" s="1438"/>
      <c r="Q97" s="1439"/>
      <c r="R97" s="1146"/>
      <c r="S97" s="1146"/>
      <c r="T97" s="1146"/>
      <c r="U97" s="1146"/>
      <c r="V97" s="1146"/>
      <c r="W97" s="1146"/>
      <c r="X97" s="1146"/>
      <c r="Y97" s="1146"/>
      <c r="Z97" s="1146"/>
      <c r="AA97" s="1146"/>
      <c r="AB97" s="1146"/>
      <c r="AC97" s="1146"/>
    </row>
    <row r="98" spans="1:29" ht="15.75" thickBot="1">
      <c r="A98" s="534"/>
      <c r="B98" s="543"/>
      <c r="C98" s="560"/>
      <c r="D98" s="536"/>
      <c r="E98" s="536"/>
      <c r="F98" s="536"/>
      <c r="G98" s="560"/>
      <c r="H98" s="562"/>
      <c r="I98" s="562"/>
      <c r="J98" s="562"/>
      <c r="K98" s="562"/>
      <c r="L98" s="562"/>
      <c r="M98" s="563"/>
      <c r="N98" s="1155"/>
      <c r="O98" s="1155"/>
      <c r="P98" s="1431"/>
      <c r="Q98" s="1425"/>
      <c r="R98" s="1146"/>
      <c r="S98" s="1146"/>
      <c r="T98" s="1146"/>
      <c r="U98" s="1146"/>
      <c r="V98" s="1146"/>
      <c r="W98" s="1146"/>
      <c r="X98" s="1146"/>
      <c r="Y98" s="1146"/>
      <c r="Z98" s="1146"/>
      <c r="AA98" s="1146"/>
      <c r="AB98" s="1146"/>
      <c r="AC98" s="1146"/>
    </row>
    <row r="99" spans="1:29" s="471" customFormat="1" ht="15" thickTop="1">
      <c r="A99" s="593"/>
      <c r="B99" s="538">
        <f>B35</f>
        <v>111</v>
      </c>
      <c r="C99" s="549"/>
      <c r="D99" s="549"/>
      <c r="E99" s="549"/>
      <c r="F99" s="549"/>
      <c r="G99" s="554"/>
      <c r="H99" s="555"/>
      <c r="I99" s="555"/>
      <c r="J99" s="555"/>
      <c r="K99" s="555"/>
      <c r="L99" s="556"/>
      <c r="M99" s="557"/>
      <c r="N99" s="1156"/>
      <c r="O99" s="1156"/>
      <c r="P99" s="1432"/>
      <c r="Q99" s="1433"/>
      <c r="R99" s="1434"/>
      <c r="S99" s="1434"/>
      <c r="T99" s="1434"/>
      <c r="U99" s="1434"/>
      <c r="V99" s="1434"/>
      <c r="W99" s="1434"/>
      <c r="X99" s="1434"/>
      <c r="Y99" s="1434"/>
      <c r="Z99" s="1434"/>
      <c r="AA99" s="1434"/>
      <c r="AB99" s="1434"/>
      <c r="AC99" s="1434"/>
    </row>
    <row r="100" spans="1:29" s="471" customFormat="1" ht="15.75" thickBot="1">
      <c r="A100" s="553"/>
      <c r="B100" s="535"/>
      <c r="C100" s="560"/>
      <c r="D100" s="536"/>
      <c r="E100" s="536"/>
      <c r="F100" s="536"/>
      <c r="G100" s="560"/>
      <c r="H100" s="562"/>
      <c r="I100" s="562"/>
      <c r="J100" s="562"/>
      <c r="K100" s="562"/>
      <c r="L100" s="562"/>
      <c r="M100" s="563"/>
      <c r="N100" s="1156"/>
      <c r="O100" s="1156"/>
      <c r="P100" s="1432"/>
      <c r="Q100" s="1433"/>
      <c r="R100" s="1434"/>
      <c r="S100" s="1434"/>
      <c r="T100" s="1434"/>
      <c r="U100" s="1434"/>
      <c r="V100" s="1434"/>
      <c r="W100" s="1434"/>
      <c r="X100" s="1434"/>
      <c r="Y100" s="1434"/>
      <c r="Z100" s="1434"/>
      <c r="AA100" s="1434"/>
      <c r="AB100" s="1434"/>
      <c r="AC100" s="1434"/>
    </row>
    <row r="101" spans="1:29" ht="15" thickTop="1">
      <c r="A101" s="599"/>
      <c r="B101" s="538">
        <f>B36</f>
        <v>111</v>
      </c>
      <c r="C101" s="554"/>
      <c r="D101" s="554"/>
      <c r="E101" s="554"/>
      <c r="F101" s="554"/>
      <c r="G101" s="554"/>
      <c r="H101" s="555"/>
      <c r="I101" s="555"/>
      <c r="J101" s="555"/>
      <c r="K101" s="555"/>
      <c r="L101" s="556"/>
      <c r="M101" s="557"/>
      <c r="N101" s="1154"/>
      <c r="O101" s="1154"/>
      <c r="P101" s="1431"/>
      <c r="Q101" s="1425"/>
      <c r="R101" s="1146"/>
      <c r="S101" s="1146"/>
      <c r="T101" s="1146"/>
      <c r="U101" s="1146"/>
      <c r="V101" s="1146"/>
      <c r="W101" s="1146"/>
      <c r="X101" s="1146"/>
      <c r="Y101" s="1146"/>
      <c r="Z101" s="1146"/>
      <c r="AA101" s="1146"/>
      <c r="AB101" s="1146"/>
      <c r="AC101" s="1146"/>
    </row>
    <row r="102" spans="1:29" ht="15.75" thickBot="1">
      <c r="A102" s="534"/>
      <c r="B102" s="543"/>
      <c r="C102" s="560"/>
      <c r="D102" s="560"/>
      <c r="E102" s="560"/>
      <c r="F102" s="560"/>
      <c r="G102" s="560"/>
      <c r="H102" s="562"/>
      <c r="I102" s="562"/>
      <c r="J102" s="562"/>
      <c r="K102" s="562"/>
      <c r="L102" s="562"/>
      <c r="M102" s="563"/>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1" priority="14" stopIfTrue="1" operator="containsText" text="超过">
      <formula>NOT(ISERROR(SEARCH("超过",F42)))</formula>
    </cfRule>
  </conditionalFormatting>
  <conditionalFormatting sqref="J44">
    <cfRule type="containsText" dxfId="70" priority="13" stopIfTrue="1" operator="containsText" text="超过">
      <formula>NOT(ISERROR(SEARCH("超过",J44)))</formula>
    </cfRule>
  </conditionalFormatting>
  <conditionalFormatting sqref="H44">
    <cfRule type="containsText" dxfId="69" priority="12" stopIfTrue="1" operator="containsText" text="超过">
      <formula>NOT(ISERROR(SEARCH("超过",H44)))</formula>
    </cfRule>
  </conditionalFormatting>
  <conditionalFormatting sqref="F44">
    <cfRule type="containsText" dxfId="68" priority="11" stopIfTrue="1" operator="containsText" text="超过">
      <formula>NOT(ISERROR(SEARCH("超过",F44)))</formula>
    </cfRule>
  </conditionalFormatting>
  <conditionalFormatting sqref="F43 H43 J43">
    <cfRule type="containsText" dxfId="67" priority="10" stopIfTrue="1" operator="containsText" text="超过">
      <formula>NOT(ISERROR(SEARCH("超过",F43)))</formula>
    </cfRule>
  </conditionalFormatting>
  <conditionalFormatting sqref="E42">
    <cfRule type="expression" dxfId="66" priority="9" stopIfTrue="1">
      <formula>$F$42="超过30%"</formula>
    </cfRule>
  </conditionalFormatting>
  <conditionalFormatting sqref="G44">
    <cfRule type="expression" dxfId="65" priority="8" stopIfTrue="1">
      <formula>$H$54+$H$44="超过30%"</formula>
    </cfRule>
  </conditionalFormatting>
  <conditionalFormatting sqref="E43">
    <cfRule type="expression" dxfId="64" priority="7" stopIfTrue="1">
      <formula>$F$43="超过20%"</formula>
    </cfRule>
  </conditionalFormatting>
  <conditionalFormatting sqref="E44">
    <cfRule type="expression" dxfId="63" priority="6" stopIfTrue="1">
      <formula>$F$44="超过30%"</formula>
    </cfRule>
  </conditionalFormatting>
  <conditionalFormatting sqref="G42">
    <cfRule type="expression" dxfId="62" priority="5" stopIfTrue="1">
      <formula>$H$52+$H$42="超过30%"</formula>
    </cfRule>
  </conditionalFormatting>
  <conditionalFormatting sqref="G43">
    <cfRule type="expression" dxfId="61" priority="4" stopIfTrue="1">
      <formula>$H$43="超过20%"</formula>
    </cfRule>
  </conditionalFormatting>
  <conditionalFormatting sqref="I42">
    <cfRule type="expression" dxfId="60" priority="3" stopIfTrue="1">
      <formula>$J$52+$J$42="超过30%"</formula>
    </cfRule>
  </conditionalFormatting>
  <conditionalFormatting sqref="I43">
    <cfRule type="expression" dxfId="59" priority="2" stopIfTrue="1">
      <formula>$J$53+$J$43="超过20%"</formula>
    </cfRule>
  </conditionalFormatting>
  <conditionalFormatting sqref="I44">
    <cfRule type="expression" dxfId="5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2695</v>
      </c>
      <c r="B1" s="1621"/>
      <c r="C1" s="1622" t="s">
        <v>2518</v>
      </c>
      <c r="D1" s="1623"/>
      <c r="E1" s="1632"/>
      <c r="F1" s="2580"/>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t="e">
        <f ca="1">IF(C2="——",ROUND(C37*D3/10000,0),ROUND(C37*D3/10000,0)-D2)</f>
        <v>#DIV/0!</v>
      </c>
      <c r="C2" s="2582"/>
      <c r="D2" s="1126" t="e">
        <f ca="1">SUMIF(INDIRECT("'"&amp;F2&amp;"'"&amp;"!A:A"),"承租人权益价值",INDIRECT("'"&amp;F2&amp;"'"&amp;"!c:c"))</f>
        <v>#REF!</v>
      </c>
      <c r="E2" s="2583" t="s">
        <v>2316</v>
      </c>
      <c r="F2" s="2584"/>
      <c r="G2" s="1127"/>
      <c r="H2" s="1127"/>
      <c r="I2" s="1127"/>
      <c r="J2" s="1127"/>
      <c r="K2" s="1129"/>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2317</v>
      </c>
      <c r="B3" s="609" t="e">
        <f ca="1">IF(C2="——",C37,ROUND(B2*10000/D3,0))</f>
        <v>#DIV/0!</v>
      </c>
      <c r="C3" s="400" t="s">
        <v>2632</v>
      </c>
      <c r="D3" s="399">
        <f>SUMIF('数据-汇总表'!$C19:$C33,D1,'数据-汇总表'!$E19:$E33)</f>
        <v>0</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2633</v>
      </c>
      <c r="B4" s="402"/>
      <c r="C4" s="3212" t="s">
        <v>2634</v>
      </c>
      <c r="D4" s="3213"/>
      <c r="E4" s="3214" t="s">
        <v>2635</v>
      </c>
      <c r="F4" s="3215"/>
      <c r="G4" s="3212" t="s">
        <v>2636</v>
      </c>
      <c r="H4" s="3213"/>
      <c r="I4" s="3212" t="s">
        <v>2637</v>
      </c>
      <c r="J4" s="3213"/>
      <c r="K4" s="610" t="s">
        <v>2638</v>
      </c>
      <c r="L4" s="1132"/>
      <c r="M4" s="1133"/>
      <c r="N4" s="1133"/>
      <c r="O4" s="1133"/>
      <c r="P4" s="3216" t="s">
        <v>2639</v>
      </c>
      <c r="Q4" s="3217"/>
      <c r="R4" s="3199" t="s">
        <v>2635</v>
      </c>
      <c r="S4" s="3200"/>
      <c r="T4" s="3199" t="s">
        <v>2636</v>
      </c>
      <c r="U4" s="3200"/>
      <c r="V4" s="3224" t="s">
        <v>2637</v>
      </c>
      <c r="W4" s="3224"/>
      <c r="X4" s="1815"/>
      <c r="Y4" s="3199" t="s">
        <v>2639</v>
      </c>
      <c r="Z4" s="3200"/>
      <c r="AA4" s="3194" t="s">
        <v>2635</v>
      </c>
      <c r="AB4" s="3195" t="s">
        <v>2636</v>
      </c>
      <c r="AC4" s="3194" t="s">
        <v>2637</v>
      </c>
    </row>
    <row r="5" spans="1:29" ht="15">
      <c r="A5" s="404"/>
      <c r="B5" s="405"/>
      <c r="C5" s="3205" t="s">
        <v>2530</v>
      </c>
      <c r="D5" s="3206"/>
      <c r="E5" s="3203" t="s">
        <v>2531</v>
      </c>
      <c r="F5" s="3204"/>
      <c r="G5" s="3205" t="s">
        <v>2532</v>
      </c>
      <c r="H5" s="3206"/>
      <c r="I5" s="3205" t="s">
        <v>2533</v>
      </c>
      <c r="J5" s="3206"/>
      <c r="K5" s="610"/>
      <c r="L5" s="1132"/>
      <c r="M5" s="1133"/>
      <c r="N5" s="1133"/>
      <c r="O5" s="1133"/>
      <c r="P5" s="3218"/>
      <c r="Q5" s="3219"/>
      <c r="R5" s="3201"/>
      <c r="S5" s="3202"/>
      <c r="T5" s="3201"/>
      <c r="U5" s="3202"/>
      <c r="V5" s="3224"/>
      <c r="W5" s="3224"/>
      <c r="X5" s="1815"/>
      <c r="Y5" s="3201"/>
      <c r="Z5" s="3202"/>
      <c r="AA5" s="3195"/>
      <c r="AB5" s="3195"/>
      <c r="AC5" s="3195"/>
    </row>
    <row r="6" spans="1:29" ht="15.75" thickBot="1">
      <c r="A6" s="406"/>
      <c r="B6" s="407"/>
      <c r="C6" s="3207" t="s">
        <v>2534</v>
      </c>
      <c r="D6" s="3208"/>
      <c r="E6" s="3209" t="s">
        <v>2534</v>
      </c>
      <c r="F6" s="3210"/>
      <c r="G6" s="3207" t="s">
        <v>2534</v>
      </c>
      <c r="H6" s="3208"/>
      <c r="I6" s="3207" t="s">
        <v>2534</v>
      </c>
      <c r="J6" s="3208"/>
      <c r="K6" s="610" t="s">
        <v>2535</v>
      </c>
      <c r="L6" s="1132"/>
      <c r="M6" s="1133"/>
      <c r="N6" s="1133"/>
      <c r="O6" s="1133"/>
      <c r="P6" s="3220"/>
      <c r="Q6" s="3221"/>
      <c r="R6" s="3201"/>
      <c r="S6" s="3202"/>
      <c r="T6" s="3222"/>
      <c r="U6" s="3223"/>
      <c r="V6" s="3224"/>
      <c r="W6" s="3224"/>
      <c r="X6" s="1815"/>
      <c r="Y6" s="3222"/>
      <c r="Z6" s="3223"/>
      <c r="AA6" s="3196"/>
      <c r="AB6" s="3196"/>
      <c r="AC6" s="3196"/>
    </row>
    <row r="7" spans="1:29" s="117" customFormat="1" ht="15.75" thickBot="1">
      <c r="A7" s="408" t="s">
        <v>2536</v>
      </c>
      <c r="B7" s="409"/>
      <c r="C7" s="410">
        <f>'数据-取费表'!B2</f>
        <v>43165</v>
      </c>
      <c r="D7" s="411">
        <v>100</v>
      </c>
      <c r="E7" s="412"/>
      <c r="F7" s="413">
        <f>SUMIF(46:46,YEAR(E7)&amp;"-"&amp;MONTH(E7),47:47)</f>
        <v>0</v>
      </c>
      <c r="G7" s="2692"/>
      <c r="H7" s="411">
        <f>SUMIF(46:46,YEAR(G7)&amp;"-"&amp;MONTH(G7),47:47)</f>
        <v>0</v>
      </c>
      <c r="I7" s="412"/>
      <c r="J7" s="411">
        <f>SUMIF(46:46,YEAR(I7)&amp;"-"&amp;MONTH(I7),47:47)</f>
        <v>0</v>
      </c>
      <c r="K7" s="611"/>
      <c r="L7" s="1134"/>
      <c r="M7" s="1135"/>
      <c r="N7" s="1135"/>
      <c r="O7" s="1135"/>
      <c r="P7" s="3197" t="s">
        <v>2537</v>
      </c>
      <c r="Q7" s="3225"/>
      <c r="R7" s="770" t="s">
        <v>17</v>
      </c>
      <c r="S7" s="771">
        <f t="shared" ref="S7:S14" si="0">F7</f>
        <v>0</v>
      </c>
      <c r="T7" s="770" t="s">
        <v>17</v>
      </c>
      <c r="U7" s="771">
        <f t="shared" ref="U7:U14" si="1">H7</f>
        <v>0</v>
      </c>
      <c r="V7" s="770" t="s">
        <v>17</v>
      </c>
      <c r="W7" s="771">
        <f t="shared" ref="W7:W14" si="2">J7</f>
        <v>0</v>
      </c>
      <c r="X7" s="772"/>
      <c r="Y7" s="3197" t="s">
        <v>2537</v>
      </c>
      <c r="Z7" s="3198"/>
      <c r="AA7" s="773" t="e">
        <f>D7/F7</f>
        <v>#DIV/0!</v>
      </c>
      <c r="AB7" s="773" t="e">
        <f>D7/H7</f>
        <v>#DIV/0!</v>
      </c>
      <c r="AC7" s="773"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4"/>
      <c r="M8" s="1135"/>
      <c r="N8" s="1135"/>
      <c r="O8" s="1135"/>
      <c r="P8" s="3197" t="s">
        <v>2540</v>
      </c>
      <c r="Q8" s="3198"/>
      <c r="R8" s="770" t="s">
        <v>17</v>
      </c>
      <c r="S8" s="771">
        <f t="shared" si="0"/>
        <v>0</v>
      </c>
      <c r="T8" s="770" t="s">
        <v>17</v>
      </c>
      <c r="U8" s="771">
        <f t="shared" si="1"/>
        <v>0</v>
      </c>
      <c r="V8" s="770" t="s">
        <v>17</v>
      </c>
      <c r="W8" s="771">
        <f t="shared" si="2"/>
        <v>0</v>
      </c>
      <c r="X8" s="772"/>
      <c r="Y8" s="3197" t="s">
        <v>2540</v>
      </c>
      <c r="Z8" s="3198"/>
      <c r="AA8" s="773" t="e">
        <f t="shared" ref="AA8:AA34" si="3">D8/F8</f>
        <v>#DIV/0!</v>
      </c>
      <c r="AB8" s="773" t="e">
        <f t="shared" ref="AB8:AB34" si="4">D8/H8</f>
        <v>#DIV/0!</v>
      </c>
      <c r="AC8" s="773"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4"/>
      <c r="M9" s="1135"/>
      <c r="N9" s="1135"/>
      <c r="O9" s="1136"/>
      <c r="P9" s="3229" t="s">
        <v>2543</v>
      </c>
      <c r="Q9" s="1797" t="str">
        <f t="shared" ref="Q9:Q14" si="6">B9</f>
        <v>用途</v>
      </c>
      <c r="R9" s="770" t="s">
        <v>17</v>
      </c>
      <c r="S9" s="771">
        <f t="shared" si="0"/>
        <v>100</v>
      </c>
      <c r="T9" s="770" t="s">
        <v>17</v>
      </c>
      <c r="U9" s="771">
        <f t="shared" si="1"/>
        <v>100</v>
      </c>
      <c r="V9" s="770" t="s">
        <v>17</v>
      </c>
      <c r="W9" s="771">
        <f t="shared" si="2"/>
        <v>100</v>
      </c>
      <c r="X9" s="772"/>
      <c r="Y9" s="3024" t="s">
        <v>2544</v>
      </c>
      <c r="Z9" s="55" t="str">
        <f t="shared" ref="Z9:Z14" si="7">Q9</f>
        <v>用途</v>
      </c>
      <c r="AA9" s="773">
        <f t="shared" si="3"/>
        <v>1</v>
      </c>
      <c r="AB9" s="773">
        <f t="shared" si="4"/>
        <v>1</v>
      </c>
      <c r="AC9" s="773">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7"/>
      <c r="M10" s="1138"/>
      <c r="N10" s="1138"/>
      <c r="O10" s="1139"/>
      <c r="P10" s="3229"/>
      <c r="Q10" s="1797" t="str">
        <f t="shared" si="6"/>
        <v>土地使用年限（年）</v>
      </c>
      <c r="R10" s="770" t="s">
        <v>17</v>
      </c>
      <c r="S10" s="771">
        <f t="shared" si="0"/>
        <v>100</v>
      </c>
      <c r="T10" s="770" t="s">
        <v>17</v>
      </c>
      <c r="U10" s="771">
        <f t="shared" si="1"/>
        <v>100</v>
      </c>
      <c r="V10" s="770" t="s">
        <v>17</v>
      </c>
      <c r="W10" s="771">
        <f t="shared" si="2"/>
        <v>100</v>
      </c>
      <c r="X10" s="772"/>
      <c r="Y10" s="3024"/>
      <c r="Z10" s="55" t="str">
        <f t="shared" si="7"/>
        <v>土地使用年限（年）</v>
      </c>
      <c r="AA10" s="773">
        <f t="shared" si="3"/>
        <v>1</v>
      </c>
      <c r="AB10" s="773">
        <f t="shared" si="4"/>
        <v>1</v>
      </c>
      <c r="AC10" s="773">
        <f t="shared" si="5"/>
        <v>1</v>
      </c>
    </row>
    <row r="11" spans="1:29" ht="15">
      <c r="A11" s="428"/>
      <c r="B11" s="2596">
        <v>111</v>
      </c>
      <c r="C11" s="432"/>
      <c r="D11" s="136">
        <v>100</v>
      </c>
      <c r="E11" s="469"/>
      <c r="F11" s="425">
        <f>SUMIF(55:55,E11,56:56)-SUMIF(55:55,C11,56:56)+100</f>
        <v>100</v>
      </c>
      <c r="G11" s="469"/>
      <c r="H11" s="136">
        <f>SUMIF(55:55,G11,56:56)-SUMIF(55:55,C11,56:56)+100</f>
        <v>100</v>
      </c>
      <c r="I11" s="469"/>
      <c r="J11" s="136">
        <f>SUMIF(55:55,I11,56:56)-SUMIF(55:55,C11,56:56)+100</f>
        <v>100</v>
      </c>
      <c r="K11" s="613"/>
      <c r="L11" s="1140"/>
      <c r="M11" s="1133"/>
      <c r="N11" s="1133"/>
      <c r="O11" s="1141"/>
      <c r="P11" s="3229"/>
      <c r="Q11" s="1797">
        <f t="shared" si="6"/>
        <v>111</v>
      </c>
      <c r="R11" s="770" t="s">
        <v>17</v>
      </c>
      <c r="S11" s="771">
        <f t="shared" si="0"/>
        <v>100</v>
      </c>
      <c r="T11" s="770" t="s">
        <v>17</v>
      </c>
      <c r="U11" s="771">
        <f t="shared" si="1"/>
        <v>100</v>
      </c>
      <c r="V11" s="770" t="s">
        <v>17</v>
      </c>
      <c r="W11" s="771">
        <f t="shared" si="2"/>
        <v>100</v>
      </c>
      <c r="X11" s="772"/>
      <c r="Y11" s="3024"/>
      <c r="Z11" s="55">
        <f t="shared" si="7"/>
        <v>111</v>
      </c>
      <c r="AA11" s="773">
        <f t="shared" si="3"/>
        <v>1</v>
      </c>
      <c r="AB11" s="773">
        <f t="shared" si="4"/>
        <v>1</v>
      </c>
      <c r="AC11" s="773">
        <f t="shared" si="5"/>
        <v>1</v>
      </c>
    </row>
    <row r="12" spans="1:29" s="117" customFormat="1" ht="15">
      <c r="A12" s="431"/>
      <c r="B12" s="2596">
        <v>111</v>
      </c>
      <c r="C12" s="432"/>
      <c r="D12" s="433">
        <v>100</v>
      </c>
      <c r="E12" s="469"/>
      <c r="F12" s="425">
        <f>SUMIF(57:57,E12,58:58)-SUMIF(57:57,C12,58:58)+100</f>
        <v>100</v>
      </c>
      <c r="G12" s="469"/>
      <c r="H12" s="136">
        <f>SUMIF(57:57,G12,58:58)-SUMIF(57:57,C12,58:58)+100</f>
        <v>100</v>
      </c>
      <c r="I12" s="469"/>
      <c r="J12" s="136">
        <f>SUMIF(57:57,I12,58:58)-SUMIF(57:57,C12,58:58)+100</f>
        <v>100</v>
      </c>
      <c r="K12" s="613"/>
      <c r="L12" s="1134"/>
      <c r="M12" s="1135"/>
      <c r="N12" s="1135"/>
      <c r="O12" s="1136"/>
      <c r="P12" s="3229"/>
      <c r="Q12" s="1797">
        <f t="shared" si="6"/>
        <v>111</v>
      </c>
      <c r="R12" s="770" t="s">
        <v>17</v>
      </c>
      <c r="S12" s="771">
        <f t="shared" si="0"/>
        <v>100</v>
      </c>
      <c r="T12" s="770" t="s">
        <v>17</v>
      </c>
      <c r="U12" s="771">
        <f t="shared" si="1"/>
        <v>100</v>
      </c>
      <c r="V12" s="770" t="s">
        <v>17</v>
      </c>
      <c r="W12" s="771">
        <f t="shared" si="2"/>
        <v>100</v>
      </c>
      <c r="X12" s="772"/>
      <c r="Y12" s="3024"/>
      <c r="Z12" s="55">
        <f t="shared" si="7"/>
        <v>111</v>
      </c>
      <c r="AA12" s="773">
        <f>D12/F12</f>
        <v>1</v>
      </c>
      <c r="AB12" s="773">
        <f>D12/H12</f>
        <v>1</v>
      </c>
      <c r="AC12" s="773">
        <f>D12/J12</f>
        <v>1</v>
      </c>
    </row>
    <row r="13" spans="1:29" ht="15.75" thickBot="1">
      <c r="A13" s="428"/>
      <c r="B13" s="2596">
        <v>111</v>
      </c>
      <c r="C13" s="434"/>
      <c r="D13" s="435">
        <v>100</v>
      </c>
      <c r="E13" s="469"/>
      <c r="F13" s="425">
        <f>SUMIF(59:59,E13,60:60)-SUMIF(59:59,C13,60:60)+100</f>
        <v>100</v>
      </c>
      <c r="G13" s="2693"/>
      <c r="H13" s="438">
        <f>SUMIF(59:59,G13,60:60)-SUMIF(59:59,C13,60:60)+100</f>
        <v>100</v>
      </c>
      <c r="I13" s="469"/>
      <c r="J13" s="435">
        <f>SUMIF(59:59,I13,60:60)-SUMIF(59:59,C13,60:60)+100</f>
        <v>100</v>
      </c>
      <c r="K13" s="613"/>
      <c r="L13" s="1142"/>
      <c r="M13" s="1133"/>
      <c r="N13" s="1133"/>
      <c r="O13" s="1141"/>
      <c r="P13" s="3229"/>
      <c r="Q13" s="1797">
        <f t="shared" si="6"/>
        <v>111</v>
      </c>
      <c r="R13" s="770" t="s">
        <v>17</v>
      </c>
      <c r="S13" s="771">
        <f t="shared" si="0"/>
        <v>100</v>
      </c>
      <c r="T13" s="770" t="s">
        <v>17</v>
      </c>
      <c r="U13" s="771">
        <f t="shared" si="1"/>
        <v>100</v>
      </c>
      <c r="V13" s="770" t="s">
        <v>17</v>
      </c>
      <c r="W13" s="771">
        <f t="shared" si="2"/>
        <v>100</v>
      </c>
      <c r="X13" s="772"/>
      <c r="Y13" s="3024"/>
      <c r="Z13" s="55">
        <f t="shared" si="7"/>
        <v>111</v>
      </c>
      <c r="AA13" s="773">
        <f t="shared" si="3"/>
        <v>1</v>
      </c>
      <c r="AB13" s="773">
        <f t="shared" si="4"/>
        <v>1</v>
      </c>
      <c r="AC13" s="773">
        <f t="shared" si="5"/>
        <v>1</v>
      </c>
    </row>
    <row r="14" spans="1:29" ht="15">
      <c r="A14" s="440" t="s">
        <v>2547</v>
      </c>
      <c r="B14" s="69" t="s">
        <v>2697</v>
      </c>
      <c r="C14" s="2689">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2"/>
      <c r="M14" s="1133"/>
      <c r="N14" s="1133"/>
      <c r="O14" s="1141"/>
      <c r="P14" s="3231" t="s">
        <v>2548</v>
      </c>
      <c r="Q14" s="1812" t="str">
        <f t="shared" si="6"/>
        <v>交通便捷度</v>
      </c>
      <c r="R14" s="774" t="s">
        <v>17</v>
      </c>
      <c r="S14" s="775">
        <f t="shared" si="0"/>
        <v>100</v>
      </c>
      <c r="T14" s="774" t="s">
        <v>17</v>
      </c>
      <c r="U14" s="775">
        <f t="shared" si="1"/>
        <v>100</v>
      </c>
      <c r="V14" s="774" t="s">
        <v>17</v>
      </c>
      <c r="W14" s="775">
        <f t="shared" si="2"/>
        <v>100</v>
      </c>
      <c r="X14" s="1815"/>
      <c r="Y14" s="3231" t="s">
        <v>2548</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2"/>
      <c r="M15" s="1133"/>
      <c r="N15" s="1133"/>
      <c r="O15" s="1141"/>
      <c r="P15" s="3232"/>
      <c r="Q15" s="1812"/>
      <c r="R15" s="774"/>
      <c r="S15" s="775"/>
      <c r="T15" s="774"/>
      <c r="U15" s="775"/>
      <c r="V15" s="774"/>
      <c r="W15" s="775"/>
      <c r="X15" s="1815"/>
      <c r="Y15" s="3232"/>
      <c r="Z15" s="1816"/>
      <c r="AA15" s="1813">
        <v>1</v>
      </c>
      <c r="AB15" s="1813">
        <v>1</v>
      </c>
      <c r="AC15" s="1813">
        <v>1</v>
      </c>
    </row>
    <row r="16" spans="1:29" ht="15">
      <c r="A16" s="428"/>
      <c r="B16" s="451" t="s">
        <v>2676</v>
      </c>
      <c r="C16" s="2603">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2"/>
      <c r="M16" s="1133"/>
      <c r="N16" s="1133"/>
      <c r="O16" s="1141"/>
      <c r="P16" s="3232"/>
      <c r="Q16" s="1812" t="str">
        <f>B16</f>
        <v>公共配套设施</v>
      </c>
      <c r="R16" s="774" t="s">
        <v>17</v>
      </c>
      <c r="S16" s="775">
        <f>F16</f>
        <v>100</v>
      </c>
      <c r="T16" s="774" t="s">
        <v>17</v>
      </c>
      <c r="U16" s="775">
        <f>H16</f>
        <v>100</v>
      </c>
      <c r="V16" s="774" t="s">
        <v>17</v>
      </c>
      <c r="W16" s="775">
        <f>J16</f>
        <v>100</v>
      </c>
      <c r="X16" s="1815"/>
      <c r="Y16" s="3232"/>
      <c r="Z16" s="1816" t="str">
        <f>Q16</f>
        <v>公共配套设施</v>
      </c>
      <c r="AA16" s="1813">
        <f t="shared" si="3"/>
        <v>1</v>
      </c>
      <c r="AB16" s="1813">
        <f t="shared" si="4"/>
        <v>1</v>
      </c>
      <c r="AC16" s="1813">
        <f t="shared" si="5"/>
        <v>1</v>
      </c>
    </row>
    <row r="17" spans="1:29" ht="15">
      <c r="A17" s="428"/>
      <c r="B17" s="456"/>
      <c r="C17" s="2604"/>
      <c r="D17" s="448"/>
      <c r="E17" s="447"/>
      <c r="F17" s="449"/>
      <c r="G17" s="447"/>
      <c r="H17" s="448"/>
      <c r="I17" s="447"/>
      <c r="J17" s="448"/>
      <c r="K17" s="615"/>
      <c r="L17" s="1142"/>
      <c r="M17" s="1133"/>
      <c r="N17" s="1133"/>
      <c r="O17" s="1141"/>
      <c r="P17" s="3232"/>
      <c r="Q17" s="1812"/>
      <c r="R17" s="774"/>
      <c r="S17" s="775"/>
      <c r="T17" s="774"/>
      <c r="U17" s="775"/>
      <c r="V17" s="774"/>
      <c r="W17" s="775"/>
      <c r="X17" s="1815"/>
      <c r="Y17" s="3232"/>
      <c r="Z17" s="1816"/>
      <c r="AA17" s="1813">
        <v>1</v>
      </c>
      <c r="AB17" s="1813">
        <v>1</v>
      </c>
      <c r="AC17" s="1813">
        <v>1</v>
      </c>
    </row>
    <row r="18" spans="1:29" ht="15">
      <c r="A18" s="428"/>
      <c r="B18" s="1386" t="s">
        <v>2677</v>
      </c>
      <c r="C18" s="2603">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2"/>
      <c r="M18" s="1133"/>
      <c r="N18" s="1133"/>
      <c r="O18" s="1141"/>
      <c r="P18" s="3232"/>
      <c r="Q18" s="1812" t="str">
        <f>B18</f>
        <v>基础设施水平</v>
      </c>
      <c r="R18" s="774" t="s">
        <v>17</v>
      </c>
      <c r="S18" s="775">
        <f>F18</f>
        <v>100</v>
      </c>
      <c r="T18" s="774" t="s">
        <v>17</v>
      </c>
      <c r="U18" s="775">
        <f>H18</f>
        <v>100</v>
      </c>
      <c r="V18" s="774" t="s">
        <v>17</v>
      </c>
      <c r="W18" s="775">
        <f>J18</f>
        <v>100</v>
      </c>
      <c r="X18" s="1815"/>
      <c r="Y18" s="3232"/>
      <c r="Z18" s="1816" t="str">
        <f>Q18</f>
        <v>基础设施水平</v>
      </c>
      <c r="AA18" s="1813">
        <f t="shared" ref="AA18" si="8">D18/F18</f>
        <v>1</v>
      </c>
      <c r="AB18" s="1813">
        <f t="shared" ref="AB18" si="9">D18/H18</f>
        <v>1</v>
      </c>
      <c r="AC18" s="1813">
        <f t="shared" ref="AC18" si="10">D18/J18</f>
        <v>1</v>
      </c>
    </row>
    <row r="19" spans="1:29" ht="15">
      <c r="A19" s="428"/>
      <c r="B19" s="1386"/>
      <c r="C19" s="2604"/>
      <c r="D19" s="450"/>
      <c r="E19" s="2604"/>
      <c r="F19" s="453"/>
      <c r="G19" s="2604"/>
      <c r="H19" s="448"/>
      <c r="I19" s="447"/>
      <c r="J19" s="448"/>
      <c r="K19" s="1385"/>
      <c r="L19" s="1142"/>
      <c r="M19" s="1133"/>
      <c r="N19" s="1133"/>
      <c r="O19" s="1141"/>
      <c r="P19" s="3232"/>
      <c r="Q19" s="1812"/>
      <c r="R19" s="774"/>
      <c r="S19" s="775"/>
      <c r="T19" s="774"/>
      <c r="U19" s="775"/>
      <c r="V19" s="774"/>
      <c r="W19" s="775"/>
      <c r="X19" s="1815"/>
      <c r="Y19" s="3232"/>
      <c r="Z19" s="1816"/>
      <c r="AA19" s="1813">
        <v>1</v>
      </c>
      <c r="AB19" s="1813">
        <v>1</v>
      </c>
      <c r="AC19" s="1813">
        <v>1</v>
      </c>
    </row>
    <row r="20" spans="1:29" ht="15">
      <c r="A20" s="428"/>
      <c r="B20" s="451" t="s">
        <v>2698</v>
      </c>
      <c r="C20" s="2603">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2"/>
      <c r="M20" s="1133"/>
      <c r="N20" s="1133"/>
      <c r="O20" s="1141"/>
      <c r="P20" s="3232"/>
      <c r="Q20" s="1812" t="str">
        <f>B20</f>
        <v>自然及人文环境</v>
      </c>
      <c r="R20" s="774" t="s">
        <v>17</v>
      </c>
      <c r="S20" s="775">
        <f>F20</f>
        <v>100</v>
      </c>
      <c r="T20" s="774" t="s">
        <v>17</v>
      </c>
      <c r="U20" s="775">
        <f>H20</f>
        <v>100</v>
      </c>
      <c r="V20" s="774" t="s">
        <v>17</v>
      </c>
      <c r="W20" s="775">
        <f>J20</f>
        <v>100</v>
      </c>
      <c r="X20" s="1815"/>
      <c r="Y20" s="3232"/>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2"/>
      <c r="M21" s="1133"/>
      <c r="N21" s="1133"/>
      <c r="O21" s="1141"/>
      <c r="P21" s="3232"/>
      <c r="Q21" s="1812"/>
      <c r="R21" s="774"/>
      <c r="S21" s="775"/>
      <c r="T21" s="774"/>
      <c r="U21" s="775"/>
      <c r="V21" s="774"/>
      <c r="W21" s="775"/>
      <c r="X21" s="1815"/>
      <c r="Y21" s="3232"/>
      <c r="Z21" s="1816"/>
      <c r="AA21" s="1813">
        <v>1</v>
      </c>
      <c r="AB21" s="1813">
        <v>1</v>
      </c>
      <c r="AC21" s="1813">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42"/>
      <c r="M22" s="1133"/>
      <c r="N22" s="1133"/>
      <c r="O22" s="1141"/>
      <c r="P22" s="3232"/>
      <c r="Q22" s="1812" t="str">
        <f>B22</f>
        <v>楼层</v>
      </c>
      <c r="R22" s="774" t="s">
        <v>17</v>
      </c>
      <c r="S22" s="775">
        <f>F22</f>
        <v>100</v>
      </c>
      <c r="T22" s="774" t="s">
        <v>17</v>
      </c>
      <c r="U22" s="775">
        <f>H22</f>
        <v>100</v>
      </c>
      <c r="V22" s="774" t="s">
        <v>17</v>
      </c>
      <c r="W22" s="775">
        <f>J22</f>
        <v>100</v>
      </c>
      <c r="X22" s="1815"/>
      <c r="Y22" s="3232"/>
      <c r="Z22" s="1816" t="str">
        <f>Q22</f>
        <v>楼层</v>
      </c>
      <c r="AA22" s="1813">
        <f t="shared" si="3"/>
        <v>1</v>
      </c>
      <c r="AB22" s="1813">
        <f t="shared" si="4"/>
        <v>1</v>
      </c>
      <c r="AC22" s="1813">
        <f t="shared" si="5"/>
        <v>1</v>
      </c>
    </row>
    <row r="23" spans="1:29" ht="15">
      <c r="A23" s="404"/>
      <c r="B23" s="2596">
        <v>111</v>
      </c>
      <c r="C23" s="432"/>
      <c r="D23" s="435">
        <v>100</v>
      </c>
      <c r="E23" s="434"/>
      <c r="F23" s="461">
        <f>SUMIF(71:71,E23,72:72)-SUMIF(71:71,C23,72:72)+100</f>
        <v>100</v>
      </c>
      <c r="G23" s="434"/>
      <c r="H23" s="435">
        <f>SUMIF(71:71,G23,72:72)-SUMIF(71:71,C23,72:72)+100</f>
        <v>100</v>
      </c>
      <c r="I23" s="434"/>
      <c r="J23" s="435">
        <f>SUMIF(71:71,I23,72:72)-SUMIF(71:71,C23,72:72)+100</f>
        <v>100</v>
      </c>
      <c r="K23" s="613"/>
      <c r="L23" s="1142"/>
      <c r="M23" s="1133"/>
      <c r="N23" s="1133"/>
      <c r="O23" s="1141"/>
      <c r="P23" s="3232"/>
      <c r="Q23" s="1812">
        <f>B23</f>
        <v>111</v>
      </c>
      <c r="R23" s="774" t="s">
        <v>17</v>
      </c>
      <c r="S23" s="775">
        <f>F23</f>
        <v>100</v>
      </c>
      <c r="T23" s="774" t="s">
        <v>17</v>
      </c>
      <c r="U23" s="775">
        <f>H23</f>
        <v>100</v>
      </c>
      <c r="V23" s="774" t="s">
        <v>17</v>
      </c>
      <c r="W23" s="775">
        <f>J23</f>
        <v>100</v>
      </c>
      <c r="X23" s="1815"/>
      <c r="Y23" s="3232"/>
      <c r="Z23" s="1816">
        <f>Q23</f>
        <v>111</v>
      </c>
      <c r="AA23" s="1813">
        <f t="shared" si="3"/>
        <v>1</v>
      </c>
      <c r="AB23" s="1813">
        <f t="shared" si="4"/>
        <v>1</v>
      </c>
      <c r="AC23" s="1813">
        <f t="shared" si="5"/>
        <v>1</v>
      </c>
    </row>
    <row r="24" spans="1:29" ht="15">
      <c r="A24" s="428"/>
      <c r="B24" s="2596">
        <v>111</v>
      </c>
      <c r="C24" s="432"/>
      <c r="D24" s="435">
        <v>100</v>
      </c>
      <c r="E24" s="434"/>
      <c r="F24" s="461">
        <f>SUMIF(73:73,E24,74:74)-SUMIF(73:73,C24,74:74)+100</f>
        <v>100</v>
      </c>
      <c r="G24" s="434"/>
      <c r="H24" s="435">
        <f>SUMIF(73:73,G24,74:74)-SUMIF(73:73,C24,74:74)+100</f>
        <v>100</v>
      </c>
      <c r="I24" s="434"/>
      <c r="J24" s="435">
        <f>SUMIF(73:73,I24,74:74)-SUMIF(73:73,C24,74:74)+100</f>
        <v>100</v>
      </c>
      <c r="K24" s="613"/>
      <c r="L24" s="1142"/>
      <c r="M24" s="1133"/>
      <c r="N24" s="1133"/>
      <c r="O24" s="1141"/>
      <c r="P24" s="3232"/>
      <c r="Q24" s="1812">
        <f t="shared" ref="Q24:Q34" si="11">B24</f>
        <v>111</v>
      </c>
      <c r="R24" s="774" t="s">
        <v>17</v>
      </c>
      <c r="S24" s="775">
        <f>F24</f>
        <v>100</v>
      </c>
      <c r="T24" s="774" t="s">
        <v>17</v>
      </c>
      <c r="U24" s="775">
        <f>H24</f>
        <v>100</v>
      </c>
      <c r="V24" s="774" t="s">
        <v>17</v>
      </c>
      <c r="W24" s="775">
        <f>J24</f>
        <v>100</v>
      </c>
      <c r="X24" s="1815"/>
      <c r="Y24" s="3232"/>
      <c r="Z24" s="1816">
        <f>Q24</f>
        <v>111</v>
      </c>
      <c r="AA24" s="1813">
        <f t="shared" si="3"/>
        <v>1</v>
      </c>
      <c r="AB24" s="1813">
        <f t="shared" si="4"/>
        <v>1</v>
      </c>
      <c r="AC24" s="1813">
        <f t="shared" si="5"/>
        <v>1</v>
      </c>
    </row>
    <row r="25" spans="1:29" s="117" customFormat="1" ht="15.75" thickBot="1">
      <c r="A25" s="431"/>
      <c r="B25" s="2596">
        <v>111</v>
      </c>
      <c r="C25" s="2694"/>
      <c r="D25" s="665">
        <v>100</v>
      </c>
      <c r="E25" s="2694"/>
      <c r="F25" s="666">
        <f>SUMIF(75:75,E25,76:76)-SUMIF(75:75,C25,76:76)+100</f>
        <v>100</v>
      </c>
      <c r="G25" s="2694"/>
      <c r="H25" s="665">
        <f>SUMIF(75:75,G25,76:76)-SUMIF(75:75,C25,76:76)+100</f>
        <v>100</v>
      </c>
      <c r="I25" s="2694"/>
      <c r="J25" s="665">
        <f>SUMIF(75:75,I25,76:76)-SUMIF(75:75,C25,76:76)+100</f>
        <v>100</v>
      </c>
      <c r="K25" s="613"/>
      <c r="L25" s="1134"/>
      <c r="M25" s="1135"/>
      <c r="N25" s="1135"/>
      <c r="O25" s="1136"/>
      <c r="P25" s="3232"/>
      <c r="Q25" s="1797">
        <f t="shared" si="11"/>
        <v>111</v>
      </c>
      <c r="R25" s="770" t="s">
        <v>17</v>
      </c>
      <c r="S25" s="771">
        <f>F25</f>
        <v>100</v>
      </c>
      <c r="T25" s="770" t="s">
        <v>17</v>
      </c>
      <c r="U25" s="771">
        <f>H25</f>
        <v>100</v>
      </c>
      <c r="V25" s="770" t="s">
        <v>17</v>
      </c>
      <c r="W25" s="771">
        <f>J25</f>
        <v>100</v>
      </c>
      <c r="X25" s="772"/>
      <c r="Y25" s="3232"/>
      <c r="Z25" s="55">
        <f>Q25</f>
        <v>111</v>
      </c>
      <c r="AA25" s="1813">
        <f>D25/F25</f>
        <v>1</v>
      </c>
      <c r="AB25" s="1813">
        <f>D25/H25</f>
        <v>1</v>
      </c>
      <c r="AC25" s="1813">
        <f>D25/J25</f>
        <v>1</v>
      </c>
    </row>
    <row r="26" spans="1:29" ht="15">
      <c r="A26" s="466" t="s">
        <v>2551</v>
      </c>
      <c r="B26" s="71" t="s">
        <v>2702</v>
      </c>
      <c r="C26" s="2675"/>
      <c r="D26" s="467">
        <v>100</v>
      </c>
      <c r="E26" s="2675"/>
      <c r="F26" s="667">
        <f>SUMIF(77:77,E26,78:78)-SUMIF(77:77,C26,78:78)+100</f>
        <v>100</v>
      </c>
      <c r="G26" s="2675"/>
      <c r="H26" s="467">
        <f>SUMIF(77:77,G26,78:78)-SUMIF(77:77,C26,78:78)+100</f>
        <v>100</v>
      </c>
      <c r="I26" s="2675"/>
      <c r="J26" s="467">
        <f>SUMIF(77:77,I26,78:78)-SUMIF(77:77,C26,78:78)+100</f>
        <v>100</v>
      </c>
      <c r="K26" s="612"/>
      <c r="L26" s="1142"/>
      <c r="M26" s="1133"/>
      <c r="N26" s="1133"/>
      <c r="O26" s="1141"/>
      <c r="P26" s="3255" t="s">
        <v>2553</v>
      </c>
      <c r="Q26" s="1812" t="str">
        <f t="shared" si="11"/>
        <v>公共部分装修</v>
      </c>
      <c r="R26" s="774" t="s">
        <v>17</v>
      </c>
      <c r="S26" s="775">
        <f t="shared" ref="S26:S34" si="12">F26</f>
        <v>100</v>
      </c>
      <c r="T26" s="774" t="s">
        <v>17</v>
      </c>
      <c r="U26" s="775">
        <f t="shared" ref="U26:U34" si="13">H26</f>
        <v>100</v>
      </c>
      <c r="V26" s="774" t="s">
        <v>17</v>
      </c>
      <c r="W26" s="775">
        <f t="shared" ref="W26:W34" si="14">J26</f>
        <v>100</v>
      </c>
      <c r="X26" s="1815"/>
      <c r="Y26" s="3236" t="s">
        <v>2553</v>
      </c>
      <c r="Z26" s="1816" t="str">
        <f t="shared" ref="Z26:Z34" si="15">Q26</f>
        <v>公共部分装修</v>
      </c>
      <c r="AA26" s="1813">
        <f t="shared" si="3"/>
        <v>1</v>
      </c>
      <c r="AB26" s="1813">
        <f t="shared" si="4"/>
        <v>1</v>
      </c>
      <c r="AC26" s="1813">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0"/>
      <c r="M27" s="1143"/>
      <c r="N27" s="1143"/>
      <c r="O27" s="1144"/>
      <c r="P27" s="3236"/>
      <c r="Q27" s="776" t="str">
        <f t="shared" si="11"/>
        <v>成新率</v>
      </c>
      <c r="R27" s="777" t="s">
        <v>17</v>
      </c>
      <c r="S27" s="778" t="e">
        <f t="shared" si="12"/>
        <v>#N/A</v>
      </c>
      <c r="T27" s="777" t="s">
        <v>17</v>
      </c>
      <c r="U27" s="778" t="e">
        <f t="shared" si="13"/>
        <v>#N/A</v>
      </c>
      <c r="V27" s="777" t="s">
        <v>17</v>
      </c>
      <c r="W27" s="778" t="e">
        <f t="shared" si="14"/>
        <v>#N/A</v>
      </c>
      <c r="X27" s="779"/>
      <c r="Y27" s="3236"/>
      <c r="Z27" s="780" t="str">
        <f t="shared" si="15"/>
        <v>成新率</v>
      </c>
      <c r="AA27" s="1813" t="e">
        <f t="shared" si="3"/>
        <v>#N/A</v>
      </c>
      <c r="AB27" s="1813" t="e">
        <f t="shared" si="4"/>
        <v>#N/A</v>
      </c>
      <c r="AC27" s="1813"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42"/>
      <c r="M28" s="1133"/>
      <c r="N28" s="1133"/>
      <c r="O28" s="1141"/>
      <c r="P28" s="3236"/>
      <c r="Q28" s="1812" t="str">
        <f t="shared" si="11"/>
        <v>物业等级</v>
      </c>
      <c r="R28" s="774" t="s">
        <v>17</v>
      </c>
      <c r="S28" s="775">
        <f t="shared" si="12"/>
        <v>100</v>
      </c>
      <c r="T28" s="774" t="s">
        <v>17</v>
      </c>
      <c r="U28" s="775">
        <f t="shared" si="13"/>
        <v>100</v>
      </c>
      <c r="V28" s="774" t="s">
        <v>17</v>
      </c>
      <c r="W28" s="775">
        <f t="shared" si="14"/>
        <v>100</v>
      </c>
      <c r="X28" s="1815"/>
      <c r="Y28" s="3236"/>
      <c r="Z28" s="1816" t="str">
        <f t="shared" si="15"/>
        <v>物业等级</v>
      </c>
      <c r="AA28" s="1813">
        <f t="shared" si="3"/>
        <v>1</v>
      </c>
      <c r="AB28" s="1813">
        <f t="shared" si="4"/>
        <v>1</v>
      </c>
      <c r="AC28" s="1813">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42"/>
      <c r="M29" s="1133"/>
      <c r="N29" s="1133"/>
      <c r="O29" s="1141"/>
      <c r="P29" s="3236"/>
      <c r="Q29" s="1812" t="str">
        <f t="shared" si="11"/>
        <v>有无电梯</v>
      </c>
      <c r="R29" s="774" t="s">
        <v>17</v>
      </c>
      <c r="S29" s="775">
        <f t="shared" si="12"/>
        <v>100</v>
      </c>
      <c r="T29" s="774" t="s">
        <v>17</v>
      </c>
      <c r="U29" s="775">
        <f t="shared" si="13"/>
        <v>100</v>
      </c>
      <c r="V29" s="774" t="s">
        <v>17</v>
      </c>
      <c r="W29" s="775">
        <f t="shared" si="14"/>
        <v>100</v>
      </c>
      <c r="X29" s="1815"/>
      <c r="Y29" s="3236"/>
      <c r="Z29" s="1816" t="str">
        <f t="shared" si="15"/>
        <v>有无电梯</v>
      </c>
      <c r="AA29" s="1813">
        <f t="shared" si="3"/>
        <v>1</v>
      </c>
      <c r="AB29" s="1813">
        <f t="shared" si="4"/>
        <v>1</v>
      </c>
      <c r="AC29" s="1813">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2"/>
      <c r="M30" s="1133"/>
      <c r="N30" s="1133"/>
      <c r="O30" s="1141"/>
      <c r="P30" s="3236"/>
      <c r="Q30" s="1812" t="str">
        <f t="shared" si="11"/>
        <v>建筑面积</v>
      </c>
      <c r="R30" s="774" t="s">
        <v>17</v>
      </c>
      <c r="S30" s="775" t="e">
        <f t="shared" si="12"/>
        <v>#N/A</v>
      </c>
      <c r="T30" s="774" t="s">
        <v>17</v>
      </c>
      <c r="U30" s="775" t="e">
        <f t="shared" si="13"/>
        <v>#N/A</v>
      </c>
      <c r="V30" s="774" t="s">
        <v>17</v>
      </c>
      <c r="W30" s="775" t="e">
        <f t="shared" si="14"/>
        <v>#N/A</v>
      </c>
      <c r="X30" s="1815"/>
      <c r="Y30" s="3236"/>
      <c r="Z30" s="1816" t="str">
        <f t="shared" si="15"/>
        <v>建筑面积</v>
      </c>
      <c r="AA30" s="1813" t="e">
        <f t="shared" si="3"/>
        <v>#N/A</v>
      </c>
      <c r="AB30" s="1813" t="e">
        <f t="shared" si="4"/>
        <v>#N/A</v>
      </c>
      <c r="AC30" s="1813"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4"/>
      <c r="M31" s="1135"/>
      <c r="N31" s="1135"/>
      <c r="O31" s="1136"/>
      <c r="P31" s="3236"/>
      <c r="Q31" s="1797" t="str">
        <f t="shared" si="11"/>
        <v>是否封闭</v>
      </c>
      <c r="R31" s="770" t="s">
        <v>17</v>
      </c>
      <c r="S31" s="771">
        <f t="shared" si="12"/>
        <v>100</v>
      </c>
      <c r="T31" s="770" t="s">
        <v>17</v>
      </c>
      <c r="U31" s="771">
        <f t="shared" si="13"/>
        <v>100</v>
      </c>
      <c r="V31" s="770" t="s">
        <v>17</v>
      </c>
      <c r="W31" s="771">
        <f t="shared" si="14"/>
        <v>100</v>
      </c>
      <c r="X31" s="772"/>
      <c r="Y31" s="3236"/>
      <c r="Z31" s="55" t="str">
        <f t="shared" si="15"/>
        <v>是否封闭</v>
      </c>
      <c r="AA31" s="773">
        <f t="shared" si="3"/>
        <v>1</v>
      </c>
      <c r="AB31" s="773">
        <f t="shared" si="4"/>
        <v>1</v>
      </c>
      <c r="AC31" s="773">
        <f t="shared" si="5"/>
        <v>1</v>
      </c>
    </row>
    <row r="32" spans="1:29" ht="15">
      <c r="A32" s="472"/>
      <c r="B32" s="2596">
        <v>111</v>
      </c>
      <c r="C32" s="432"/>
      <c r="D32" s="435">
        <v>100</v>
      </c>
      <c r="E32" s="469"/>
      <c r="F32" s="461">
        <f>SUMIF(91:91,E32,92:92)-SUMIF(91:91,C32,92:92)+100</f>
        <v>100</v>
      </c>
      <c r="G32" s="469"/>
      <c r="H32" s="435">
        <f>SUMIF(91:91,G32,92:92)-SUMIF(91:91,C32,92:92)+100</f>
        <v>100</v>
      </c>
      <c r="I32" s="469"/>
      <c r="J32" s="435">
        <f>SUMIF(91:91,I32,92:92)-SUMIF(91:91,C32,92:92)+100</f>
        <v>100</v>
      </c>
      <c r="K32" s="613"/>
      <c r="L32" s="1142"/>
      <c r="M32" s="1133"/>
      <c r="N32" s="1133"/>
      <c r="O32" s="1141"/>
      <c r="P32" s="3236" t="s">
        <v>2553</v>
      </c>
      <c r="Q32" s="1812">
        <f t="shared" si="11"/>
        <v>111</v>
      </c>
      <c r="R32" s="774" t="s">
        <v>17</v>
      </c>
      <c r="S32" s="775">
        <f t="shared" si="12"/>
        <v>100</v>
      </c>
      <c r="T32" s="774" t="s">
        <v>17</v>
      </c>
      <c r="U32" s="775">
        <f t="shared" si="13"/>
        <v>100</v>
      </c>
      <c r="V32" s="774" t="s">
        <v>17</v>
      </c>
      <c r="W32" s="775">
        <f t="shared" si="14"/>
        <v>100</v>
      </c>
      <c r="X32" s="1815"/>
      <c r="Y32" s="3236" t="s">
        <v>2553</v>
      </c>
      <c r="Z32" s="1816">
        <f t="shared" si="15"/>
        <v>111</v>
      </c>
      <c r="AA32" s="1813">
        <f t="shared" si="3"/>
        <v>1</v>
      </c>
      <c r="AB32" s="1813">
        <f t="shared" si="4"/>
        <v>1</v>
      </c>
      <c r="AC32" s="1813">
        <f t="shared" si="5"/>
        <v>1</v>
      </c>
    </row>
    <row r="33" spans="1:29" ht="15">
      <c r="A33" s="472"/>
      <c r="B33" s="2596">
        <v>111</v>
      </c>
      <c r="C33" s="432"/>
      <c r="D33" s="435">
        <v>100</v>
      </c>
      <c r="E33" s="469"/>
      <c r="F33" s="461">
        <f>SUMIF(93:93,E33,94:94)-SUMIF(93:93,C33,94:94)+100</f>
        <v>100</v>
      </c>
      <c r="G33" s="469"/>
      <c r="H33" s="435">
        <f>SUMIF(93:93,G33,94:94)-SUMIF(93:93,C33,94:94)+100</f>
        <v>100</v>
      </c>
      <c r="I33" s="469"/>
      <c r="J33" s="435">
        <f>SUMIF(93:93,I33,94:94)-SUMIF(93:93,C33,94:94)+100</f>
        <v>100</v>
      </c>
      <c r="K33" s="613"/>
      <c r="L33" s="1142"/>
      <c r="M33" s="1133"/>
      <c r="N33" s="1133"/>
      <c r="O33" s="1141"/>
      <c r="P33" s="3236"/>
      <c r="Q33" s="1812">
        <f t="shared" si="11"/>
        <v>111</v>
      </c>
      <c r="R33" s="774" t="s">
        <v>17</v>
      </c>
      <c r="S33" s="775">
        <f t="shared" si="12"/>
        <v>100</v>
      </c>
      <c r="T33" s="774" t="s">
        <v>17</v>
      </c>
      <c r="U33" s="775">
        <f t="shared" si="13"/>
        <v>100</v>
      </c>
      <c r="V33" s="774" t="s">
        <v>17</v>
      </c>
      <c r="W33" s="775">
        <f t="shared" si="14"/>
        <v>100</v>
      </c>
      <c r="X33" s="1815"/>
      <c r="Y33" s="3236"/>
      <c r="Z33" s="1816">
        <f t="shared" si="15"/>
        <v>111</v>
      </c>
      <c r="AA33" s="1813">
        <f t="shared" si="3"/>
        <v>1</v>
      </c>
      <c r="AB33" s="1813">
        <f t="shared" si="4"/>
        <v>1</v>
      </c>
      <c r="AC33" s="1813">
        <f t="shared" si="5"/>
        <v>1</v>
      </c>
    </row>
    <row r="34" spans="1:29" ht="15.75" thickBot="1">
      <c r="A34" s="478"/>
      <c r="B34" s="2598">
        <v>111</v>
      </c>
      <c r="C34" s="437"/>
      <c r="D34" s="438">
        <v>100</v>
      </c>
      <c r="E34" s="2693"/>
      <c r="F34" s="439">
        <f>SUMIF(95:95,E34,96:96)-SUMIF(95:95,C34,96:96)+100</f>
        <v>100</v>
      </c>
      <c r="G34" s="2693"/>
      <c r="H34" s="438">
        <f>SUMIF(95:95,G34,96:96)-SUMIF(95:95,C34,96:96)+100</f>
        <v>100</v>
      </c>
      <c r="I34" s="2693"/>
      <c r="J34" s="438">
        <f>SUMIF(95:95,I34,96:96)-SUMIF(95:95,C34,96:96)+100</f>
        <v>100</v>
      </c>
      <c r="K34" s="613"/>
      <c r="L34" s="1142"/>
      <c r="M34" s="1133"/>
      <c r="N34" s="1133"/>
      <c r="O34" s="1141"/>
      <c r="P34" s="3236"/>
      <c r="Q34" s="1812">
        <f t="shared" si="11"/>
        <v>111</v>
      </c>
      <c r="R34" s="774" t="s">
        <v>17</v>
      </c>
      <c r="S34" s="775">
        <f t="shared" si="12"/>
        <v>100</v>
      </c>
      <c r="T34" s="774" t="s">
        <v>17</v>
      </c>
      <c r="U34" s="775">
        <f t="shared" si="13"/>
        <v>100</v>
      </c>
      <c r="V34" s="774" t="s">
        <v>17</v>
      </c>
      <c r="W34" s="775">
        <f t="shared" si="14"/>
        <v>100</v>
      </c>
      <c r="X34" s="1815"/>
      <c r="Y34" s="3236"/>
      <c r="Z34" s="1816">
        <f t="shared" si="15"/>
        <v>111</v>
      </c>
      <c r="AA34" s="1813">
        <f t="shared" si="3"/>
        <v>1</v>
      </c>
      <c r="AB34" s="1813">
        <f t="shared" si="4"/>
        <v>1</v>
      </c>
      <c r="AC34" s="1813">
        <f t="shared" si="5"/>
        <v>1</v>
      </c>
    </row>
    <row r="35" spans="1:29" ht="15">
      <c r="A35" s="479" t="s">
        <v>2565</v>
      </c>
      <c r="B35" s="480"/>
      <c r="C35" s="1409" t="s">
        <v>1</v>
      </c>
      <c r="D35" s="1410"/>
      <c r="E35" s="1411"/>
      <c r="F35" s="1412"/>
      <c r="G35" s="1413"/>
      <c r="H35" s="1414"/>
      <c r="I35" s="1411"/>
      <c r="J35" s="1414"/>
      <c r="K35" s="783"/>
      <c r="L35" s="1145"/>
      <c r="M35" s="1146"/>
      <c r="N35" s="1133"/>
      <c r="O35" s="1146"/>
      <c r="P35" s="3229" t="str">
        <f>A35</f>
        <v>成交单价（元/平方米）</v>
      </c>
      <c r="Q35" s="3229"/>
      <c r="R35" s="3230">
        <f>E35</f>
        <v>0</v>
      </c>
      <c r="S35" s="3230"/>
      <c r="T35" s="3230">
        <f>G35</f>
        <v>0</v>
      </c>
      <c r="U35" s="3230"/>
      <c r="V35" s="3230">
        <f>I35</f>
        <v>0</v>
      </c>
      <c r="W35" s="3230"/>
      <c r="X35" s="759"/>
      <c r="Y35" s="781"/>
      <c r="Z35" s="759"/>
      <c r="AA35" s="759"/>
      <c r="AB35" s="759"/>
      <c r="AC35" s="759"/>
    </row>
    <row r="36" spans="1:29" ht="15.75" thickBot="1">
      <c r="A36" s="486" t="s">
        <v>2657</v>
      </c>
      <c r="B36" s="487"/>
      <c r="C36" s="1415" t="e">
        <f>R37</f>
        <v>#DIV/0!</v>
      </c>
      <c r="D36" s="1416"/>
      <c r="E36" s="1417" t="e">
        <f>R36</f>
        <v>#DIV/0!</v>
      </c>
      <c r="F36" s="1417"/>
      <c r="G36" s="1415" t="e">
        <f>T36</f>
        <v>#DIV/0!</v>
      </c>
      <c r="H36" s="1416"/>
      <c r="I36" s="1417" t="e">
        <f>V36</f>
        <v>#DIV/0!</v>
      </c>
      <c r="J36" s="1416"/>
      <c r="K36" s="784"/>
      <c r="L36" s="1145"/>
      <c r="M36" s="1146"/>
      <c r="N36" s="1133"/>
      <c r="O36" s="1146"/>
      <c r="P36" s="3229" t="str">
        <f>A36</f>
        <v>比较价值（元/平方米）</v>
      </c>
      <c r="Q36" s="3229"/>
      <c r="R36" s="3230" t="e">
        <f>IF(F1="售价",ROUND(PRODUCT(R35,AA7:AA34),0),ROUND(PRODUCT(R35,AA7:AA34),1))</f>
        <v>#DIV/0!</v>
      </c>
      <c r="S36" s="3230"/>
      <c r="T36" s="3230" t="e">
        <f>IF(F1="售价",ROUND(PRODUCT(T35,AB7:AB34),0),ROUND(PRODUCT(T35,AB7:AB34),1))</f>
        <v>#DIV/0!</v>
      </c>
      <c r="U36" s="3230"/>
      <c r="V36" s="3230" t="e">
        <f>IF(F1="售价",ROUND(PRODUCT(V35,AC7:AC34),0),ROUND(PRODUCT(V35,AC7:AC34),1))</f>
        <v>#DIV/0!</v>
      </c>
      <c r="W36" s="3230"/>
      <c r="X36" s="759"/>
      <c r="Y36" s="759"/>
      <c r="Z36" s="759"/>
      <c r="AA36" s="759"/>
      <c r="AB36" s="759"/>
      <c r="AC36" s="759"/>
    </row>
    <row r="37" spans="1:29" ht="15.75" thickBot="1">
      <c r="A37" s="492" t="s">
        <v>2658</v>
      </c>
      <c r="B37" s="493"/>
      <c r="C37" s="1419" t="e">
        <f>R37</f>
        <v>#DIV/0!</v>
      </c>
      <c r="D37" s="1419"/>
      <c r="E37" s="1419"/>
      <c r="F37" s="1419"/>
      <c r="G37" s="1419"/>
      <c r="H37" s="1419"/>
      <c r="I37" s="1419"/>
      <c r="J37" s="1419"/>
      <c r="K37" s="785"/>
      <c r="L37" s="1145"/>
      <c r="M37" s="1146"/>
      <c r="N37" s="1146"/>
      <c r="O37" s="1146"/>
      <c r="P37" s="3226" t="str">
        <f>A37</f>
        <v>估价对象XX用房的比较价值（楼面单价，元/平方米）</v>
      </c>
      <c r="Q37" s="3227"/>
      <c r="R37" s="3228" t="e">
        <f>IF(F1="售价",ROUND(AVERAGE(R36:V36),0),ROUND(AVERAGE(R36:V36),1))</f>
        <v>#DIV/0!</v>
      </c>
      <c r="S37" s="3228"/>
      <c r="T37" s="3228"/>
      <c r="U37" s="3228"/>
      <c r="V37" s="3228"/>
      <c r="W37" s="3228"/>
      <c r="X37" s="759"/>
      <c r="Y37" s="759"/>
      <c r="Z37" s="759"/>
      <c r="AA37" s="759"/>
      <c r="AB37" s="759"/>
      <c r="AC37" s="759"/>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7"/>
      <c r="L40" s="1108"/>
      <c r="M40" s="1146"/>
      <c r="N40" s="1146"/>
      <c r="O40" s="1146"/>
    </row>
    <row r="41" spans="1:29" ht="13.5" customHeight="1">
      <c r="A41" s="1146"/>
      <c r="B41" s="1146"/>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7"/>
      <c r="L41" s="1108"/>
      <c r="M41" s="1146"/>
      <c r="N41" s="1146"/>
      <c r="O41" s="1146"/>
    </row>
    <row r="42" spans="1:29" s="502" customFormat="1" ht="13.5" customHeight="1">
      <c r="A42" s="1147"/>
      <c r="B42" s="1147"/>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0"/>
      <c r="L42" s="1151"/>
      <c r="M42" s="1147"/>
      <c r="N42" s="1147"/>
      <c r="O42" s="1147"/>
    </row>
    <row r="43" spans="1:29" s="502"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3" t="s">
        <v>2662</v>
      </c>
      <c r="B45" s="759"/>
      <c r="C45" s="764"/>
      <c r="D45" s="764"/>
      <c r="E45" s="764"/>
      <c r="F45" s="765"/>
      <c r="G45" s="765"/>
      <c r="H45" s="764"/>
      <c r="I45" s="764"/>
      <c r="J45" s="764"/>
      <c r="K45" s="766"/>
      <c r="L45" s="767"/>
      <c r="M45" s="764"/>
      <c r="N45" s="764"/>
      <c r="O45" s="764"/>
      <c r="P45" s="503"/>
      <c r="Q45" s="504"/>
    </row>
    <row r="46" spans="1:29" s="508" customFormat="1" ht="15">
      <c r="A46" s="505" t="s">
        <v>2536</v>
      </c>
      <c r="B46" s="506"/>
      <c r="C46" s="1576" t="str">
        <f>YEAR(C7)&amp;"-"&amp;MONTH(C7)</f>
        <v>2018-3</v>
      </c>
      <c r="D46" s="1577">
        <f>EDATE(C46,-1)</f>
        <v>43132</v>
      </c>
      <c r="E46" s="1577">
        <f t="shared" ref="E46:O46" si="16">EDATE(D46,-1)</f>
        <v>43101</v>
      </c>
      <c r="F46" s="1577">
        <f t="shared" si="16"/>
        <v>43070</v>
      </c>
      <c r="G46" s="1577">
        <f t="shared" si="16"/>
        <v>43040</v>
      </c>
      <c r="H46" s="1577">
        <f t="shared" si="16"/>
        <v>43009</v>
      </c>
      <c r="I46" s="1577">
        <f t="shared" si="16"/>
        <v>42979</v>
      </c>
      <c r="J46" s="1577">
        <f t="shared" si="16"/>
        <v>42948</v>
      </c>
      <c r="K46" s="1577">
        <f t="shared" si="16"/>
        <v>42917</v>
      </c>
      <c r="L46" s="1577">
        <f t="shared" si="16"/>
        <v>42887</v>
      </c>
      <c r="M46" s="1577">
        <f t="shared" si="16"/>
        <v>42856</v>
      </c>
      <c r="N46" s="1577">
        <f t="shared" si="16"/>
        <v>42826</v>
      </c>
      <c r="O46" s="1577">
        <f t="shared" si="16"/>
        <v>42795</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3"/>
      <c r="O49" s="1153"/>
      <c r="P49" s="526"/>
      <c r="Q49" s="504"/>
    </row>
    <row r="50" spans="1:17" s="117" customFormat="1" ht="15.75" thickBot="1">
      <c r="A50" s="521"/>
      <c r="B50" s="510"/>
      <c r="C50" s="639">
        <v>100</v>
      </c>
      <c r="D50" s="512"/>
      <c r="E50" s="512"/>
      <c r="F50" s="512"/>
      <c r="G50" s="512"/>
      <c r="H50" s="512"/>
      <c r="I50" s="512"/>
      <c r="J50" s="512"/>
      <c r="K50" s="512"/>
      <c r="L50" s="512"/>
      <c r="M50" s="514"/>
      <c r="N50" s="1153"/>
      <c r="O50" s="1153"/>
      <c r="P50" s="504"/>
      <c r="Q50" s="504"/>
    </row>
    <row r="51" spans="1:17">
      <c r="A51" s="527" t="s">
        <v>2576</v>
      </c>
      <c r="B51" s="528" t="s">
        <v>2542</v>
      </c>
      <c r="C51" s="529">
        <f>C9</f>
        <v>0</v>
      </c>
      <c r="D51" s="530"/>
      <c r="E51" s="530"/>
      <c r="F51" s="530"/>
      <c r="G51" s="530"/>
      <c r="H51" s="530"/>
      <c r="I51" s="530"/>
      <c r="J51" s="530"/>
      <c r="K51" s="531"/>
      <c r="L51" s="532"/>
      <c r="M51" s="533"/>
      <c r="N51" s="1154"/>
      <c r="O51" s="1154"/>
      <c r="P51" s="45"/>
      <c r="Q51" s="504"/>
    </row>
    <row r="52" spans="1:17" ht="15.75" thickBot="1">
      <c r="A52" s="534"/>
      <c r="B52" s="535"/>
      <c r="C52" s="536">
        <v>100</v>
      </c>
      <c r="D52" s="536"/>
      <c r="E52" s="536"/>
      <c r="F52" s="536"/>
      <c r="G52" s="536"/>
      <c r="H52" s="536"/>
      <c r="I52" s="536"/>
      <c r="J52" s="536"/>
      <c r="K52" s="536"/>
      <c r="L52" s="536"/>
      <c r="M52" s="537"/>
      <c r="N52" s="1155"/>
      <c r="O52" s="1155"/>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4"/>
      <c r="O53" s="1154"/>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5"/>
      <c r="O54" s="1155"/>
      <c r="P54" s="45"/>
      <c r="Q54" s="504"/>
    </row>
    <row r="55" spans="1:17" ht="15.75" thickTop="1">
      <c r="A55" s="534"/>
      <c r="B55" s="660">
        <f>B11</f>
        <v>111</v>
      </c>
      <c r="C55" s="549"/>
      <c r="D55" s="549"/>
      <c r="E55" s="549"/>
      <c r="F55" s="549"/>
      <c r="G55" s="549"/>
      <c r="H55" s="549"/>
      <c r="I55" s="549"/>
      <c r="J55" s="549"/>
      <c r="K55" s="550"/>
      <c r="L55" s="551"/>
      <c r="M55" s="552"/>
      <c r="N55" s="1154"/>
      <c r="O55" s="1154"/>
      <c r="P55" s="45"/>
      <c r="Q55" s="504"/>
    </row>
    <row r="56" spans="1:17" ht="15.75" thickBot="1">
      <c r="A56" s="534"/>
      <c r="B56" s="535"/>
      <c r="C56" s="560"/>
      <c r="D56" s="536"/>
      <c r="E56" s="536"/>
      <c r="F56" s="536"/>
      <c r="G56" s="536"/>
      <c r="H56" s="536"/>
      <c r="I56" s="536"/>
      <c r="J56" s="536"/>
      <c r="K56" s="536"/>
      <c r="L56" s="536"/>
      <c r="M56" s="537"/>
      <c r="N56" s="1155"/>
      <c r="O56" s="1155"/>
      <c r="P56" s="45"/>
      <c r="Q56" s="504"/>
    </row>
    <row r="57" spans="1:17" s="471" customFormat="1" ht="15.75" thickTop="1">
      <c r="A57" s="553"/>
      <c r="B57" s="538">
        <f>B12</f>
        <v>111</v>
      </c>
      <c r="C57" s="549"/>
      <c r="D57" s="549"/>
      <c r="E57" s="549"/>
      <c r="F57" s="549"/>
      <c r="G57" s="554"/>
      <c r="H57" s="555"/>
      <c r="I57" s="555"/>
      <c r="J57" s="555"/>
      <c r="K57" s="555"/>
      <c r="L57" s="556"/>
      <c r="M57" s="557"/>
      <c r="N57" s="1156"/>
      <c r="O57" s="1156"/>
      <c r="P57" s="558"/>
      <c r="Q57" s="559"/>
    </row>
    <row r="58" spans="1:17" s="471" customFormat="1" ht="15.75" thickBot="1">
      <c r="A58" s="553"/>
      <c r="B58" s="543"/>
      <c r="C58" s="560"/>
      <c r="D58" s="536"/>
      <c r="E58" s="536"/>
      <c r="F58" s="536"/>
      <c r="G58" s="536"/>
      <c r="H58" s="536"/>
      <c r="I58" s="536"/>
      <c r="J58" s="536"/>
      <c r="K58" s="536"/>
      <c r="L58" s="536"/>
      <c r="M58" s="537"/>
      <c r="N58" s="1155"/>
      <c r="O58" s="1155"/>
      <c r="P58" s="558"/>
      <c r="Q58" s="559"/>
    </row>
    <row r="59" spans="1:17" s="471" customFormat="1" ht="15.75" thickTop="1">
      <c r="A59" s="553"/>
      <c r="B59" s="538">
        <f>B13</f>
        <v>111</v>
      </c>
      <c r="C59" s="549"/>
      <c r="D59" s="549"/>
      <c r="E59" s="549"/>
      <c r="F59" s="549"/>
      <c r="G59" s="554"/>
      <c r="H59" s="555"/>
      <c r="I59" s="555"/>
      <c r="J59" s="555"/>
      <c r="K59" s="555"/>
      <c r="L59" s="556"/>
      <c r="M59" s="557"/>
      <c r="N59" s="1156"/>
      <c r="O59" s="1156"/>
      <c r="P59" s="470"/>
      <c r="Q59" s="561"/>
    </row>
    <row r="60" spans="1:17" s="471" customFormat="1" ht="15.75" thickBot="1">
      <c r="A60" s="553"/>
      <c r="B60" s="543"/>
      <c r="C60" s="560"/>
      <c r="D60" s="560"/>
      <c r="E60" s="560"/>
      <c r="F60" s="560"/>
      <c r="G60" s="560"/>
      <c r="H60" s="562"/>
      <c r="I60" s="562"/>
      <c r="J60" s="562"/>
      <c r="K60" s="562"/>
      <c r="L60" s="562"/>
      <c r="M60" s="563"/>
      <c r="N60" s="1156"/>
      <c r="O60" s="1156"/>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4"/>
      <c r="O61" s="1154"/>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5"/>
      <c r="O62" s="1155"/>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4"/>
      <c r="O63" s="1154"/>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5"/>
      <c r="O64" s="1155"/>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4"/>
      <c r="N65" s="1155"/>
      <c r="O65" s="1155"/>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5"/>
      <c r="O66" s="1155"/>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4"/>
      <c r="O67" s="1154"/>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5"/>
      <c r="O68" s="1155"/>
      <c r="P68" s="45"/>
      <c r="Q68" s="504"/>
    </row>
    <row r="69" spans="1:17" ht="15.75" thickTop="1">
      <c r="A69" s="534"/>
      <c r="B69" s="538" t="s">
        <v>2717</v>
      </c>
      <c r="C69" s="554"/>
      <c r="D69" s="554"/>
      <c r="E69" s="554"/>
      <c r="F69" s="554"/>
      <c r="G69" s="554"/>
      <c r="H69" s="583"/>
      <c r="I69" s="583"/>
      <c r="J69" s="583"/>
      <c r="K69" s="584"/>
      <c r="L69" s="585"/>
      <c r="M69" s="586"/>
      <c r="N69" s="1154"/>
      <c r="O69" s="1154"/>
      <c r="P69" s="45"/>
      <c r="Q69" s="504"/>
    </row>
    <row r="70" spans="1:17" ht="15.75" thickBot="1">
      <c r="A70" s="534"/>
      <c r="B70" s="543"/>
      <c r="C70" s="544">
        <v>100</v>
      </c>
      <c r="D70" s="544">
        <f>C70-$K22</f>
        <v>100</v>
      </c>
      <c r="E70" s="544"/>
      <c r="F70" s="544"/>
      <c r="G70" s="544"/>
      <c r="H70" s="544"/>
      <c r="I70" s="544"/>
      <c r="J70" s="544"/>
      <c r="K70" s="544"/>
      <c r="L70" s="544"/>
      <c r="M70" s="545"/>
      <c r="N70" s="1155"/>
      <c r="O70" s="1155"/>
      <c r="P70" s="45"/>
      <c r="Q70" s="504"/>
    </row>
    <row r="71" spans="1:17" s="117" customFormat="1" ht="15.75" thickTop="1">
      <c r="A71" s="579"/>
      <c r="B71" s="538">
        <f>B23</f>
        <v>111</v>
      </c>
      <c r="C71" s="549"/>
      <c r="D71" s="549"/>
      <c r="E71" s="549"/>
      <c r="F71" s="549"/>
      <c r="G71" s="554"/>
      <c r="H71" s="554"/>
      <c r="I71" s="554"/>
      <c r="J71" s="554"/>
      <c r="K71" s="554"/>
      <c r="L71" s="580"/>
      <c r="M71" s="581"/>
      <c r="N71" s="1153"/>
      <c r="O71" s="1153"/>
      <c r="P71" s="45"/>
      <c r="Q71" s="504"/>
    </row>
    <row r="72" spans="1:17" s="117" customFormat="1" ht="15.75" thickBot="1">
      <c r="A72" s="579"/>
      <c r="B72" s="543"/>
      <c r="C72" s="560"/>
      <c r="D72" s="536"/>
      <c r="E72" s="536"/>
      <c r="F72" s="536"/>
      <c r="G72" s="536"/>
      <c r="H72" s="536"/>
      <c r="I72" s="536"/>
      <c r="J72" s="536"/>
      <c r="K72" s="536"/>
      <c r="L72" s="536"/>
      <c r="M72" s="537"/>
      <c r="N72" s="1155"/>
      <c r="O72" s="1155"/>
      <c r="P72" s="45"/>
      <c r="Q72" s="504"/>
    </row>
    <row r="73" spans="1:17" s="117" customFormat="1" ht="15.75" thickTop="1">
      <c r="A73" s="579"/>
      <c r="B73" s="538">
        <f>B24</f>
        <v>111</v>
      </c>
      <c r="C73" s="549"/>
      <c r="D73" s="549"/>
      <c r="E73" s="549"/>
      <c r="F73" s="549"/>
      <c r="G73" s="554"/>
      <c r="H73" s="554"/>
      <c r="I73" s="554"/>
      <c r="J73" s="554"/>
      <c r="K73" s="554"/>
      <c r="L73" s="554"/>
      <c r="M73" s="581"/>
      <c r="N73" s="1153"/>
      <c r="O73" s="1153"/>
      <c r="P73" s="45"/>
      <c r="Q73" s="504"/>
    </row>
    <row r="74" spans="1:17" s="117" customFormat="1" ht="15.75" thickBot="1">
      <c r="A74" s="579"/>
      <c r="B74" s="543"/>
      <c r="C74" s="560"/>
      <c r="D74" s="536"/>
      <c r="E74" s="536"/>
      <c r="F74" s="536"/>
      <c r="G74" s="536"/>
      <c r="H74" s="536"/>
      <c r="I74" s="536"/>
      <c r="J74" s="536"/>
      <c r="K74" s="536"/>
      <c r="L74" s="536"/>
      <c r="M74" s="537"/>
      <c r="N74" s="1155"/>
      <c r="O74" s="1155"/>
      <c r="P74" s="45"/>
      <c r="Q74" s="504"/>
    </row>
    <row r="75" spans="1:17" s="471" customFormat="1" ht="15.75" thickTop="1">
      <c r="A75" s="553"/>
      <c r="B75" s="538">
        <f>B25</f>
        <v>111</v>
      </c>
      <c r="C75" s="549"/>
      <c r="D75" s="549"/>
      <c r="E75" s="549"/>
      <c r="F75" s="549"/>
      <c r="G75" s="554"/>
      <c r="H75" s="555"/>
      <c r="I75" s="555"/>
      <c r="J75" s="555"/>
      <c r="K75" s="555"/>
      <c r="L75" s="556"/>
      <c r="M75" s="557"/>
      <c r="N75" s="1156"/>
      <c r="O75" s="1156"/>
      <c r="P75" s="558"/>
      <c r="Q75" s="559"/>
    </row>
    <row r="76" spans="1:17" s="471" customFormat="1" ht="15.75" thickBot="1">
      <c r="A76" s="553"/>
      <c r="B76" s="543"/>
      <c r="C76" s="560"/>
      <c r="D76" s="560"/>
      <c r="E76" s="560"/>
      <c r="F76" s="560"/>
      <c r="G76" s="536"/>
      <c r="H76" s="536"/>
      <c r="I76" s="536"/>
      <c r="J76" s="536"/>
      <c r="K76" s="536"/>
      <c r="L76" s="536"/>
      <c r="M76" s="537"/>
      <c r="N76" s="1156"/>
      <c r="O76" s="1156"/>
      <c r="P76" s="558"/>
      <c r="Q76" s="559"/>
    </row>
    <row r="77" spans="1:17" ht="15" thickTop="1">
      <c r="A77" s="527" t="s">
        <v>2551</v>
      </c>
      <c r="B77" s="528" t="s">
        <v>2604</v>
      </c>
      <c r="C77" s="554"/>
      <c r="D77" s="554"/>
      <c r="E77" s="530"/>
      <c r="F77" s="530"/>
      <c r="G77" s="530"/>
      <c r="H77" s="530"/>
      <c r="I77" s="530"/>
      <c r="J77" s="530"/>
      <c r="K77" s="531"/>
      <c r="L77" s="532"/>
      <c r="M77" s="533"/>
      <c r="N77" s="1154"/>
      <c r="O77" s="1154"/>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5"/>
      <c r="O78" s="1155"/>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3"/>
      <c r="O79" s="1153"/>
      <c r="P79" s="45"/>
      <c r="Q79" s="504"/>
    </row>
    <row r="80" spans="1:17" ht="15">
      <c r="A80" s="534"/>
      <c r="B80" s="546"/>
      <c r="C80" s="603">
        <v>0.5</v>
      </c>
      <c r="D80" s="603">
        <v>0.6</v>
      </c>
      <c r="E80" s="603">
        <v>0.7</v>
      </c>
      <c r="F80" s="603">
        <v>0.8</v>
      </c>
      <c r="G80" s="603">
        <v>0.9</v>
      </c>
      <c r="H80" s="603">
        <v>1.0001</v>
      </c>
      <c r="I80" s="660"/>
      <c r="J80" s="660"/>
      <c r="K80" s="668"/>
      <c r="L80" s="669"/>
      <c r="M80" s="670"/>
      <c r="N80" s="1153"/>
      <c r="O80" s="1153"/>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5"/>
      <c r="O81" s="1155"/>
      <c r="P81" s="558"/>
      <c r="Q81" s="559"/>
    </row>
    <row r="82" spans="1:17" ht="15" thickTop="1">
      <c r="A82" s="599"/>
      <c r="B82" s="546" t="s">
        <v>2721</v>
      </c>
      <c r="C82" s="554"/>
      <c r="D82" s="554"/>
      <c r="E82" s="583"/>
      <c r="F82" s="583"/>
      <c r="G82" s="583"/>
      <c r="H82" s="583"/>
      <c r="I82" s="583"/>
      <c r="J82" s="583"/>
      <c r="K82" s="584"/>
      <c r="L82" s="585"/>
      <c r="M82" s="586"/>
      <c r="N82" s="1154"/>
      <c r="O82" s="1154"/>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5"/>
      <c r="O83" s="1155"/>
      <c r="P83" s="45"/>
      <c r="Q83" s="504"/>
    </row>
    <row r="84" spans="1:17" ht="15" thickTop="1">
      <c r="A84" s="599"/>
      <c r="B84" s="538" t="s">
        <v>2729</v>
      </c>
      <c r="C84" s="554"/>
      <c r="D84" s="554"/>
      <c r="E84" s="554"/>
      <c r="F84" s="554"/>
      <c r="G84" s="554"/>
      <c r="H84" s="554"/>
      <c r="I84" s="583"/>
      <c r="J84" s="583"/>
      <c r="K84" s="584"/>
      <c r="L84" s="585"/>
      <c r="M84" s="586"/>
      <c r="N84" s="1154"/>
      <c r="O84" s="1154"/>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5"/>
      <c r="O85" s="1155"/>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4"/>
      <c r="O86" s="1154"/>
      <c r="P86" s="45"/>
      <c r="Q86" s="504"/>
    </row>
    <row r="87" spans="1:17">
      <c r="A87" s="599"/>
      <c r="B87" s="546"/>
      <c r="C87" s="595"/>
      <c r="D87" s="595"/>
      <c r="E87" s="595"/>
      <c r="F87" s="595"/>
      <c r="G87" s="595"/>
      <c r="H87" s="595"/>
      <c r="I87" s="595"/>
      <c r="J87" s="596"/>
      <c r="K87" s="596"/>
      <c r="L87" s="597"/>
      <c r="M87" s="598"/>
      <c r="N87" s="1154"/>
      <c r="O87" s="1154"/>
      <c r="P87" s="45"/>
      <c r="Q87" s="504"/>
    </row>
    <row r="88" spans="1:17" ht="15.75" thickBot="1">
      <c r="A88" s="534"/>
      <c r="B88" s="543"/>
      <c r="C88" s="560"/>
      <c r="D88" s="536"/>
      <c r="E88" s="536"/>
      <c r="F88" s="536"/>
      <c r="G88" s="536"/>
      <c r="H88" s="536"/>
      <c r="I88" s="536"/>
      <c r="J88" s="536"/>
      <c r="K88" s="536"/>
      <c r="L88" s="536"/>
      <c r="M88" s="536"/>
      <c r="N88" s="1155"/>
      <c r="O88" s="1155"/>
      <c r="P88" s="45"/>
      <c r="Q88" s="504"/>
    </row>
    <row r="89" spans="1:17" s="471" customFormat="1" ht="15" thickTop="1">
      <c r="A89" s="593"/>
      <c r="B89" s="538" t="s">
        <v>2731</v>
      </c>
      <c r="C89" s="554"/>
      <c r="D89" s="554"/>
      <c r="E89" s="554"/>
      <c r="F89" s="554"/>
      <c r="G89" s="554"/>
      <c r="H89" s="554"/>
      <c r="I89" s="554"/>
      <c r="J89" s="554"/>
      <c r="K89" s="554"/>
      <c r="L89" s="554"/>
      <c r="M89" s="581"/>
      <c r="N89" s="1156"/>
      <c r="O89" s="1156"/>
      <c r="P89" s="558"/>
      <c r="Q89" s="559"/>
    </row>
    <row r="90" spans="1:17" s="471" customFormat="1" ht="15.75" thickBot="1">
      <c r="A90" s="553"/>
      <c r="B90" s="543"/>
      <c r="C90" s="560"/>
      <c r="D90" s="536"/>
      <c r="E90" s="536"/>
      <c r="F90" s="536"/>
      <c r="G90" s="536"/>
      <c r="H90" s="536"/>
      <c r="I90" s="536"/>
      <c r="J90" s="536"/>
      <c r="K90" s="536"/>
      <c r="L90" s="536"/>
      <c r="M90" s="537"/>
      <c r="N90" s="1156"/>
      <c r="O90" s="1156"/>
      <c r="P90" s="558"/>
      <c r="Q90" s="559"/>
    </row>
    <row r="91" spans="1:17" ht="15" thickTop="1">
      <c r="A91" s="599"/>
      <c r="B91" s="538">
        <f>B32</f>
        <v>111</v>
      </c>
      <c r="C91" s="549"/>
      <c r="D91" s="549"/>
      <c r="E91" s="549"/>
      <c r="F91" s="549"/>
      <c r="G91" s="554"/>
      <c r="H91" s="555"/>
      <c r="I91" s="555"/>
      <c r="J91" s="555"/>
      <c r="K91" s="555"/>
      <c r="L91" s="556"/>
      <c r="M91" s="557"/>
      <c r="N91" s="1154"/>
      <c r="O91" s="1154"/>
      <c r="P91" s="45"/>
      <c r="Q91" s="504"/>
    </row>
    <row r="92" spans="1:17" ht="15.75" thickBot="1">
      <c r="A92" s="534"/>
      <c r="B92" s="543"/>
      <c r="C92" s="560"/>
      <c r="D92" s="536"/>
      <c r="E92" s="536"/>
      <c r="F92" s="536"/>
      <c r="G92" s="560"/>
      <c r="H92" s="562"/>
      <c r="I92" s="562"/>
      <c r="J92" s="562"/>
      <c r="K92" s="562"/>
      <c r="L92" s="562"/>
      <c r="M92" s="563"/>
      <c r="N92" s="1155"/>
      <c r="O92" s="1155"/>
      <c r="P92" s="45"/>
      <c r="Q92" s="504"/>
    </row>
    <row r="93" spans="1:17" ht="15" thickTop="1">
      <c r="A93" s="599"/>
      <c r="B93" s="538">
        <f>B33</f>
        <v>111</v>
      </c>
      <c r="C93" s="549"/>
      <c r="D93" s="549"/>
      <c r="E93" s="549"/>
      <c r="F93" s="549"/>
      <c r="G93" s="554"/>
      <c r="H93" s="555"/>
      <c r="I93" s="555"/>
      <c r="J93" s="555"/>
      <c r="K93" s="555"/>
      <c r="L93" s="556"/>
      <c r="M93" s="557"/>
      <c r="N93" s="1154"/>
      <c r="O93" s="1154"/>
      <c r="P93" s="45"/>
      <c r="Q93" s="504"/>
    </row>
    <row r="94" spans="1:17" ht="15.75" thickBot="1">
      <c r="A94" s="534"/>
      <c r="B94" s="543"/>
      <c r="C94" s="560"/>
      <c r="D94" s="536"/>
      <c r="E94" s="536"/>
      <c r="F94" s="536"/>
      <c r="G94" s="560"/>
      <c r="H94" s="562"/>
      <c r="I94" s="562"/>
      <c r="J94" s="562"/>
      <c r="K94" s="562"/>
      <c r="L94" s="562"/>
      <c r="M94" s="563"/>
      <c r="N94" s="1155"/>
      <c r="O94" s="1155"/>
      <c r="P94" s="45"/>
      <c r="Q94" s="504"/>
    </row>
    <row r="95" spans="1:17" ht="15" thickTop="1">
      <c r="A95" s="599"/>
      <c r="B95" s="636">
        <f>B34</f>
        <v>111</v>
      </c>
      <c r="C95" s="549"/>
      <c r="D95" s="549"/>
      <c r="E95" s="549"/>
      <c r="F95" s="549"/>
      <c r="G95" s="554"/>
      <c r="H95" s="555"/>
      <c r="I95" s="555"/>
      <c r="J95" s="555"/>
      <c r="K95" s="555"/>
      <c r="L95" s="556"/>
      <c r="M95" s="557"/>
      <c r="N95" s="1155"/>
      <c r="O95" s="1155"/>
      <c r="P95" s="637"/>
      <c r="Q95" s="638"/>
    </row>
    <row r="96" spans="1:17" ht="15.75" thickBot="1">
      <c r="A96" s="534"/>
      <c r="B96" s="543"/>
      <c r="C96" s="560"/>
      <c r="D96" s="560"/>
      <c r="E96" s="560"/>
      <c r="F96" s="560"/>
      <c r="G96" s="560"/>
      <c r="H96" s="562"/>
      <c r="I96" s="562"/>
      <c r="J96" s="562"/>
      <c r="K96" s="562"/>
      <c r="L96" s="562"/>
      <c r="M96" s="563"/>
      <c r="N96" s="1155"/>
      <c r="O96" s="1155"/>
      <c r="P96" s="45"/>
      <c r="Q96" s="504"/>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7" priority="14" stopIfTrue="1" operator="containsText" text="超过">
      <formula>NOT(ISERROR(SEARCH("超过",F40)))</formula>
    </cfRule>
  </conditionalFormatting>
  <conditionalFormatting sqref="J42">
    <cfRule type="containsText" dxfId="56" priority="13" stopIfTrue="1" operator="containsText" text="超过">
      <formula>NOT(ISERROR(SEARCH("超过",J42)))</formula>
    </cfRule>
  </conditionalFormatting>
  <conditionalFormatting sqref="H42">
    <cfRule type="containsText" dxfId="55" priority="12" stopIfTrue="1" operator="containsText" text="超过">
      <formula>NOT(ISERROR(SEARCH("超过",H42)))</formula>
    </cfRule>
  </conditionalFormatting>
  <conditionalFormatting sqref="F42">
    <cfRule type="containsText" dxfId="54" priority="11" stopIfTrue="1" operator="containsText" text="超过">
      <formula>NOT(ISERROR(SEARCH("超过",F42)))</formula>
    </cfRule>
  </conditionalFormatting>
  <conditionalFormatting sqref="F41 H41 J41">
    <cfRule type="containsText" dxfId="53" priority="10" stopIfTrue="1" operator="containsText" text="超过">
      <formula>NOT(ISERROR(SEARCH("超过",F41)))</formula>
    </cfRule>
  </conditionalFormatting>
  <conditionalFormatting sqref="E40">
    <cfRule type="expression" dxfId="52" priority="9" stopIfTrue="1">
      <formula>$F$40="超过30%"</formula>
    </cfRule>
  </conditionalFormatting>
  <conditionalFormatting sqref="G42">
    <cfRule type="expression" dxfId="51" priority="8" stopIfTrue="1">
      <formula>$H$54+$H$42="超过30%"</formula>
    </cfRule>
  </conditionalFormatting>
  <conditionalFormatting sqref="E41">
    <cfRule type="expression" dxfId="50" priority="7" stopIfTrue="1">
      <formula>$F$41="超过20%"</formula>
    </cfRule>
  </conditionalFormatting>
  <conditionalFormatting sqref="E42">
    <cfRule type="expression" dxfId="49" priority="6" stopIfTrue="1">
      <formula>$F$42="超过30%"</formula>
    </cfRule>
  </conditionalFormatting>
  <conditionalFormatting sqref="G40">
    <cfRule type="expression" dxfId="48" priority="5" stopIfTrue="1">
      <formula>$H$52+$H$40="超过30%"</formula>
    </cfRule>
  </conditionalFormatting>
  <conditionalFormatting sqref="G41">
    <cfRule type="expression" dxfId="47" priority="4" stopIfTrue="1">
      <formula>$H$53+$H$41="超过20%"</formula>
    </cfRule>
  </conditionalFormatting>
  <conditionalFormatting sqref="I40">
    <cfRule type="expression" dxfId="46" priority="3" stopIfTrue="1">
      <formula>$J$40="超过30%"</formula>
    </cfRule>
  </conditionalFormatting>
  <conditionalFormatting sqref="I41">
    <cfRule type="expression" dxfId="45" priority="2" stopIfTrue="1">
      <formula>$J$41="超过20%"</formula>
    </cfRule>
  </conditionalFormatting>
  <conditionalFormatting sqref="I42">
    <cfRule type="expression" dxfId="4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2732</v>
      </c>
      <c r="B1" s="395"/>
      <c r="C1" s="396" t="s">
        <v>2733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2315</v>
      </c>
      <c r="B2" s="671" t="e">
        <f>F66</f>
        <v>#DIV/0!</v>
      </c>
      <c r="C2" s="1126"/>
      <c r="D2" s="1126"/>
      <c r="E2" s="1127"/>
      <c r="F2" s="1128"/>
      <c r="G2" s="1127"/>
      <c r="H2" s="1127"/>
      <c r="I2" s="1127"/>
      <c r="J2" s="1127"/>
      <c r="K2" s="1129"/>
      <c r="L2" s="1130"/>
      <c r="M2" s="1131"/>
      <c r="N2" s="1131"/>
      <c r="O2" s="1131"/>
      <c r="P2" s="768"/>
      <c r="Q2" s="768"/>
      <c r="R2" s="768"/>
      <c r="S2" s="768"/>
      <c r="T2" s="768"/>
      <c r="U2" s="768"/>
      <c r="V2" s="768"/>
      <c r="W2" s="768"/>
      <c r="X2" s="768"/>
      <c r="Y2" s="768"/>
      <c r="Z2" s="768"/>
      <c r="AA2" s="768"/>
      <c r="AB2" s="768"/>
      <c r="AC2" s="769"/>
      <c r="AD2" s="397"/>
    </row>
    <row r="3" spans="1:30" s="398" customFormat="1" ht="28.5" customHeight="1" thickBot="1">
      <c r="A3" s="247" t="s">
        <v>2317</v>
      </c>
      <c r="B3" s="609" t="e">
        <f>ROUND(IF(D3="",B2*10000/'数据-汇总表'!E3,B2*10000/D3),0)</f>
        <v>#DIV/0!</v>
      </c>
      <c r="C3" s="247" t="s">
        <v>2734</v>
      </c>
      <c r="D3" s="1585"/>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30" ht="15">
      <c r="A4" s="401" t="s">
        <v>2633</v>
      </c>
      <c r="B4" s="402"/>
      <c r="C4" s="3212" t="s">
        <v>2634</v>
      </c>
      <c r="D4" s="3213"/>
      <c r="E4" s="3214" t="s">
        <v>2635</v>
      </c>
      <c r="F4" s="3215"/>
      <c r="G4" s="3212" t="s">
        <v>2636</v>
      </c>
      <c r="H4" s="3213"/>
      <c r="I4" s="3212" t="s">
        <v>2637</v>
      </c>
      <c r="J4" s="3213"/>
      <c r="K4" s="610" t="s">
        <v>2638</v>
      </c>
      <c r="L4" s="1132"/>
      <c r="M4" s="1133"/>
      <c r="N4" s="1133"/>
      <c r="O4" s="1133"/>
      <c r="P4" s="3216" t="s">
        <v>2639</v>
      </c>
      <c r="Q4" s="3217"/>
      <c r="R4" s="3199" t="s">
        <v>2635</v>
      </c>
      <c r="S4" s="3200"/>
      <c r="T4" s="3199" t="s">
        <v>2636</v>
      </c>
      <c r="U4" s="3200"/>
      <c r="V4" s="3224" t="s">
        <v>2637</v>
      </c>
      <c r="W4" s="3224"/>
      <c r="X4" s="1815"/>
      <c r="Y4" s="3199" t="s">
        <v>2639</v>
      </c>
      <c r="Z4" s="3200"/>
      <c r="AA4" s="3194" t="s">
        <v>2635</v>
      </c>
      <c r="AB4" s="3195" t="s">
        <v>2636</v>
      </c>
      <c r="AC4" s="3194" t="s">
        <v>2637</v>
      </c>
    </row>
    <row r="5" spans="1:30" ht="15">
      <c r="A5" s="404"/>
      <c r="B5" s="405"/>
      <c r="C5" s="3205" t="s">
        <v>2530</v>
      </c>
      <c r="D5" s="3206"/>
      <c r="E5" s="3203" t="s">
        <v>2531</v>
      </c>
      <c r="F5" s="3204"/>
      <c r="G5" s="3205" t="s">
        <v>2532</v>
      </c>
      <c r="H5" s="3206"/>
      <c r="I5" s="3205" t="s">
        <v>2533</v>
      </c>
      <c r="J5" s="3206"/>
      <c r="K5" s="610"/>
      <c r="L5" s="1132"/>
      <c r="M5" s="1133"/>
      <c r="N5" s="1133"/>
      <c r="O5" s="1133"/>
      <c r="P5" s="3218"/>
      <c r="Q5" s="3219"/>
      <c r="R5" s="3201"/>
      <c r="S5" s="3202"/>
      <c r="T5" s="3201"/>
      <c r="U5" s="3202"/>
      <c r="V5" s="3224"/>
      <c r="W5" s="3224"/>
      <c r="X5" s="1815"/>
      <c r="Y5" s="3201"/>
      <c r="Z5" s="3202"/>
      <c r="AA5" s="3195"/>
      <c r="AB5" s="3195"/>
      <c r="AC5" s="3195"/>
    </row>
    <row r="6" spans="1:30" ht="15.75" thickBot="1">
      <c r="A6" s="406"/>
      <c r="B6" s="407"/>
      <c r="C6" s="3207" t="s">
        <v>2534</v>
      </c>
      <c r="D6" s="3208"/>
      <c r="E6" s="3209" t="s">
        <v>2534</v>
      </c>
      <c r="F6" s="3210"/>
      <c r="G6" s="3207" t="s">
        <v>2534</v>
      </c>
      <c r="H6" s="3208"/>
      <c r="I6" s="3207" t="s">
        <v>2534</v>
      </c>
      <c r="J6" s="3208"/>
      <c r="K6" s="610" t="s">
        <v>2535</v>
      </c>
      <c r="L6" s="1132"/>
      <c r="M6" s="1133"/>
      <c r="N6" s="1133"/>
      <c r="O6" s="1133"/>
      <c r="P6" s="3220"/>
      <c r="Q6" s="3221"/>
      <c r="R6" s="3201"/>
      <c r="S6" s="3202"/>
      <c r="T6" s="3222"/>
      <c r="U6" s="3223"/>
      <c r="V6" s="3224"/>
      <c r="W6" s="3224"/>
      <c r="X6" s="1815"/>
      <c r="Y6" s="3222"/>
      <c r="Z6" s="3223"/>
      <c r="AA6" s="3196"/>
      <c r="AB6" s="3196"/>
      <c r="AC6" s="3196"/>
    </row>
    <row r="7" spans="1:30" s="117" customFormat="1" ht="15.75" thickBot="1">
      <c r="A7" s="408" t="s">
        <v>2536</v>
      </c>
      <c r="B7" s="409"/>
      <c r="C7" s="410">
        <f>'数据-取费表'!B2</f>
        <v>43165</v>
      </c>
      <c r="D7" s="411">
        <v>100</v>
      </c>
      <c r="E7" s="412">
        <v>42309</v>
      </c>
      <c r="F7" s="413">
        <f>SUMIF(70:70,YEAR(E7)&amp;"-"&amp;INT((MONTH(E7)+2)/3),71:71)</f>
        <v>0</v>
      </c>
      <c r="G7" s="2692">
        <v>42309</v>
      </c>
      <c r="H7" s="411">
        <f>SUMIF(70:70,YEAR(G7)&amp;"-"&amp;INT((MONTH(G7)+2)/3),71:71)</f>
        <v>0</v>
      </c>
      <c r="I7" s="2692">
        <v>42036</v>
      </c>
      <c r="J7" s="411">
        <f>SUMIF(70:70,YEAR(I7)&amp;"-"&amp;INT((MONTH(I7)+2)/3),71:71)</f>
        <v>0</v>
      </c>
      <c r="K7" s="611"/>
      <c r="L7" s="1134"/>
      <c r="M7" s="1135"/>
      <c r="N7" s="1135"/>
      <c r="O7" s="1135"/>
      <c r="P7" s="3197" t="s">
        <v>2537</v>
      </c>
      <c r="Q7" s="3225"/>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30" s="117" customFormat="1" ht="15.75" thickBot="1">
      <c r="A8" s="408" t="s">
        <v>2538</v>
      </c>
      <c r="B8" s="409"/>
      <c r="C8" s="414" t="s">
        <v>2539</v>
      </c>
      <c r="D8" s="411">
        <v>100</v>
      </c>
      <c r="E8" s="414"/>
      <c r="F8" s="413">
        <f>SUMIF(73:73,E8,74:74)-SUMIF(73:73,C8,74:74)+100</f>
        <v>0</v>
      </c>
      <c r="G8" s="414"/>
      <c r="H8" s="411">
        <f>SUMIF(73:73,G8,74:74)-SUMIF(73:73,C8,74:74)+100</f>
        <v>0</v>
      </c>
      <c r="I8" s="414"/>
      <c r="J8" s="411">
        <f>SUMIF(73:73,I8,74:74)-SUMIF(73:73,C8,74:74)+100</f>
        <v>0</v>
      </c>
      <c r="K8" s="611"/>
      <c r="L8" s="1134"/>
      <c r="M8" s="1135"/>
      <c r="N8" s="1135"/>
      <c r="O8" s="1135"/>
      <c r="P8" s="3197" t="s">
        <v>2540</v>
      </c>
      <c r="Q8" s="3198"/>
      <c r="R8" s="770" t="s">
        <v>17</v>
      </c>
      <c r="S8" s="771">
        <f t="shared" si="0"/>
        <v>0</v>
      </c>
      <c r="T8" s="770" t="s">
        <v>17</v>
      </c>
      <c r="U8" s="771">
        <f t="shared" si="1"/>
        <v>0</v>
      </c>
      <c r="V8" s="770" t="s">
        <v>17</v>
      </c>
      <c r="W8" s="771">
        <f t="shared" si="2"/>
        <v>0</v>
      </c>
      <c r="X8" s="772"/>
      <c r="Y8" s="3197" t="s">
        <v>2540</v>
      </c>
      <c r="Z8" s="3198"/>
      <c r="AA8" s="773" t="e">
        <f t="shared" ref="AA8:AA45" si="3">D8/F8</f>
        <v>#DIV/0!</v>
      </c>
      <c r="AB8" s="773" t="e">
        <f t="shared" ref="AB8:AB45" si="4">D8/H8</f>
        <v>#DIV/0!</v>
      </c>
      <c r="AC8" s="773" t="e">
        <f t="shared" ref="AC8:AC45" si="5">D8/J8</f>
        <v>#DIV/0!</v>
      </c>
    </row>
    <row r="9" spans="1:30" s="117" customFormat="1">
      <c r="A9" s="415" t="s">
        <v>2541</v>
      </c>
      <c r="B9" s="71" t="s">
        <v>2542</v>
      </c>
      <c r="C9" s="2695"/>
      <c r="D9" s="135">
        <v>100</v>
      </c>
      <c r="E9" s="2695"/>
      <c r="F9" s="135">
        <f>SUMIF(75:75,E9,76:76)-SUMIF(75:75,C9,76:76)+100</f>
        <v>100</v>
      </c>
      <c r="G9" s="2695"/>
      <c r="H9" s="135">
        <f>SUMIF(75:75,G9,76:76)-SUMIF(75:75,C9,76:76)+100</f>
        <v>100</v>
      </c>
      <c r="I9" s="2695"/>
      <c r="J9" s="135">
        <f>SUMIF(75:75,I9,76:76)-SUMIF(75:75,C9,76:76)+100</f>
        <v>100</v>
      </c>
      <c r="K9" s="611"/>
      <c r="L9" s="1134"/>
      <c r="M9" s="1135"/>
      <c r="N9" s="1135"/>
      <c r="O9" s="1136"/>
      <c r="P9" s="3229" t="s">
        <v>2543</v>
      </c>
      <c r="Q9" s="1797" t="str">
        <f t="shared" ref="Q9:Q15" si="6">B9</f>
        <v>用途</v>
      </c>
      <c r="R9" s="770" t="s">
        <v>17</v>
      </c>
      <c r="S9" s="771">
        <f t="shared" si="0"/>
        <v>100</v>
      </c>
      <c r="T9" s="770" t="s">
        <v>17</v>
      </c>
      <c r="U9" s="771">
        <f t="shared" si="1"/>
        <v>100</v>
      </c>
      <c r="V9" s="770" t="s">
        <v>17</v>
      </c>
      <c r="W9" s="771">
        <f t="shared" si="2"/>
        <v>100</v>
      </c>
      <c r="X9" s="772"/>
      <c r="Y9" s="3024" t="s">
        <v>2544</v>
      </c>
      <c r="Z9" s="55" t="str">
        <f t="shared" ref="Z9:Z15" si="7">Q9</f>
        <v>用途</v>
      </c>
      <c r="AA9" s="773">
        <f t="shared" si="3"/>
        <v>1</v>
      </c>
      <c r="AB9" s="773">
        <f t="shared" si="4"/>
        <v>1</v>
      </c>
      <c r="AC9" s="773">
        <f t="shared" si="5"/>
        <v>1</v>
      </c>
    </row>
    <row r="10" spans="1:30" s="427" customFormat="1" ht="27">
      <c r="A10" s="421"/>
      <c r="B10" s="422" t="s">
        <v>2545</v>
      </c>
      <c r="C10" s="432"/>
      <c r="D10" s="136">
        <v>100</v>
      </c>
      <c r="E10" s="465"/>
      <c r="F10" s="136">
        <f>ROUND(100/'数据-取费表'!G16,0)</f>
        <v>104</v>
      </c>
      <c r="G10" s="463"/>
      <c r="H10" s="136">
        <f>ROUND(100/'数据-取费表'!G16,0)</f>
        <v>104</v>
      </c>
      <c r="I10" s="463"/>
      <c r="J10" s="136">
        <f>ROUND(100/'数据-取费表'!G16,0)</f>
        <v>104</v>
      </c>
      <c r="K10" s="672"/>
      <c r="L10" s="1137"/>
      <c r="M10" s="1138"/>
      <c r="N10" s="1138"/>
      <c r="O10" s="1139"/>
      <c r="P10" s="3229"/>
      <c r="Q10" s="1797" t="str">
        <f t="shared" si="6"/>
        <v>土地使用年限（年）</v>
      </c>
      <c r="R10" s="770" t="s">
        <v>17</v>
      </c>
      <c r="S10" s="771">
        <f t="shared" si="0"/>
        <v>104</v>
      </c>
      <c r="T10" s="770" t="s">
        <v>17</v>
      </c>
      <c r="U10" s="771">
        <f t="shared" si="1"/>
        <v>104</v>
      </c>
      <c r="V10" s="770" t="s">
        <v>17</v>
      </c>
      <c r="W10" s="771">
        <f t="shared" si="2"/>
        <v>104</v>
      </c>
      <c r="X10" s="772"/>
      <c r="Y10" s="3024"/>
      <c r="Z10" s="55" t="str">
        <f t="shared" si="7"/>
        <v>土地使用年限（年）</v>
      </c>
      <c r="AA10" s="773">
        <f t="shared" si="3"/>
        <v>0.96153846153846156</v>
      </c>
      <c r="AB10" s="773">
        <f t="shared" si="4"/>
        <v>0.96153846153846156</v>
      </c>
      <c r="AC10" s="773">
        <f t="shared" si="5"/>
        <v>0.96153846153846156</v>
      </c>
    </row>
    <row r="11" spans="1:30" ht="15">
      <c r="A11" s="428"/>
      <c r="B11" s="422" t="s">
        <v>2546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0"/>
      <c r="M11" s="1133"/>
      <c r="N11" s="1133"/>
      <c r="O11" s="1141"/>
      <c r="P11" s="3229"/>
      <c r="Q11" s="1797" t="str">
        <f t="shared" si="6"/>
        <v>容积率</v>
      </c>
      <c r="R11" s="770" t="s">
        <v>17</v>
      </c>
      <c r="S11" s="771" t="e">
        <f t="shared" si="0"/>
        <v>#N/A</v>
      </c>
      <c r="T11" s="770" t="s">
        <v>17</v>
      </c>
      <c r="U11" s="771" t="e">
        <f t="shared" si="1"/>
        <v>#N/A</v>
      </c>
      <c r="V11" s="770" t="s">
        <v>17</v>
      </c>
      <c r="W11" s="771" t="e">
        <f t="shared" si="2"/>
        <v>#N/A</v>
      </c>
      <c r="X11" s="772"/>
      <c r="Y11" s="3024"/>
      <c r="Z11" s="55" t="str">
        <f t="shared" si="7"/>
        <v>容积率</v>
      </c>
      <c r="AA11" s="773" t="e">
        <f t="shared" si="3"/>
        <v>#N/A</v>
      </c>
      <c r="AB11" s="773" t="e">
        <f t="shared" si="4"/>
        <v>#N/A</v>
      </c>
      <c r="AC11" s="773" t="e">
        <f t="shared" si="5"/>
        <v>#N/A</v>
      </c>
    </row>
    <row r="12" spans="1:30" s="117" customFormat="1" ht="15">
      <c r="A12" s="431"/>
      <c r="B12" s="2596" t="s">
        <v>2735</v>
      </c>
      <c r="C12" s="432"/>
      <c r="D12" s="433">
        <v>100</v>
      </c>
      <c r="E12" s="465"/>
      <c r="F12" s="136">
        <f>SUMIF(82:82,E12,83:83)-SUMIF(82:82,C12,83:83)+100</f>
        <v>100</v>
      </c>
      <c r="G12" s="463"/>
      <c r="H12" s="136">
        <f>SUMIF(82:82,G12,83:83)-SUMIF(82:82,C12,83:83)+100</f>
        <v>100</v>
      </c>
      <c r="I12" s="465"/>
      <c r="J12" s="136">
        <f>SUMIF(82:82,I12,83:83)-SUMIF(82:82,C12,83:83)+100</f>
        <v>100</v>
      </c>
      <c r="K12" s="672"/>
      <c r="L12" s="1134"/>
      <c r="M12" s="1135"/>
      <c r="N12" s="1135"/>
      <c r="O12" s="1136"/>
      <c r="P12" s="3229"/>
      <c r="Q12" s="1797" t="str">
        <f t="shared" si="6"/>
        <v>配建</v>
      </c>
      <c r="R12" s="770" t="s">
        <v>17</v>
      </c>
      <c r="S12" s="771">
        <f t="shared" si="0"/>
        <v>100</v>
      </c>
      <c r="T12" s="770" t="s">
        <v>17</v>
      </c>
      <c r="U12" s="771">
        <f t="shared" si="1"/>
        <v>100</v>
      </c>
      <c r="V12" s="770" t="s">
        <v>17</v>
      </c>
      <c r="W12" s="771">
        <f t="shared" si="2"/>
        <v>100</v>
      </c>
      <c r="X12" s="772"/>
      <c r="Y12" s="3024"/>
      <c r="Z12" s="55" t="str">
        <f t="shared" si="7"/>
        <v>配建</v>
      </c>
      <c r="AA12" s="773">
        <f>D12/F12</f>
        <v>1</v>
      </c>
      <c r="AB12" s="773">
        <f>D12/H12</f>
        <v>1</v>
      </c>
      <c r="AC12" s="773">
        <f>D12/J12</f>
        <v>1</v>
      </c>
    </row>
    <row r="13" spans="1:30" ht="15">
      <c r="A13" s="428"/>
      <c r="B13" s="2596">
        <v>111</v>
      </c>
      <c r="C13" s="434"/>
      <c r="D13" s="435">
        <v>100</v>
      </c>
      <c r="E13" s="549"/>
      <c r="F13" s="136">
        <f>SUMIF(84:84,E13,85:85)-SUMIF(84:84,C13,85:85)+100</f>
        <v>100</v>
      </c>
      <c r="G13" s="674"/>
      <c r="H13" s="435">
        <f>SUMIF(84:84,G13,85:85)-SUMIF(84:84,C13,85:85)+100</f>
        <v>100</v>
      </c>
      <c r="I13" s="674"/>
      <c r="J13" s="435">
        <f>SUMIF(84:84,I13,85:85)-SUMIF(84:84,C13,85:85)+100</f>
        <v>100</v>
      </c>
      <c r="K13" s="672"/>
      <c r="L13" s="1142"/>
      <c r="M13" s="1133"/>
      <c r="N13" s="1133"/>
      <c r="O13" s="1141"/>
      <c r="P13" s="3229"/>
      <c r="Q13" s="1797">
        <f t="shared" si="6"/>
        <v>111</v>
      </c>
      <c r="R13" s="770" t="s">
        <v>17</v>
      </c>
      <c r="S13" s="771">
        <f t="shared" si="0"/>
        <v>100</v>
      </c>
      <c r="T13" s="770" t="s">
        <v>17</v>
      </c>
      <c r="U13" s="771">
        <f t="shared" si="1"/>
        <v>100</v>
      </c>
      <c r="V13" s="770" t="s">
        <v>17</v>
      </c>
      <c r="W13" s="771">
        <f t="shared" si="2"/>
        <v>100</v>
      </c>
      <c r="X13" s="772"/>
      <c r="Y13" s="3024"/>
      <c r="Z13" s="55">
        <f t="shared" si="7"/>
        <v>111</v>
      </c>
      <c r="AA13" s="773">
        <f>D13/F13</f>
        <v>1</v>
      </c>
      <c r="AB13" s="773">
        <f>D13/H13</f>
        <v>1</v>
      </c>
      <c r="AC13" s="773">
        <f>D13/J13</f>
        <v>1</v>
      </c>
    </row>
    <row r="14" spans="1:30" ht="15.75" thickBot="1">
      <c r="A14" s="436"/>
      <c r="B14" s="2598">
        <v>111</v>
      </c>
      <c r="C14" s="437"/>
      <c r="D14" s="438">
        <v>100</v>
      </c>
      <c r="E14" s="549"/>
      <c r="F14" s="438">
        <f>SUMIF(86:86,E14,87:87)-SUMIF(86:86,C14,87:87)+100</f>
        <v>100</v>
      </c>
      <c r="G14" s="674"/>
      <c r="H14" s="438">
        <f>SUMIF(86:86,G14,87:87)-SUMIF(86:86,C14,87:87)+100</f>
        <v>100</v>
      </c>
      <c r="I14" s="674"/>
      <c r="J14" s="438">
        <f>SUMIF(86:86,I14,87:87)-SUMIF(86:86,C14,87:87)+100</f>
        <v>100</v>
      </c>
      <c r="K14" s="672"/>
      <c r="L14" s="1142"/>
      <c r="M14" s="1133"/>
      <c r="N14" s="1133"/>
      <c r="O14" s="1141"/>
      <c r="P14" s="3229"/>
      <c r="Q14" s="1797">
        <f t="shared" si="6"/>
        <v>111</v>
      </c>
      <c r="R14" s="770" t="s">
        <v>17</v>
      </c>
      <c r="S14" s="771">
        <f t="shared" si="0"/>
        <v>100</v>
      </c>
      <c r="T14" s="770" t="s">
        <v>17</v>
      </c>
      <c r="U14" s="771">
        <f t="shared" si="1"/>
        <v>100</v>
      </c>
      <c r="V14" s="770" t="s">
        <v>17</v>
      </c>
      <c r="W14" s="771">
        <f t="shared" si="2"/>
        <v>100</v>
      </c>
      <c r="X14" s="772"/>
      <c r="Y14" s="3024"/>
      <c r="Z14" s="55">
        <f t="shared" si="7"/>
        <v>111</v>
      </c>
      <c r="AA14" s="773">
        <f>D14/F14</f>
        <v>1</v>
      </c>
      <c r="AB14" s="773">
        <f>D14/H14</f>
        <v>1</v>
      </c>
      <c r="AC14" s="773">
        <f>D14/J14</f>
        <v>1</v>
      </c>
    </row>
    <row r="15" spans="1:30" ht="15">
      <c r="A15" s="440" t="s">
        <v>2547</v>
      </c>
      <c r="B15" s="69" t="s">
        <v>2083</v>
      </c>
      <c r="C15" s="2599">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2"/>
      <c r="M15" s="1133"/>
      <c r="N15" s="1133"/>
      <c r="O15" s="1141"/>
      <c r="P15" s="3231" t="s">
        <v>2548</v>
      </c>
      <c r="Q15" s="1812" t="str">
        <f t="shared" si="6"/>
        <v>居住社区成熟度</v>
      </c>
      <c r="R15" s="774" t="s">
        <v>17</v>
      </c>
      <c r="S15" s="775">
        <f t="shared" si="0"/>
        <v>100</v>
      </c>
      <c r="T15" s="774" t="s">
        <v>17</v>
      </c>
      <c r="U15" s="775">
        <f t="shared" si="1"/>
        <v>100</v>
      </c>
      <c r="V15" s="774" t="s">
        <v>17</v>
      </c>
      <c r="W15" s="775">
        <f t="shared" si="2"/>
        <v>100</v>
      </c>
      <c r="X15" s="1815"/>
      <c r="Y15" s="3231" t="s">
        <v>2548</v>
      </c>
      <c r="Z15" s="1816" t="str">
        <f t="shared" si="7"/>
        <v>居住社区成熟度</v>
      </c>
      <c r="AA15" s="1813">
        <f t="shared" si="3"/>
        <v>1</v>
      </c>
      <c r="AB15" s="1813">
        <f t="shared" si="4"/>
        <v>1</v>
      </c>
      <c r="AC15" s="1813">
        <f t="shared" si="5"/>
        <v>1</v>
      </c>
    </row>
    <row r="16" spans="1:30" ht="15">
      <c r="A16" s="428"/>
      <c r="B16" s="446"/>
      <c r="C16" s="447"/>
      <c r="D16" s="448"/>
      <c r="E16" s="2601"/>
      <c r="F16" s="448"/>
      <c r="G16" s="2601"/>
      <c r="H16" s="450"/>
      <c r="I16" s="2600"/>
      <c r="J16" s="448"/>
      <c r="K16" s="672"/>
      <c r="L16" s="1142"/>
      <c r="M16" s="1133"/>
      <c r="N16" s="1133"/>
      <c r="O16" s="1141"/>
      <c r="P16" s="3232"/>
      <c r="Q16" s="1812"/>
      <c r="R16" s="774"/>
      <c r="S16" s="775"/>
      <c r="T16" s="774"/>
      <c r="U16" s="775"/>
      <c r="V16" s="774"/>
      <c r="W16" s="775"/>
      <c r="X16" s="1815"/>
      <c r="Y16" s="3232"/>
      <c r="Z16" s="1816"/>
      <c r="AA16" s="1813">
        <v>1</v>
      </c>
      <c r="AB16" s="1813">
        <v>1</v>
      </c>
      <c r="AC16" s="1813">
        <v>1</v>
      </c>
    </row>
    <row r="17" spans="1:29" ht="15">
      <c r="A17" s="428"/>
      <c r="B17" s="451" t="s">
        <v>2641</v>
      </c>
      <c r="C17" s="2660">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2"/>
      <c r="M17" s="1133"/>
      <c r="N17" s="1133"/>
      <c r="O17" s="1141"/>
      <c r="P17" s="3232"/>
      <c r="Q17" s="1812" t="str">
        <f>B17</f>
        <v>商业繁华度</v>
      </c>
      <c r="R17" s="774" t="s">
        <v>17</v>
      </c>
      <c r="S17" s="775">
        <f>F17</f>
        <v>100</v>
      </c>
      <c r="T17" s="774" t="s">
        <v>17</v>
      </c>
      <c r="U17" s="775">
        <f>H17</f>
        <v>100</v>
      </c>
      <c r="V17" s="774" t="s">
        <v>17</v>
      </c>
      <c r="W17" s="775">
        <f>J17</f>
        <v>100</v>
      </c>
      <c r="X17" s="1815"/>
      <c r="Y17" s="3232"/>
      <c r="Z17" s="1816" t="str">
        <f>Q17</f>
        <v>商业繁华度</v>
      </c>
      <c r="AA17" s="1813">
        <f t="shared" si="3"/>
        <v>1</v>
      </c>
      <c r="AB17" s="1813">
        <f t="shared" si="4"/>
        <v>1</v>
      </c>
      <c r="AC17" s="1813">
        <f t="shared" si="5"/>
        <v>1</v>
      </c>
    </row>
    <row r="18" spans="1:29" ht="15">
      <c r="A18" s="428"/>
      <c r="B18" s="456"/>
      <c r="C18" s="2604"/>
      <c r="D18" s="450"/>
      <c r="E18" s="2606"/>
      <c r="F18" s="450"/>
      <c r="G18" s="2606"/>
      <c r="H18" s="448"/>
      <c r="I18" s="2605"/>
      <c r="J18" s="448"/>
      <c r="K18" s="672"/>
      <c r="L18" s="1142"/>
      <c r="M18" s="1133"/>
      <c r="N18" s="1133"/>
      <c r="O18" s="1141"/>
      <c r="P18" s="3232"/>
      <c r="Q18" s="1812"/>
      <c r="R18" s="774"/>
      <c r="S18" s="775"/>
      <c r="T18" s="774"/>
      <c r="U18" s="775"/>
      <c r="V18" s="774"/>
      <c r="W18" s="775"/>
      <c r="X18" s="1815"/>
      <c r="Y18" s="3232"/>
      <c r="Z18" s="1816"/>
      <c r="AA18" s="1813">
        <v>1</v>
      </c>
      <c r="AB18" s="1813">
        <v>1</v>
      </c>
      <c r="AC18" s="1813">
        <v>1</v>
      </c>
    </row>
    <row r="19" spans="1:29" ht="15">
      <c r="A19" s="428"/>
      <c r="B19" s="451" t="s">
        <v>2675</v>
      </c>
      <c r="C19" s="2660">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2"/>
      <c r="M19" s="1133"/>
      <c r="N19" s="1133"/>
      <c r="O19" s="1141"/>
      <c r="P19" s="3232"/>
      <c r="Q19" s="1812" t="str">
        <f>B19</f>
        <v>办公集聚程度</v>
      </c>
      <c r="R19" s="774" t="s">
        <v>17</v>
      </c>
      <c r="S19" s="775">
        <f>F19</f>
        <v>100</v>
      </c>
      <c r="T19" s="774" t="s">
        <v>17</v>
      </c>
      <c r="U19" s="775">
        <f>H19</f>
        <v>100</v>
      </c>
      <c r="V19" s="774" t="s">
        <v>17</v>
      </c>
      <c r="W19" s="775">
        <f>J19</f>
        <v>100</v>
      </c>
      <c r="X19" s="1815"/>
      <c r="Y19" s="3232"/>
      <c r="Z19" s="1816" t="str">
        <f>Q19</f>
        <v>办公集聚程度</v>
      </c>
      <c r="AA19" s="1813">
        <f t="shared" si="3"/>
        <v>1</v>
      </c>
      <c r="AB19" s="1813">
        <f t="shared" si="4"/>
        <v>1</v>
      </c>
      <c r="AC19" s="1813">
        <f t="shared" si="5"/>
        <v>1</v>
      </c>
    </row>
    <row r="20" spans="1:29" ht="15">
      <c r="A20" s="428"/>
      <c r="B20" s="456"/>
      <c r="C20" s="447"/>
      <c r="D20" s="448"/>
      <c r="E20" s="2601"/>
      <c r="F20" s="448"/>
      <c r="G20" s="2601"/>
      <c r="H20" s="448"/>
      <c r="I20" s="2600"/>
      <c r="J20" s="448"/>
      <c r="K20" s="672"/>
      <c r="L20" s="1142"/>
      <c r="M20" s="1133"/>
      <c r="N20" s="1133"/>
      <c r="O20" s="1141"/>
      <c r="P20" s="3232"/>
      <c r="Q20" s="1812"/>
      <c r="R20" s="774"/>
      <c r="S20" s="775"/>
      <c r="T20" s="774"/>
      <c r="U20" s="775"/>
      <c r="V20" s="774"/>
      <c r="W20" s="775"/>
      <c r="X20" s="1815"/>
      <c r="Y20" s="3232"/>
      <c r="Z20" s="1816"/>
      <c r="AA20" s="1813">
        <v>1</v>
      </c>
      <c r="AB20" s="1813">
        <v>1</v>
      </c>
      <c r="AC20" s="1813">
        <v>1</v>
      </c>
    </row>
    <row r="21" spans="1:29" ht="15">
      <c r="A21" s="428"/>
      <c r="B21" s="451" t="s">
        <v>2697</v>
      </c>
      <c r="C21" s="2603">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2"/>
      <c r="M21" s="1133"/>
      <c r="N21" s="1133"/>
      <c r="O21" s="1141"/>
      <c r="P21" s="3232"/>
      <c r="Q21" s="1812" t="str">
        <f>B21</f>
        <v>交通便捷度</v>
      </c>
      <c r="R21" s="774" t="s">
        <v>17</v>
      </c>
      <c r="S21" s="775">
        <f>F21</f>
        <v>100</v>
      </c>
      <c r="T21" s="774" t="s">
        <v>17</v>
      </c>
      <c r="U21" s="775">
        <f>H21</f>
        <v>100</v>
      </c>
      <c r="V21" s="774" t="s">
        <v>17</v>
      </c>
      <c r="W21" s="775">
        <f>J21</f>
        <v>100</v>
      </c>
      <c r="X21" s="1815"/>
      <c r="Y21" s="3232"/>
      <c r="Z21" s="1816" t="str">
        <f>Q21</f>
        <v>交通便捷度</v>
      </c>
      <c r="AA21" s="1813">
        <f t="shared" si="3"/>
        <v>1</v>
      </c>
      <c r="AB21" s="1813">
        <f t="shared" si="4"/>
        <v>1</v>
      </c>
      <c r="AC21" s="1813">
        <f t="shared" si="5"/>
        <v>1</v>
      </c>
    </row>
    <row r="22" spans="1:29" ht="15">
      <c r="A22" s="428"/>
      <c r="B22" s="1386"/>
      <c r="C22" s="447"/>
      <c r="D22" s="450"/>
      <c r="E22" s="2601"/>
      <c r="F22" s="448"/>
      <c r="G22" s="2601"/>
      <c r="H22" s="448"/>
      <c r="I22" s="2600"/>
      <c r="J22" s="448"/>
      <c r="K22" s="672"/>
      <c r="L22" s="1142"/>
      <c r="M22" s="1133"/>
      <c r="N22" s="1133"/>
      <c r="O22" s="1141"/>
      <c r="P22" s="3232"/>
      <c r="Q22" s="1812"/>
      <c r="R22" s="774"/>
      <c r="S22" s="775"/>
      <c r="T22" s="774"/>
      <c r="U22" s="775"/>
      <c r="V22" s="774"/>
      <c r="W22" s="775"/>
      <c r="X22" s="1815"/>
      <c r="Y22" s="3232"/>
      <c r="Z22" s="1816"/>
      <c r="AA22" s="1813">
        <v>1</v>
      </c>
      <c r="AB22" s="1813">
        <v>1</v>
      </c>
      <c r="AC22" s="1813">
        <v>1</v>
      </c>
    </row>
    <row r="23" spans="1:29" ht="15">
      <c r="A23" s="404"/>
      <c r="B23" s="451" t="s">
        <v>2736</v>
      </c>
      <c r="C23" s="1391">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2"/>
      <c r="M23" s="1133"/>
      <c r="N23" s="1133"/>
      <c r="O23" s="1141"/>
      <c r="P23" s="3232"/>
      <c r="Q23" s="1812" t="str">
        <f t="shared" ref="Q23:Q37" si="8">B23</f>
        <v>区域土地利用方向</v>
      </c>
      <c r="R23" s="774" t="s">
        <v>17</v>
      </c>
      <c r="S23" s="775">
        <f>F23</f>
        <v>100</v>
      </c>
      <c r="T23" s="774" t="s">
        <v>17</v>
      </c>
      <c r="U23" s="775">
        <f>H23</f>
        <v>100</v>
      </c>
      <c r="V23" s="774" t="s">
        <v>17</v>
      </c>
      <c r="W23" s="775">
        <f>J23</f>
        <v>100</v>
      </c>
      <c r="X23" s="1815"/>
      <c r="Y23" s="3232"/>
      <c r="Z23" s="1816" t="str">
        <f>Q23</f>
        <v>区域土地利用方向</v>
      </c>
      <c r="AA23" s="1813">
        <f t="shared" si="3"/>
        <v>1</v>
      </c>
      <c r="AB23" s="1813">
        <f t="shared" si="4"/>
        <v>1</v>
      </c>
      <c r="AC23" s="1813">
        <f t="shared" si="5"/>
        <v>1</v>
      </c>
    </row>
    <row r="24" spans="1:29" ht="15">
      <c r="A24" s="404"/>
      <c r="B24" s="456"/>
      <c r="C24" s="616"/>
      <c r="D24" s="448"/>
      <c r="E24" s="2601"/>
      <c r="F24" s="448"/>
      <c r="G24" s="2600"/>
      <c r="H24" s="448"/>
      <c r="I24" s="2600"/>
      <c r="J24" s="448"/>
      <c r="K24" s="812"/>
      <c r="L24" s="1142"/>
      <c r="M24" s="1133"/>
      <c r="N24" s="1133"/>
      <c r="O24" s="1141"/>
      <c r="P24" s="3232"/>
      <c r="Q24" s="1812"/>
      <c r="R24" s="774"/>
      <c r="S24" s="775"/>
      <c r="T24" s="774"/>
      <c r="U24" s="775"/>
      <c r="V24" s="774"/>
      <c r="W24" s="775"/>
      <c r="X24" s="1815"/>
      <c r="Y24" s="3232"/>
      <c r="Z24" s="1816"/>
      <c r="AA24" s="1813"/>
      <c r="AB24" s="1813"/>
      <c r="AC24" s="1813"/>
    </row>
    <row r="25" spans="1:29" ht="27">
      <c r="A25" s="404"/>
      <c r="B25" s="1386" t="s">
        <v>2737</v>
      </c>
      <c r="C25" s="2660">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2"/>
      <c r="M25" s="1133"/>
      <c r="N25" s="1133"/>
      <c r="O25" s="1141"/>
      <c r="P25" s="3232"/>
      <c r="Q25" s="1812" t="str">
        <f t="shared" si="8"/>
        <v>自然及人文环境状况</v>
      </c>
      <c r="R25" s="774" t="s">
        <v>17</v>
      </c>
      <c r="S25" s="775">
        <f>F25</f>
        <v>100</v>
      </c>
      <c r="T25" s="774" t="s">
        <v>17</v>
      </c>
      <c r="U25" s="775">
        <f>H25</f>
        <v>100</v>
      </c>
      <c r="V25" s="774" t="s">
        <v>17</v>
      </c>
      <c r="W25" s="775">
        <f>J25</f>
        <v>100</v>
      </c>
      <c r="X25" s="1815"/>
      <c r="Y25" s="3232"/>
      <c r="Z25" s="1816" t="str">
        <f>Q25</f>
        <v>自然及人文环境状况</v>
      </c>
      <c r="AA25" s="1813">
        <f t="shared" si="3"/>
        <v>1</v>
      </c>
      <c r="AB25" s="1813">
        <f t="shared" si="4"/>
        <v>1</v>
      </c>
      <c r="AC25" s="1813">
        <f t="shared" si="5"/>
        <v>1</v>
      </c>
    </row>
    <row r="26" spans="1:29" ht="15">
      <c r="A26" s="404"/>
      <c r="B26" s="456"/>
      <c r="C26" s="447"/>
      <c r="D26" s="448"/>
      <c r="E26" s="2607"/>
      <c r="F26" s="448"/>
      <c r="G26" s="2607"/>
      <c r="H26" s="448"/>
      <c r="I26" s="447"/>
      <c r="J26" s="448"/>
      <c r="K26" s="672"/>
      <c r="L26" s="1142"/>
      <c r="M26" s="1133"/>
      <c r="N26" s="1133"/>
      <c r="O26" s="1141"/>
      <c r="P26" s="3232"/>
      <c r="Q26" s="1812"/>
      <c r="R26" s="774"/>
      <c r="S26" s="775"/>
      <c r="T26" s="774"/>
      <c r="U26" s="775"/>
      <c r="V26" s="774"/>
      <c r="W26" s="775"/>
      <c r="X26" s="1815"/>
      <c r="Y26" s="3232"/>
      <c r="Z26" s="1816"/>
      <c r="AA26" s="1813">
        <v>1</v>
      </c>
      <c r="AB26" s="1813">
        <v>1</v>
      </c>
      <c r="AC26" s="1813">
        <v>1</v>
      </c>
    </row>
    <row r="27" spans="1:29" s="117" customFormat="1" ht="15">
      <c r="A27" s="649"/>
      <c r="B27" s="1386" t="s">
        <v>2642</v>
      </c>
      <c r="C27" s="2603">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4"/>
      <c r="M27" s="1135"/>
      <c r="N27" s="1135"/>
      <c r="O27" s="1136"/>
      <c r="P27" s="3232"/>
      <c r="Q27" s="1797" t="str">
        <f t="shared" si="8"/>
        <v>公共配套设施</v>
      </c>
      <c r="R27" s="770" t="s">
        <v>17</v>
      </c>
      <c r="S27" s="771">
        <f>F27</f>
        <v>100</v>
      </c>
      <c r="T27" s="770" t="s">
        <v>17</v>
      </c>
      <c r="U27" s="771">
        <f>H27</f>
        <v>100</v>
      </c>
      <c r="V27" s="770" t="s">
        <v>17</v>
      </c>
      <c r="W27" s="771">
        <f>J27</f>
        <v>100</v>
      </c>
      <c r="X27" s="772"/>
      <c r="Y27" s="3232"/>
      <c r="Z27" s="55" t="str">
        <f>Q27</f>
        <v>公共配套设施</v>
      </c>
      <c r="AA27" s="1813">
        <f>D27/F27</f>
        <v>1</v>
      </c>
      <c r="AB27" s="1813">
        <f>D27/H27</f>
        <v>1</v>
      </c>
      <c r="AC27" s="1813">
        <f>D27/J27</f>
        <v>1</v>
      </c>
    </row>
    <row r="28" spans="1:29" s="117" customFormat="1" ht="15">
      <c r="A28" s="649"/>
      <c r="B28" s="456"/>
      <c r="C28" s="2696"/>
      <c r="D28" s="448"/>
      <c r="E28" s="2607"/>
      <c r="F28" s="448"/>
      <c r="G28" s="2607"/>
      <c r="H28" s="448"/>
      <c r="I28" s="447"/>
      <c r="J28" s="448"/>
      <c r="K28" s="672"/>
      <c r="L28" s="1134"/>
      <c r="M28" s="1135"/>
      <c r="N28" s="1135"/>
      <c r="O28" s="1136"/>
      <c r="P28" s="3232"/>
      <c r="Q28" s="1797"/>
      <c r="R28" s="770"/>
      <c r="S28" s="771"/>
      <c r="T28" s="770"/>
      <c r="U28" s="771"/>
      <c r="V28" s="770"/>
      <c r="W28" s="771"/>
      <c r="X28" s="772"/>
      <c r="Y28" s="3232"/>
      <c r="Z28" s="55"/>
      <c r="AA28" s="1813">
        <v>1</v>
      </c>
      <c r="AB28" s="1813">
        <v>1</v>
      </c>
      <c r="AC28" s="1813">
        <v>1</v>
      </c>
    </row>
    <row r="29" spans="1:29" s="117" customFormat="1" ht="15">
      <c r="A29" s="649"/>
      <c r="B29" s="1386" t="s">
        <v>2643</v>
      </c>
      <c r="C29" s="2603">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4"/>
      <c r="M29" s="1135"/>
      <c r="N29" s="1135"/>
      <c r="O29" s="1136"/>
      <c r="P29" s="3232"/>
      <c r="Q29" s="1797" t="str">
        <f t="shared" ref="Q29" si="9">B29</f>
        <v>基础设施水平</v>
      </c>
      <c r="R29" s="770" t="s">
        <v>17</v>
      </c>
      <c r="S29" s="771">
        <f>F29</f>
        <v>100</v>
      </c>
      <c r="T29" s="770" t="s">
        <v>17</v>
      </c>
      <c r="U29" s="771">
        <f>H29</f>
        <v>100</v>
      </c>
      <c r="V29" s="770" t="s">
        <v>17</v>
      </c>
      <c r="W29" s="771">
        <f>J29</f>
        <v>100</v>
      </c>
      <c r="X29" s="772"/>
      <c r="Y29" s="3232"/>
      <c r="Z29" s="55" t="str">
        <f>Q29</f>
        <v>基础设施水平</v>
      </c>
      <c r="AA29" s="1813">
        <f>D29/F29</f>
        <v>1</v>
      </c>
      <c r="AB29" s="1813">
        <f>D29/H29</f>
        <v>1</v>
      </c>
      <c r="AC29" s="1813">
        <f>D29/J29</f>
        <v>1</v>
      </c>
    </row>
    <row r="30" spans="1:29" s="117" customFormat="1" ht="15">
      <c r="A30" s="649"/>
      <c r="B30" s="456"/>
      <c r="C30" s="2696"/>
      <c r="D30" s="448"/>
      <c r="E30" s="2697"/>
      <c r="F30" s="448"/>
      <c r="G30" s="2697"/>
      <c r="H30" s="448"/>
      <c r="I30" s="2697"/>
      <c r="J30" s="448"/>
      <c r="K30" s="672"/>
      <c r="L30" s="1134"/>
      <c r="M30" s="1135"/>
      <c r="N30" s="1135"/>
      <c r="O30" s="1136"/>
      <c r="P30" s="3232"/>
      <c r="Q30" s="1797"/>
      <c r="R30" s="770"/>
      <c r="S30" s="771"/>
      <c r="T30" s="770"/>
      <c r="U30" s="771"/>
      <c r="V30" s="770"/>
      <c r="W30" s="771"/>
      <c r="X30" s="772"/>
      <c r="Y30" s="3232"/>
      <c r="Z30" s="55"/>
      <c r="AA30" s="1813">
        <v>1</v>
      </c>
      <c r="AB30" s="1813">
        <v>1</v>
      </c>
      <c r="AC30" s="1813">
        <v>1</v>
      </c>
    </row>
    <row r="31" spans="1:29" ht="15">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2"/>
      <c r="M31" s="1133"/>
      <c r="N31" s="1133"/>
      <c r="O31" s="1141"/>
      <c r="P31" s="3232"/>
      <c r="Q31" s="1812" t="str">
        <f t="shared" si="8"/>
        <v>临街状况</v>
      </c>
      <c r="R31" s="774" t="s">
        <v>17</v>
      </c>
      <c r="S31" s="775">
        <f t="shared" ref="S31:S45" si="10">F31</f>
        <v>100</v>
      </c>
      <c r="T31" s="774" t="s">
        <v>17</v>
      </c>
      <c r="U31" s="775">
        <f t="shared" ref="U31:U45" si="11">H31</f>
        <v>100</v>
      </c>
      <c r="V31" s="774" t="s">
        <v>17</v>
      </c>
      <c r="W31" s="775">
        <f t="shared" ref="W31:W45" si="12">J31</f>
        <v>100</v>
      </c>
      <c r="X31" s="1815"/>
      <c r="Y31" s="3232"/>
      <c r="Z31" s="1816" t="str">
        <f t="shared" ref="Z31:Z45" si="13">Q31</f>
        <v>临街状况</v>
      </c>
      <c r="AA31" s="1813">
        <f t="shared" si="3"/>
        <v>1</v>
      </c>
      <c r="AB31" s="1813">
        <f t="shared" si="4"/>
        <v>1</v>
      </c>
      <c r="AC31" s="1813">
        <f t="shared" si="5"/>
        <v>1</v>
      </c>
    </row>
    <row r="32" spans="1:29" ht="27">
      <c r="A32" s="428"/>
      <c r="B32" s="1386" t="s">
        <v>2679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2"/>
      <c r="M32" s="1133"/>
      <c r="N32" s="1133"/>
      <c r="O32" s="1141"/>
      <c r="P32" s="3232"/>
      <c r="Q32" s="1812" t="str">
        <f t="shared" si="8"/>
        <v>毗邻道路的类型与等级</v>
      </c>
      <c r="R32" s="774" t="s">
        <v>17</v>
      </c>
      <c r="S32" s="775">
        <f t="shared" si="10"/>
        <v>100</v>
      </c>
      <c r="T32" s="774" t="s">
        <v>17</v>
      </c>
      <c r="U32" s="775">
        <f t="shared" si="11"/>
        <v>100</v>
      </c>
      <c r="V32" s="774" t="s">
        <v>17</v>
      </c>
      <c r="W32" s="775">
        <f t="shared" si="12"/>
        <v>100</v>
      </c>
      <c r="X32" s="1815"/>
      <c r="Y32" s="3232"/>
      <c r="Z32" s="1816" t="str">
        <f t="shared" si="13"/>
        <v>毗邻道路的类型与等级</v>
      </c>
      <c r="AA32" s="1813">
        <f t="shared" si="3"/>
        <v>1</v>
      </c>
      <c r="AB32" s="1813">
        <f t="shared" si="4"/>
        <v>1</v>
      </c>
      <c r="AC32" s="1813">
        <f t="shared" si="5"/>
        <v>1</v>
      </c>
    </row>
    <row r="33" spans="1:29" ht="15">
      <c r="A33" s="428"/>
      <c r="B33" s="456"/>
      <c r="C33" s="447"/>
      <c r="D33" s="448"/>
      <c r="E33" s="2607"/>
      <c r="F33" s="448"/>
      <c r="G33" s="2607"/>
      <c r="H33" s="448"/>
      <c r="I33" s="447"/>
      <c r="J33" s="448"/>
      <c r="K33" s="613"/>
      <c r="L33" s="1142"/>
      <c r="M33" s="1133"/>
      <c r="N33" s="1133"/>
      <c r="O33" s="1141"/>
      <c r="P33" s="3232"/>
      <c r="Q33" s="1812"/>
      <c r="R33" s="774"/>
      <c r="S33" s="775"/>
      <c r="T33" s="774"/>
      <c r="U33" s="775"/>
      <c r="V33" s="774"/>
      <c r="W33" s="775"/>
      <c r="X33" s="1815"/>
      <c r="Y33" s="3232"/>
      <c r="Z33" s="1816"/>
      <c r="AA33" s="1813">
        <v>1</v>
      </c>
      <c r="AB33" s="1813">
        <v>1</v>
      </c>
      <c r="AC33" s="1813">
        <v>1</v>
      </c>
    </row>
    <row r="34" spans="1:29" ht="15">
      <c r="A34" s="428"/>
      <c r="B34" s="422" t="s">
        <v>2738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2"/>
      <c r="M34" s="1133"/>
      <c r="N34" s="1133"/>
      <c r="O34" s="1141"/>
      <c r="P34" s="3232"/>
      <c r="Q34" s="1812" t="str">
        <f t="shared" si="8"/>
        <v>土地级别</v>
      </c>
      <c r="R34" s="774" t="s">
        <v>17</v>
      </c>
      <c r="S34" s="775">
        <f t="shared" si="10"/>
        <v>100</v>
      </c>
      <c r="T34" s="774" t="s">
        <v>17</v>
      </c>
      <c r="U34" s="775">
        <f t="shared" si="11"/>
        <v>100</v>
      </c>
      <c r="V34" s="774" t="s">
        <v>17</v>
      </c>
      <c r="W34" s="775">
        <f t="shared" si="12"/>
        <v>100</v>
      </c>
      <c r="X34" s="1815"/>
      <c r="Y34" s="3232"/>
      <c r="Z34" s="1816" t="str">
        <f t="shared" si="13"/>
        <v>土地级别</v>
      </c>
      <c r="AA34" s="1813">
        <f t="shared" si="3"/>
        <v>1</v>
      </c>
      <c r="AB34" s="1813">
        <f t="shared" si="4"/>
        <v>1</v>
      </c>
      <c r="AC34" s="1813">
        <f t="shared" si="5"/>
        <v>1</v>
      </c>
    </row>
    <row r="35" spans="1:29" ht="15">
      <c r="A35" s="404"/>
      <c r="B35" s="1388">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2"/>
      <c r="M35" s="1133"/>
      <c r="N35" s="1133"/>
      <c r="O35" s="1141"/>
      <c r="P35" s="3232"/>
      <c r="Q35" s="1812">
        <f t="shared" si="8"/>
        <v>111</v>
      </c>
      <c r="R35" s="774" t="s">
        <v>17</v>
      </c>
      <c r="S35" s="775">
        <f t="shared" si="10"/>
        <v>100</v>
      </c>
      <c r="T35" s="774" t="s">
        <v>17</v>
      </c>
      <c r="U35" s="775">
        <f t="shared" si="11"/>
        <v>100</v>
      </c>
      <c r="V35" s="774" t="s">
        <v>17</v>
      </c>
      <c r="W35" s="775">
        <f t="shared" si="12"/>
        <v>100</v>
      </c>
      <c r="X35" s="1815"/>
      <c r="Y35" s="3232"/>
      <c r="Z35" s="1816">
        <f t="shared" si="13"/>
        <v>111</v>
      </c>
      <c r="AA35" s="1813">
        <f t="shared" si="3"/>
        <v>1</v>
      </c>
      <c r="AB35" s="1813">
        <f t="shared" si="4"/>
        <v>1</v>
      </c>
      <c r="AC35" s="1813">
        <f t="shared" si="5"/>
        <v>1</v>
      </c>
    </row>
    <row r="36" spans="1:29" ht="15">
      <c r="A36" s="675"/>
      <c r="B36" s="1389">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2"/>
      <c r="M36" s="1133"/>
      <c r="N36" s="1133"/>
      <c r="O36" s="1141"/>
      <c r="P36" s="3255" t="s">
        <v>2553</v>
      </c>
      <c r="Q36" s="1812">
        <f t="shared" si="8"/>
        <v>111</v>
      </c>
      <c r="R36" s="774" t="s">
        <v>17</v>
      </c>
      <c r="S36" s="775">
        <f t="shared" si="10"/>
        <v>100</v>
      </c>
      <c r="T36" s="774" t="s">
        <v>17</v>
      </c>
      <c r="U36" s="775">
        <f t="shared" si="11"/>
        <v>100</v>
      </c>
      <c r="V36" s="774" t="s">
        <v>17</v>
      </c>
      <c r="W36" s="775">
        <f t="shared" si="12"/>
        <v>100</v>
      </c>
      <c r="X36" s="1815"/>
      <c r="Y36" s="3236" t="s">
        <v>2553</v>
      </c>
      <c r="Z36" s="1816">
        <f t="shared" si="13"/>
        <v>111</v>
      </c>
      <c r="AA36" s="1813">
        <f t="shared" si="3"/>
        <v>1</v>
      </c>
      <c r="AB36" s="1813">
        <f t="shared" si="4"/>
        <v>1</v>
      </c>
      <c r="AC36" s="1813">
        <f t="shared" si="5"/>
        <v>1</v>
      </c>
    </row>
    <row r="37" spans="1:29" s="471" customFormat="1" ht="15.75" thickBot="1">
      <c r="A37" s="676"/>
      <c r="B37" s="1390">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0"/>
      <c r="M37" s="1143"/>
      <c r="N37" s="1143"/>
      <c r="O37" s="1144"/>
      <c r="P37" s="3236"/>
      <c r="Q37" s="1812">
        <f t="shared" si="8"/>
        <v>111</v>
      </c>
      <c r="R37" s="777" t="s">
        <v>17</v>
      </c>
      <c r="S37" s="778">
        <f t="shared" si="10"/>
        <v>100</v>
      </c>
      <c r="T37" s="777" t="s">
        <v>17</v>
      </c>
      <c r="U37" s="778">
        <f t="shared" si="11"/>
        <v>100</v>
      </c>
      <c r="V37" s="777" t="s">
        <v>17</v>
      </c>
      <c r="W37" s="778">
        <f t="shared" si="12"/>
        <v>100</v>
      </c>
      <c r="X37" s="779"/>
      <c r="Y37" s="3236"/>
      <c r="Z37" s="780">
        <f t="shared" si="13"/>
        <v>111</v>
      </c>
      <c r="AA37" s="1813">
        <f t="shared" si="3"/>
        <v>1</v>
      </c>
      <c r="AB37" s="1813">
        <f t="shared" si="4"/>
        <v>1</v>
      </c>
      <c r="AC37" s="1813">
        <f t="shared" si="5"/>
        <v>1</v>
      </c>
    </row>
    <row r="38" spans="1:29" ht="15">
      <c r="A38" s="472" t="s">
        <v>2551</v>
      </c>
      <c r="B38" s="456" t="s">
        <v>2739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2"/>
      <c r="M38" s="1133"/>
      <c r="N38" s="1133"/>
      <c r="O38" s="1141"/>
      <c r="P38" s="3236"/>
      <c r="Q38" s="1812" t="str">
        <f>B38</f>
        <v>宗地面积</v>
      </c>
      <c r="R38" s="774" t="s">
        <v>17</v>
      </c>
      <c r="S38" s="775" t="e">
        <f t="shared" si="10"/>
        <v>#N/A</v>
      </c>
      <c r="T38" s="774" t="s">
        <v>17</v>
      </c>
      <c r="U38" s="775" t="e">
        <f t="shared" si="11"/>
        <v>#N/A</v>
      </c>
      <c r="V38" s="774" t="s">
        <v>17</v>
      </c>
      <c r="W38" s="775" t="e">
        <f t="shared" si="12"/>
        <v>#N/A</v>
      </c>
      <c r="X38" s="1815"/>
      <c r="Y38" s="3236"/>
      <c r="Z38" s="1816" t="str">
        <f t="shared" si="13"/>
        <v>宗地面积</v>
      </c>
      <c r="AA38" s="1813" t="e">
        <f t="shared" si="3"/>
        <v>#N/A</v>
      </c>
      <c r="AB38" s="1813" t="e">
        <f t="shared" si="4"/>
        <v>#N/A</v>
      </c>
      <c r="AC38" s="1813" t="e">
        <f t="shared" si="5"/>
        <v>#N/A</v>
      </c>
    </row>
    <row r="39" spans="1:29" ht="15">
      <c r="A39" s="472"/>
      <c r="B39" s="422" t="s">
        <v>2740</v>
      </c>
      <c r="C39" s="2609"/>
      <c r="D39" s="435">
        <v>100</v>
      </c>
      <c r="E39" s="2609"/>
      <c r="F39" s="435">
        <f>SUMIF(119:119,E39,120:120)-SUMIF(119:119,C39,120:120)+100</f>
        <v>100</v>
      </c>
      <c r="G39" s="2609"/>
      <c r="H39" s="435">
        <f>SUMIF(119:119,G39,120:120)-SUMIF(119:119,C39,120:120)+100</f>
        <v>100</v>
      </c>
      <c r="I39" s="2609"/>
      <c r="J39" s="435">
        <f>SUMIF(119:119,I39,120:120)-SUMIF(119:119,C39,120:120)+100</f>
        <v>100</v>
      </c>
      <c r="K39" s="612"/>
      <c r="L39" s="1142"/>
      <c r="M39" s="1133"/>
      <c r="N39" s="1133"/>
      <c r="O39" s="1141"/>
      <c r="P39" s="3236"/>
      <c r="Q39" s="1812" t="str">
        <f t="shared" ref="Q39:Q45" si="14">B39</f>
        <v>宗地形状</v>
      </c>
      <c r="R39" s="774" t="s">
        <v>17</v>
      </c>
      <c r="S39" s="775">
        <f t="shared" si="10"/>
        <v>100</v>
      </c>
      <c r="T39" s="774" t="s">
        <v>17</v>
      </c>
      <c r="U39" s="775">
        <f t="shared" si="11"/>
        <v>100</v>
      </c>
      <c r="V39" s="774" t="s">
        <v>17</v>
      </c>
      <c r="W39" s="775">
        <f t="shared" si="12"/>
        <v>100</v>
      </c>
      <c r="X39" s="1815"/>
      <c r="Y39" s="3236"/>
      <c r="Z39" s="1816" t="str">
        <f t="shared" si="13"/>
        <v>宗地形状</v>
      </c>
      <c r="AA39" s="1813">
        <f t="shared" si="3"/>
        <v>1</v>
      </c>
      <c r="AB39" s="1813">
        <f t="shared" si="4"/>
        <v>1</v>
      </c>
      <c r="AC39" s="1813">
        <f t="shared" si="5"/>
        <v>1</v>
      </c>
    </row>
    <row r="40" spans="1:29" ht="15">
      <c r="A40" s="472"/>
      <c r="B40" s="422" t="s">
        <v>2741</v>
      </c>
      <c r="C40" s="2609"/>
      <c r="D40" s="435">
        <v>100</v>
      </c>
      <c r="E40" s="2609"/>
      <c r="F40" s="435">
        <f>SUMIF(121:121,E40,122:122)-SUMIF(121:121,C40,122:122)+100</f>
        <v>100</v>
      </c>
      <c r="G40" s="2609"/>
      <c r="H40" s="435">
        <f>SUMIF(121:121,G40,122:122)-SUMIF(121:121,C40,122:122)+100</f>
        <v>100</v>
      </c>
      <c r="I40" s="2609"/>
      <c r="J40" s="435">
        <f>SUMIF(121:121,I40,122:122)-SUMIF(121:121,C40,122:122)+100</f>
        <v>100</v>
      </c>
      <c r="K40" s="612"/>
      <c r="L40" s="1142"/>
      <c r="M40" s="1133"/>
      <c r="N40" s="1133"/>
      <c r="O40" s="1141"/>
      <c r="P40" s="3236"/>
      <c r="Q40" s="1812" t="str">
        <f t="shared" si="14"/>
        <v>临街宽度及深度</v>
      </c>
      <c r="R40" s="774" t="s">
        <v>17</v>
      </c>
      <c r="S40" s="775">
        <f t="shared" si="10"/>
        <v>100</v>
      </c>
      <c r="T40" s="774" t="s">
        <v>17</v>
      </c>
      <c r="U40" s="775">
        <f t="shared" si="11"/>
        <v>100</v>
      </c>
      <c r="V40" s="774" t="s">
        <v>17</v>
      </c>
      <c r="W40" s="775">
        <f t="shared" si="12"/>
        <v>100</v>
      </c>
      <c r="X40" s="1815"/>
      <c r="Y40" s="3236"/>
      <c r="Z40" s="1816" t="str">
        <f t="shared" si="13"/>
        <v>临街宽度及深度</v>
      </c>
      <c r="AA40" s="1813">
        <f t="shared" si="3"/>
        <v>1</v>
      </c>
      <c r="AB40" s="1813">
        <f t="shared" si="4"/>
        <v>1</v>
      </c>
      <c r="AC40" s="1813">
        <f t="shared" si="5"/>
        <v>1</v>
      </c>
    </row>
    <row r="41" spans="1:29" s="117" customFormat="1" ht="15">
      <c r="A41" s="473"/>
      <c r="B41" s="422" t="s">
        <v>2742</v>
      </c>
      <c r="C41" s="2698"/>
      <c r="D41" s="136">
        <v>100</v>
      </c>
      <c r="E41" s="2698"/>
      <c r="F41" s="435">
        <f>SUMIF(123:123,E41,124:124)-SUMIF(123:123,C41,124:124)+100</f>
        <v>100</v>
      </c>
      <c r="G41" s="2698"/>
      <c r="H41" s="435">
        <f>SUMIF(123:123,G41,124:124)-SUMIF(123:123,C41,124:124)+100</f>
        <v>100</v>
      </c>
      <c r="I41" s="2698"/>
      <c r="J41" s="435">
        <f>SUMIF(123:123,I41,124:124)-SUMIF(123:123,C41,124:124)+100</f>
        <v>100</v>
      </c>
      <c r="K41" s="612"/>
      <c r="L41" s="1134"/>
      <c r="M41" s="1135"/>
      <c r="N41" s="1135"/>
      <c r="O41" s="1136"/>
      <c r="P41" s="3236"/>
      <c r="Q41" s="1812" t="str">
        <f t="shared" si="14"/>
        <v>宗地开发程度</v>
      </c>
      <c r="R41" s="770" t="s">
        <v>17</v>
      </c>
      <c r="S41" s="771">
        <f t="shared" si="10"/>
        <v>100</v>
      </c>
      <c r="T41" s="770" t="s">
        <v>17</v>
      </c>
      <c r="U41" s="771">
        <f t="shared" si="11"/>
        <v>100</v>
      </c>
      <c r="V41" s="770" t="s">
        <v>17</v>
      </c>
      <c r="W41" s="771">
        <f t="shared" si="12"/>
        <v>100</v>
      </c>
      <c r="X41" s="772"/>
      <c r="Y41" s="3236"/>
      <c r="Z41" s="55" t="str">
        <f t="shared" si="13"/>
        <v>宗地开发程度</v>
      </c>
      <c r="AA41" s="773">
        <f t="shared" si="3"/>
        <v>1</v>
      </c>
      <c r="AB41" s="773">
        <f t="shared" si="4"/>
        <v>1</v>
      </c>
      <c r="AC41" s="773">
        <f t="shared" si="5"/>
        <v>1</v>
      </c>
    </row>
    <row r="42" spans="1:29" ht="15">
      <c r="A42" s="472"/>
      <c r="B42" s="422" t="s">
        <v>2743</v>
      </c>
      <c r="C42" s="2609"/>
      <c r="D42" s="435">
        <v>100</v>
      </c>
      <c r="E42" s="2609"/>
      <c r="F42" s="435">
        <f>SUMIF(125:125,E42,126:126)-SUMIF(125:125,C42,126:126)+100</f>
        <v>100</v>
      </c>
      <c r="G42" s="2609"/>
      <c r="H42" s="435">
        <f>SUMIF(125:125,G42,126:126)-SUMIF(125:125,C42,126:126)+100</f>
        <v>100</v>
      </c>
      <c r="I42" s="2609"/>
      <c r="J42" s="435">
        <f>SUMIF(125:125,I42,126:126)-SUMIF(125:125,C42,126:126)+100</f>
        <v>100</v>
      </c>
      <c r="K42" s="612"/>
      <c r="L42" s="1142"/>
      <c r="M42" s="1133"/>
      <c r="N42" s="1133"/>
      <c r="O42" s="1141"/>
      <c r="P42" s="3236" t="s">
        <v>2553</v>
      </c>
      <c r="Q42" s="1812" t="str">
        <f t="shared" si="14"/>
        <v>工程地质条件</v>
      </c>
      <c r="R42" s="774" t="s">
        <v>17</v>
      </c>
      <c r="S42" s="775">
        <f t="shared" si="10"/>
        <v>100</v>
      </c>
      <c r="T42" s="774" t="s">
        <v>17</v>
      </c>
      <c r="U42" s="775">
        <f t="shared" si="11"/>
        <v>100</v>
      </c>
      <c r="V42" s="774" t="s">
        <v>17</v>
      </c>
      <c r="W42" s="775">
        <f t="shared" si="12"/>
        <v>100</v>
      </c>
      <c r="X42" s="1815"/>
      <c r="Y42" s="3236" t="s">
        <v>2553</v>
      </c>
      <c r="Z42" s="1816" t="str">
        <f t="shared" si="13"/>
        <v>工程地质条件</v>
      </c>
      <c r="AA42" s="1813">
        <f t="shared" si="3"/>
        <v>1</v>
      </c>
      <c r="AB42" s="1813">
        <f t="shared" si="4"/>
        <v>1</v>
      </c>
      <c r="AC42" s="1813">
        <f t="shared" si="5"/>
        <v>1</v>
      </c>
    </row>
    <row r="43" spans="1:29" ht="15">
      <c r="A43" s="472"/>
      <c r="B43" s="1389">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2"/>
      <c r="M43" s="1133"/>
      <c r="N43" s="1133"/>
      <c r="O43" s="1141"/>
      <c r="P43" s="3236"/>
      <c r="Q43" s="1812">
        <f t="shared" si="14"/>
        <v>111</v>
      </c>
      <c r="R43" s="774" t="s">
        <v>17</v>
      </c>
      <c r="S43" s="775">
        <f t="shared" si="10"/>
        <v>100</v>
      </c>
      <c r="T43" s="774" t="s">
        <v>17</v>
      </c>
      <c r="U43" s="775">
        <f t="shared" si="11"/>
        <v>100</v>
      </c>
      <c r="V43" s="774" t="s">
        <v>17</v>
      </c>
      <c r="W43" s="775">
        <f t="shared" si="12"/>
        <v>100</v>
      </c>
      <c r="X43" s="1815"/>
      <c r="Y43" s="3236"/>
      <c r="Z43" s="1816">
        <f t="shared" si="13"/>
        <v>111</v>
      </c>
      <c r="AA43" s="1813">
        <f t="shared" si="3"/>
        <v>1</v>
      </c>
      <c r="AB43" s="1813">
        <f t="shared" si="4"/>
        <v>1</v>
      </c>
      <c r="AC43" s="1813">
        <f t="shared" si="5"/>
        <v>1</v>
      </c>
    </row>
    <row r="44" spans="1:29" ht="15">
      <c r="A44" s="472"/>
      <c r="B44" s="1389">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2"/>
      <c r="M44" s="1133"/>
      <c r="N44" s="1133"/>
      <c r="O44" s="1141"/>
      <c r="P44" s="3236"/>
      <c r="Q44" s="1812">
        <f t="shared" si="14"/>
        <v>111</v>
      </c>
      <c r="R44" s="774" t="s">
        <v>17</v>
      </c>
      <c r="S44" s="775">
        <f t="shared" si="10"/>
        <v>100</v>
      </c>
      <c r="T44" s="774" t="s">
        <v>17</v>
      </c>
      <c r="U44" s="775">
        <f t="shared" si="11"/>
        <v>100</v>
      </c>
      <c r="V44" s="774" t="s">
        <v>17</v>
      </c>
      <c r="W44" s="775">
        <f t="shared" si="12"/>
        <v>100</v>
      </c>
      <c r="X44" s="1815"/>
      <c r="Y44" s="3236"/>
      <c r="Z44" s="1816">
        <f t="shared" si="13"/>
        <v>111</v>
      </c>
      <c r="AA44" s="1813">
        <f t="shared" si="3"/>
        <v>1</v>
      </c>
      <c r="AB44" s="1813">
        <f t="shared" si="4"/>
        <v>1</v>
      </c>
      <c r="AC44" s="1813">
        <f t="shared" si="5"/>
        <v>1</v>
      </c>
    </row>
    <row r="45" spans="1:29" s="471" customFormat="1" ht="15.75" thickBot="1">
      <c r="A45" s="468"/>
      <c r="B45" s="1389">
        <v>111</v>
      </c>
      <c r="C45" s="2699"/>
      <c r="D45" s="680">
        <v>100</v>
      </c>
      <c r="E45" s="674"/>
      <c r="F45" s="438">
        <f>SUMIF(131:131,E45,132:132)-SUMIF(131:131,C45,132:132)+100</f>
        <v>100</v>
      </c>
      <c r="G45" s="674"/>
      <c r="H45" s="438">
        <f>SUMIF(131:131,G45,132:132)-SUMIF(131:131,C45,132:132)+100</f>
        <v>100</v>
      </c>
      <c r="I45" s="674"/>
      <c r="J45" s="438">
        <f>SUMIF(131:131,I45,132:132)-SUMIF(131:131,C45,132:132)+100</f>
        <v>100</v>
      </c>
      <c r="K45" s="681"/>
      <c r="L45" s="1140"/>
      <c r="M45" s="1143"/>
      <c r="N45" s="1143"/>
      <c r="O45" s="1144"/>
      <c r="P45" s="3236"/>
      <c r="Q45" s="1812">
        <f t="shared" si="14"/>
        <v>111</v>
      </c>
      <c r="R45" s="777" t="s">
        <v>17</v>
      </c>
      <c r="S45" s="778">
        <f t="shared" si="10"/>
        <v>100</v>
      </c>
      <c r="T45" s="777" t="s">
        <v>17</v>
      </c>
      <c r="U45" s="778">
        <f t="shared" si="11"/>
        <v>100</v>
      </c>
      <c r="V45" s="777" t="s">
        <v>17</v>
      </c>
      <c r="W45" s="778">
        <f t="shared" si="12"/>
        <v>100</v>
      </c>
      <c r="X45" s="779"/>
      <c r="Y45" s="3236"/>
      <c r="Z45" s="780">
        <f t="shared" si="13"/>
        <v>111</v>
      </c>
      <c r="AA45" s="1813">
        <f t="shared" si="3"/>
        <v>1</v>
      </c>
      <c r="AB45" s="1813">
        <f t="shared" si="4"/>
        <v>1</v>
      </c>
      <c r="AC45" s="1813">
        <f t="shared" si="5"/>
        <v>1</v>
      </c>
    </row>
    <row r="46" spans="1:29" ht="15">
      <c r="A46" s="479" t="s">
        <v>2708</v>
      </c>
      <c r="B46" s="2700" t="s">
        <v>2744</v>
      </c>
      <c r="C46" s="682" t="s">
        <v>1</v>
      </c>
      <c r="D46" s="481"/>
      <c r="E46" s="482"/>
      <c r="F46" s="483"/>
      <c r="G46" s="484"/>
      <c r="H46" s="485"/>
      <c r="I46" s="482"/>
      <c r="J46" s="485"/>
      <c r="K46" s="783"/>
      <c r="L46" s="1145"/>
      <c r="M46" s="1146"/>
      <c r="N46" s="1133"/>
      <c r="O46" s="1146"/>
      <c r="P46" s="3229" t="str">
        <f>A46</f>
        <v>成交单价</v>
      </c>
      <c r="Q46" s="3229"/>
      <c r="R46" s="3224">
        <f>E46</f>
        <v>0</v>
      </c>
      <c r="S46" s="3224"/>
      <c r="T46" s="3224">
        <f>G46</f>
        <v>0</v>
      </c>
      <c r="U46" s="3224"/>
      <c r="V46" s="3224">
        <f>I46</f>
        <v>0</v>
      </c>
      <c r="W46" s="3224"/>
      <c r="X46" s="759"/>
      <c r="Y46" s="781"/>
      <c r="Z46" s="759"/>
      <c r="AA46" s="759"/>
      <c r="AB46" s="759"/>
      <c r="AC46" s="759"/>
    </row>
    <row r="47" spans="1:29" ht="15.75" thickBot="1">
      <c r="A47" s="486" t="s">
        <v>2657</v>
      </c>
      <c r="B47" s="683"/>
      <c r="C47" s="490" t="e">
        <f>R48</f>
        <v>#DIV/0!</v>
      </c>
      <c r="D47" s="489"/>
      <c r="E47" s="490" t="e">
        <f>R47</f>
        <v>#DIV/0!</v>
      </c>
      <c r="F47" s="491"/>
      <c r="G47" s="488" t="e">
        <f>T47</f>
        <v>#DIV/0!</v>
      </c>
      <c r="H47" s="489"/>
      <c r="I47" s="490" t="e">
        <f>V47</f>
        <v>#DIV/0!</v>
      </c>
      <c r="J47" s="489"/>
      <c r="K47" s="784"/>
      <c r="L47" s="1145"/>
      <c r="M47" s="1146"/>
      <c r="N47" s="1146"/>
      <c r="O47" s="1146"/>
      <c r="P47" s="3229" t="str">
        <f>A47</f>
        <v>比较价值（元/平方米）</v>
      </c>
      <c r="Q47" s="3229"/>
      <c r="R47" s="3256" t="e">
        <f>ROUND(PRODUCT(R46,AA7:AA45),0)</f>
        <v>#DIV/0!</v>
      </c>
      <c r="S47" s="3256"/>
      <c r="T47" s="3256" t="e">
        <f>ROUND(PRODUCT(T46,AB7:AB45),0)</f>
        <v>#DIV/0!</v>
      </c>
      <c r="U47" s="3256"/>
      <c r="V47" s="3256" t="e">
        <f>ROUND(PRODUCT(V46,AC7:AC45),0)</f>
        <v>#DIV/0!</v>
      </c>
      <c r="W47" s="3256"/>
      <c r="X47" s="759"/>
      <c r="Y47" s="759"/>
      <c r="Z47" s="759"/>
      <c r="AA47" s="759"/>
      <c r="AB47" s="759"/>
      <c r="AC47" s="759"/>
    </row>
    <row r="48" spans="1:29" ht="15.75" thickBot="1">
      <c r="A48" s="492" t="s">
        <v>2745</v>
      </c>
      <c r="B48" s="493"/>
      <c r="C48" s="494" t="e">
        <f>R48</f>
        <v>#DIV/0!</v>
      </c>
      <c r="D48" s="494"/>
      <c r="E48" s="494"/>
      <c r="F48" s="494"/>
      <c r="G48" s="494"/>
      <c r="H48" s="494"/>
      <c r="I48" s="494"/>
      <c r="J48" s="494"/>
      <c r="K48" s="785"/>
      <c r="L48" s="1145"/>
      <c r="M48" s="1146"/>
      <c r="N48" s="1146"/>
      <c r="O48" s="1146"/>
      <c r="P48" s="3226" t="str">
        <f>A48</f>
        <v>估价对象XX用房的比较价值（楼面单价，元/平方米）</v>
      </c>
      <c r="Q48" s="3227"/>
      <c r="R48" s="3257" t="e">
        <f>ROUND(AVERAGE(R47:V47),0)</f>
        <v>#DIV/0!</v>
      </c>
      <c r="S48" s="3257"/>
      <c r="T48" s="3257"/>
      <c r="U48" s="3257"/>
      <c r="V48" s="3257"/>
      <c r="W48" s="3257"/>
      <c r="X48" s="759"/>
      <c r="Y48" s="759"/>
      <c r="Z48" s="759"/>
      <c r="AA48" s="759"/>
      <c r="AB48" s="759"/>
      <c r="AC48" s="759"/>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7" t="s">
        <v>2659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7"/>
      <c r="L51" s="1108"/>
      <c r="M51" s="1146"/>
      <c r="N51" s="1146"/>
      <c r="O51" s="1146"/>
    </row>
    <row r="52" spans="1:15" ht="13.5" customHeight="1">
      <c r="A52" s="1146"/>
      <c r="B52" s="1146"/>
      <c r="C52" s="497" t="s">
        <v>2660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7"/>
      <c r="L52" s="1108"/>
      <c r="M52" s="1146"/>
      <c r="N52" s="1146"/>
      <c r="O52" s="1146"/>
    </row>
    <row r="53" spans="1:15" s="502" customFormat="1" ht="13.5" customHeight="1">
      <c r="A53" s="1147"/>
      <c r="B53" s="1147"/>
      <c r="C53" s="497" t="s">
        <v>2661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0"/>
      <c r="L53" s="1151"/>
      <c r="M53" s="1147"/>
      <c r="N53" s="1147"/>
      <c r="O53" s="1147"/>
    </row>
    <row r="54" spans="1:15" s="502" customFormat="1" ht="15" thickBot="1">
      <c r="A54" s="1147"/>
      <c r="B54" s="1148"/>
      <c r="C54" s="762"/>
      <c r="D54" s="760"/>
      <c r="E54" s="760"/>
      <c r="F54" s="760"/>
      <c r="G54" s="760"/>
      <c r="H54" s="760"/>
      <c r="I54" s="760"/>
      <c r="J54" s="760"/>
      <c r="K54" s="1150"/>
      <c r="L54" s="1151"/>
      <c r="M54" s="1147"/>
      <c r="N54" s="1147"/>
      <c r="O54" s="1147"/>
    </row>
    <row r="55" spans="1:15" ht="27" customHeight="1">
      <c r="A55" s="684" t="s">
        <v>2746</v>
      </c>
      <c r="B55" s="685" t="s">
        <v>2747</v>
      </c>
      <c r="C55" s="2701" t="s">
        <v>2748</v>
      </c>
      <c r="D55" s="2702" t="s">
        <v>2749</v>
      </c>
      <c r="E55" s="686" t="s">
        <v>2750</v>
      </c>
      <c r="F55" s="1109" t="s">
        <v>2751</v>
      </c>
      <c r="G55" s="3212" t="s">
        <v>2752</v>
      </c>
      <c r="H55" s="3258"/>
      <c r="I55" s="144" t="s">
        <v>2753</v>
      </c>
      <c r="J55" s="2703">
        <f>项目基本情况!F35</f>
        <v>0</v>
      </c>
      <c r="K55" s="2704" t="s">
        <v>2754</v>
      </c>
      <c r="L55" s="1108"/>
      <c r="M55" s="1146"/>
      <c r="N55" s="1146"/>
      <c r="O55" s="1146"/>
    </row>
    <row r="56" spans="1:15" s="692" customFormat="1">
      <c r="A56" s="688" t="s">
        <v>2755</v>
      </c>
      <c r="B56" s="689" t="e">
        <f>C48</f>
        <v>#DIV/0!</v>
      </c>
      <c r="C56" s="690">
        <v>1</v>
      </c>
      <c r="D56" s="1165">
        <v>1</v>
      </c>
      <c r="E56" s="690">
        <f>'数据-汇总表'!E8+'数据-汇总表'!E9</f>
        <v>1246.4000000000001</v>
      </c>
      <c r="F56" s="1105" t="e">
        <f t="shared" ref="F56:F65" si="15">ROUND(B56*E56/10000,0)</f>
        <v>#DIV/0!</v>
      </c>
      <c r="G56" s="3211"/>
      <c r="H56" s="3229"/>
      <c r="I56" s="1110">
        <v>1</v>
      </c>
      <c r="J56" s="1113">
        <v>1</v>
      </c>
      <c r="K56" s="1147"/>
      <c r="L56" s="944"/>
      <c r="M56" s="944"/>
      <c r="N56" s="944"/>
      <c r="O56" s="944"/>
    </row>
    <row r="57" spans="1:15" s="692" customFormat="1">
      <c r="A57" s="693" t="s">
        <v>2756</v>
      </c>
      <c r="B57" s="262" t="e">
        <f>ROUND($C$48*C57*D57,0)</f>
        <v>#DIV/0!</v>
      </c>
      <c r="C57" s="200">
        <f t="shared" ref="C57:C65" si="16">IF($C$55="北京市系数",I57,J57)</f>
        <v>0</v>
      </c>
      <c r="D57" s="1166">
        <v>0.25</v>
      </c>
      <c r="E57" s="694"/>
      <c r="F57" s="1105" t="e">
        <f t="shared" si="15"/>
        <v>#DIV/0!</v>
      </c>
      <c r="G57" s="3259" t="s">
        <v>2757</v>
      </c>
      <c r="H57" s="1106">
        <f>项目基本情况!B37</f>
        <v>0</v>
      </c>
      <c r="I57" s="1110">
        <f>SUMIF(修正!A45:A56,H57,修正!B45:B56)</f>
        <v>0</v>
      </c>
      <c r="J57" s="1114"/>
      <c r="K57" s="1146"/>
      <c r="L57" s="944"/>
      <c r="M57" s="944"/>
      <c r="N57" s="944"/>
      <c r="O57" s="944"/>
    </row>
    <row r="58" spans="1:15" s="692" customFormat="1">
      <c r="A58" s="693" t="s">
        <v>2758</v>
      </c>
      <c r="B58" s="262" t="e">
        <f t="shared" ref="B58:B65" si="17">ROUND($C$48*C58*D58,0)</f>
        <v>#DIV/0!</v>
      </c>
      <c r="C58" s="200">
        <f t="shared" si="16"/>
        <v>0</v>
      </c>
      <c r="D58" s="1166">
        <v>0.25</v>
      </c>
      <c r="E58" s="694"/>
      <c r="F58" s="1105" t="e">
        <f t="shared" si="15"/>
        <v>#DIV/0!</v>
      </c>
      <c r="G58" s="3259"/>
      <c r="H58" s="1106">
        <f>项目基本情况!B37</f>
        <v>0</v>
      </c>
      <c r="I58" s="1110">
        <f>SUMIF(修正!A45:A56,H58,修正!C45:C56)</f>
        <v>0</v>
      </c>
      <c r="J58" s="1114"/>
      <c r="K58" s="1147"/>
      <c r="L58" s="944"/>
      <c r="M58" s="944"/>
      <c r="N58" s="944"/>
      <c r="O58" s="944"/>
    </row>
    <row r="59" spans="1:15" s="692" customFormat="1">
      <c r="A59" s="693" t="s">
        <v>2759</v>
      </c>
      <c r="B59" s="262" t="e">
        <f t="shared" si="17"/>
        <v>#DIV/0!</v>
      </c>
      <c r="C59" s="200">
        <f t="shared" si="16"/>
        <v>0</v>
      </c>
      <c r="D59" s="1166">
        <v>0.25</v>
      </c>
      <c r="E59" s="694"/>
      <c r="F59" s="1105" t="e">
        <f t="shared" si="15"/>
        <v>#DIV/0!</v>
      </c>
      <c r="G59" s="3259"/>
      <c r="H59" s="1106">
        <f>项目基本情况!B37</f>
        <v>0</v>
      </c>
      <c r="I59" s="1110">
        <f>SUMIF(修正!A45:A56,H59,修正!D45:D56)</f>
        <v>0</v>
      </c>
      <c r="J59" s="1114"/>
      <c r="K59" s="1146"/>
      <c r="L59" s="944"/>
      <c r="M59" s="944"/>
      <c r="N59" s="944"/>
      <c r="O59" s="944"/>
    </row>
    <row r="60" spans="1:15" s="692" customFormat="1">
      <c r="A60" s="693" t="s">
        <v>2760</v>
      </c>
      <c r="B60" s="262" t="e">
        <f t="shared" si="17"/>
        <v>#DIV/0!</v>
      </c>
      <c r="C60" s="200">
        <f t="shared" si="16"/>
        <v>0</v>
      </c>
      <c r="D60" s="1166">
        <v>0.25</v>
      </c>
      <c r="E60" s="694"/>
      <c r="F60" s="1105" t="e">
        <f t="shared" si="15"/>
        <v>#DIV/0!</v>
      </c>
      <c r="G60" s="3259"/>
      <c r="H60" s="1106">
        <f>项目基本情况!B37</f>
        <v>0</v>
      </c>
      <c r="I60" s="1110">
        <f>SUMIF(修正!A45:A56,H60,修正!E45:E56)</f>
        <v>0</v>
      </c>
      <c r="J60" s="1114"/>
      <c r="K60" s="1147"/>
      <c r="L60" s="944"/>
      <c r="M60" s="944"/>
      <c r="N60" s="944"/>
      <c r="O60" s="944"/>
    </row>
    <row r="61" spans="1:15" s="692" customFormat="1">
      <c r="A61" s="693" t="s">
        <v>2761</v>
      </c>
      <c r="B61" s="262" t="e">
        <f t="shared" si="17"/>
        <v>#DIV/0!</v>
      </c>
      <c r="C61" s="200">
        <f t="shared" si="16"/>
        <v>0</v>
      </c>
      <c r="D61" s="1166">
        <v>0.25</v>
      </c>
      <c r="E61" s="261">
        <f>'数据-汇总表'!E11</f>
        <v>0</v>
      </c>
      <c r="F61" s="1105" t="e">
        <f t="shared" si="15"/>
        <v>#DIV/0!</v>
      </c>
      <c r="G61" s="2705" t="s">
        <v>2762</v>
      </c>
      <c r="H61" s="1106">
        <f>项目基本情况!C37</f>
        <v>0</v>
      </c>
      <c r="I61" s="1110">
        <f>SUMIF(修正!A45:A56,H61,修正!F45:F56)</f>
        <v>0</v>
      </c>
      <c r="J61" s="1114"/>
      <c r="K61" s="1146"/>
      <c r="L61" s="944"/>
      <c r="M61" s="944"/>
      <c r="N61" s="944"/>
      <c r="O61" s="944"/>
    </row>
    <row r="62" spans="1:15" s="692" customFormat="1">
      <c r="A62" s="693" t="s">
        <v>2763</v>
      </c>
      <c r="B62" s="262" t="e">
        <f t="shared" si="17"/>
        <v>#DIV/0!</v>
      </c>
      <c r="C62" s="200">
        <f t="shared" si="16"/>
        <v>0</v>
      </c>
      <c r="D62" s="1166">
        <v>0.25</v>
      </c>
      <c r="E62" s="261">
        <f>'数据-汇总表'!E12</f>
        <v>0</v>
      </c>
      <c r="F62" s="1105" t="e">
        <f t="shared" si="15"/>
        <v>#DIV/0!</v>
      </c>
      <c r="G62" s="1111" t="s">
        <v>2764</v>
      </c>
      <c r="H62" s="1106">
        <f>IF(G62="商业",项目基本情况!B37,IF(G62="办公",项目基本情况!C37,IF(G62="住宅",项目基本情况!D37,项目基本情况!E37)))</f>
        <v>0</v>
      </c>
      <c r="I62" s="1110">
        <f>SUMIF(修正!A45:A56,H62,修正!G45:G56)</f>
        <v>0</v>
      </c>
      <c r="J62" s="1114"/>
      <c r="K62" s="1147"/>
      <c r="L62" s="944"/>
      <c r="M62" s="944"/>
      <c r="N62" s="944"/>
      <c r="O62" s="944"/>
    </row>
    <row r="63" spans="1:15" s="692" customFormat="1">
      <c r="A63" s="693" t="s">
        <v>2765</v>
      </c>
      <c r="B63" s="262" t="e">
        <f t="shared" si="17"/>
        <v>#DIV/0!</v>
      </c>
      <c r="C63" s="200">
        <f t="shared" si="16"/>
        <v>0</v>
      </c>
      <c r="D63" s="1166">
        <v>0.25</v>
      </c>
      <c r="E63" s="261">
        <f>'数据-汇总表'!E13</f>
        <v>0</v>
      </c>
      <c r="F63" s="1105" t="e">
        <f t="shared" si="15"/>
        <v>#DIV/0!</v>
      </c>
      <c r="G63" s="1111" t="s">
        <v>2766</v>
      </c>
      <c r="H63" s="1106">
        <f>IF(G63="商业",项目基本情况!B37,IF(G63="办公",项目基本情况!C37,IF(G63="住宅",项目基本情况!D37,项目基本情况!E37)))</f>
        <v>0</v>
      </c>
      <c r="I63" s="1110">
        <f>SUMIF(修正!A45:A56,H63,修正!H45:H56)</f>
        <v>0</v>
      </c>
      <c r="J63" s="1114"/>
      <c r="K63" s="1146"/>
      <c r="L63" s="944"/>
      <c r="M63" s="944"/>
      <c r="N63" s="944"/>
      <c r="O63" s="944"/>
    </row>
    <row r="64" spans="1:15" s="692" customFormat="1">
      <c r="A64" s="693" t="s">
        <v>2767</v>
      </c>
      <c r="B64" s="262" t="e">
        <f t="shared" si="17"/>
        <v>#DIV/0!</v>
      </c>
      <c r="C64" s="200">
        <f t="shared" si="16"/>
        <v>0</v>
      </c>
      <c r="D64" s="1166">
        <v>0.25</v>
      </c>
      <c r="E64" s="261">
        <f>'数据-汇总表'!E14</f>
        <v>0</v>
      </c>
      <c r="F64" s="1105" t="e">
        <f t="shared" si="15"/>
        <v>#DIV/0!</v>
      </c>
      <c r="G64" s="2705" t="s">
        <v>2757</v>
      </c>
      <c r="H64" s="1106">
        <f>项目基本情况!B37</f>
        <v>0</v>
      </c>
      <c r="I64" s="1110">
        <f>SUMIF(修正!A45:A56,H64,修正!H45:H56)</f>
        <v>0</v>
      </c>
      <c r="J64" s="1114"/>
      <c r="K64" s="1147"/>
      <c r="L64" s="944"/>
      <c r="M64" s="944"/>
      <c r="N64" s="944"/>
      <c r="O64" s="944"/>
    </row>
    <row r="65" spans="1:17" s="692" customFormat="1" ht="15" thickBot="1">
      <c r="A65" s="693" t="s">
        <v>2768</v>
      </c>
      <c r="B65" s="262" t="e">
        <f t="shared" si="17"/>
        <v>#DIV/0!</v>
      </c>
      <c r="C65" s="200">
        <f t="shared" si="16"/>
        <v>0</v>
      </c>
      <c r="D65" s="1166">
        <v>0.25</v>
      </c>
      <c r="E65" s="261">
        <f>'数据-汇总表'!E15</f>
        <v>0</v>
      </c>
      <c r="F65" s="1105" t="e">
        <f t="shared" si="15"/>
        <v>#DIV/0!</v>
      </c>
      <c r="G65" s="2706" t="s">
        <v>2762</v>
      </c>
      <c r="H65" s="1116">
        <f>项目基本情况!C37</f>
        <v>0</v>
      </c>
      <c r="I65" s="1112">
        <f>SUMIF(修正!A45:A56,H65,修正!H45:H56)</f>
        <v>0</v>
      </c>
      <c r="J65" s="1115"/>
      <c r="K65" s="1146"/>
      <c r="L65" s="944"/>
      <c r="M65" s="944"/>
      <c r="N65" s="944"/>
      <c r="O65" s="944"/>
    </row>
    <row r="66" spans="1:17" s="692" customFormat="1" ht="13.5" thickBot="1">
      <c r="A66" s="695" t="s">
        <v>2769</v>
      </c>
      <c r="B66" s="696" t="s">
        <v>28</v>
      </c>
      <c r="C66" s="696" t="s">
        <v>29</v>
      </c>
      <c r="D66" s="696" t="s">
        <v>1029</v>
      </c>
      <c r="E66" s="696">
        <f>IF(B46="楼面地价",SUM(E56:E65),'数据-汇总表'!D3)</f>
        <v>1246.4000000000001</v>
      </c>
      <c r="F66" s="697" t="e">
        <f>IF(B46="楼面地价",SUM(F56:F65),ROUND(C48*E66/10000,0))</f>
        <v>#DIV/0!</v>
      </c>
      <c r="G66" s="787"/>
      <c r="H66" s="787"/>
      <c r="I66" s="787"/>
      <c r="J66" s="787"/>
      <c r="K66" s="1160"/>
      <c r="L66" s="944"/>
      <c r="M66" s="944"/>
      <c r="N66" s="944"/>
      <c r="O66" s="944"/>
    </row>
    <row r="67" spans="1:17">
      <c r="A67" s="759"/>
      <c r="B67" s="761"/>
      <c r="C67" s="762"/>
      <c r="D67" s="759"/>
      <c r="E67" s="759"/>
      <c r="F67" s="759"/>
      <c r="G67" s="759"/>
      <c r="H67" s="759"/>
      <c r="I67" s="759"/>
      <c r="J67" s="1146"/>
      <c r="K67" s="1107"/>
      <c r="L67" s="1108"/>
      <c r="M67" s="1146"/>
      <c r="N67" s="1146"/>
      <c r="O67" s="1146"/>
    </row>
    <row r="68" spans="1:17">
      <c r="A68" s="759"/>
      <c r="B68" s="761"/>
      <c r="C68" s="761" t="str">
        <f>YEAR(C7)&amp;"-"&amp;MONTH(C7)&amp;"-1"</f>
        <v>2018-3-1</v>
      </c>
      <c r="D68" s="761">
        <f>EDATE(C68,-3)</f>
        <v>43070</v>
      </c>
      <c r="E68" s="761">
        <f>EDATE(D68,-3)</f>
        <v>42979</v>
      </c>
      <c r="F68" s="761">
        <f t="shared" ref="F68:O68" si="18">EDATE(E68,-3)</f>
        <v>42887</v>
      </c>
      <c r="G68" s="761">
        <f t="shared" si="18"/>
        <v>42795</v>
      </c>
      <c r="H68" s="761">
        <f t="shared" si="18"/>
        <v>42705</v>
      </c>
      <c r="I68" s="761">
        <f t="shared" si="18"/>
        <v>42614</v>
      </c>
      <c r="J68" s="761">
        <f t="shared" si="18"/>
        <v>42522</v>
      </c>
      <c r="K68" s="761">
        <f t="shared" si="18"/>
        <v>42430</v>
      </c>
      <c r="L68" s="761">
        <f t="shared" si="18"/>
        <v>42339</v>
      </c>
      <c r="M68" s="761">
        <f t="shared" si="18"/>
        <v>42248</v>
      </c>
      <c r="N68" s="761">
        <f t="shared" si="18"/>
        <v>42156</v>
      </c>
      <c r="O68" s="761">
        <f t="shared" si="18"/>
        <v>42064</v>
      </c>
    </row>
    <row r="69" spans="1:17" ht="21.75" thickBot="1">
      <c r="A69" s="763" t="s">
        <v>2662</v>
      </c>
      <c r="B69" s="759"/>
      <c r="C69" s="764"/>
      <c r="D69" s="764"/>
      <c r="E69" s="764"/>
      <c r="F69" s="765"/>
      <c r="G69" s="765"/>
      <c r="H69" s="764"/>
      <c r="I69" s="764"/>
      <c r="J69" s="1161"/>
      <c r="K69" s="1162"/>
      <c r="L69" s="1163"/>
      <c r="M69" s="1161"/>
      <c r="N69" s="1161"/>
      <c r="O69" s="1161"/>
      <c r="P69" s="503"/>
      <c r="Q69" s="504"/>
    </row>
    <row r="70" spans="1:17" s="508" customFormat="1" ht="15">
      <c r="A70" s="2707" t="s">
        <v>2770</v>
      </c>
      <c r="B70" s="1361"/>
      <c r="C70" s="1574" t="str">
        <f>YEAR(C68)&amp;"-"&amp;ROUNDUP(MONTH(C68)/3,0)</f>
        <v>2018-1</v>
      </c>
      <c r="D70" s="1574" t="str">
        <f>YEAR(D68)&amp;"-"&amp;ROUNDUP(MONTH(D68)/3,0)</f>
        <v>2017-4</v>
      </c>
      <c r="E70" s="1574" t="str">
        <f t="shared" ref="E70:O70" si="19">YEAR(E68)&amp;"-"&amp;ROUNDUP(MONTH(E68)/3,0)</f>
        <v>2017-3</v>
      </c>
      <c r="F70" s="1574" t="str">
        <f t="shared" si="19"/>
        <v>2017-2</v>
      </c>
      <c r="G70" s="1574" t="str">
        <f t="shared" si="19"/>
        <v>2017-1</v>
      </c>
      <c r="H70" s="1574" t="str">
        <f t="shared" si="19"/>
        <v>2016-4</v>
      </c>
      <c r="I70" s="1574" t="str">
        <f t="shared" si="19"/>
        <v>2016-3</v>
      </c>
      <c r="J70" s="1574" t="str">
        <f t="shared" si="19"/>
        <v>2016-2</v>
      </c>
      <c r="K70" s="1574" t="str">
        <f t="shared" si="19"/>
        <v>2016-1</v>
      </c>
      <c r="L70" s="1574" t="str">
        <f t="shared" si="19"/>
        <v>2015-4</v>
      </c>
      <c r="M70" s="1574" t="str">
        <f t="shared" si="19"/>
        <v>2015-3</v>
      </c>
      <c r="N70" s="1574" t="str">
        <f t="shared" si="19"/>
        <v>2015-2</v>
      </c>
      <c r="O70" s="1574" t="str">
        <f t="shared" si="19"/>
        <v>2015-1</v>
      </c>
      <c r="P70" s="507"/>
    </row>
    <row r="71" spans="1:17" s="117" customFormat="1" ht="30" customHeight="1">
      <c r="A71" s="2708" t="s">
        <v>2771</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69"/>
      <c r="N71" s="595"/>
      <c r="O71" s="1570"/>
      <c r="P71" s="504"/>
    </row>
    <row r="72" spans="1:17" s="117" customFormat="1" ht="15.75" thickBot="1">
      <c r="A72" s="515" t="s">
        <v>2573</v>
      </c>
      <c r="B72" s="516"/>
      <c r="C72" s="517"/>
      <c r="D72" s="518"/>
      <c r="E72" s="518"/>
      <c r="F72" s="518"/>
      <c r="G72" s="518"/>
      <c r="H72" s="518"/>
      <c r="I72" s="518"/>
      <c r="J72" s="518"/>
      <c r="K72" s="518"/>
      <c r="L72" s="518"/>
      <c r="M72" s="519"/>
      <c r="N72" s="518"/>
      <c r="O72" s="1164"/>
      <c r="P72" s="504"/>
      <c r="Q72" s="504"/>
    </row>
    <row r="73" spans="1:17" s="117" customFormat="1" ht="15">
      <c r="A73" s="521" t="s">
        <v>2538</v>
      </c>
      <c r="B73" s="510"/>
      <c r="C73" s="522" t="s">
        <v>2640</v>
      </c>
      <c r="D73" s="523"/>
      <c r="E73" s="523"/>
      <c r="F73" s="523"/>
      <c r="G73" s="523"/>
      <c r="H73" s="523"/>
      <c r="I73" s="523"/>
      <c r="J73" s="523"/>
      <c r="K73" s="523"/>
      <c r="L73" s="524"/>
      <c r="M73" s="525"/>
      <c r="N73" s="1153"/>
      <c r="O73" s="1153"/>
      <c r="P73" s="526"/>
      <c r="Q73" s="504"/>
    </row>
    <row r="74" spans="1:17" s="117" customFormat="1" ht="15.75" thickBot="1">
      <c r="A74" s="521"/>
      <c r="B74" s="510"/>
      <c r="C74" s="639">
        <v>100</v>
      </c>
      <c r="D74" s="512"/>
      <c r="E74" s="512"/>
      <c r="F74" s="512"/>
      <c r="G74" s="512"/>
      <c r="H74" s="512"/>
      <c r="I74" s="512"/>
      <c r="J74" s="512"/>
      <c r="K74" s="512"/>
      <c r="L74" s="512"/>
      <c r="M74" s="514"/>
      <c r="N74" s="1153"/>
      <c r="O74" s="1153"/>
      <c r="P74" s="504"/>
      <c r="Q74" s="504"/>
    </row>
    <row r="75" spans="1:17">
      <c r="A75" s="527" t="s">
        <v>2576</v>
      </c>
      <c r="B75" s="528" t="s">
        <v>2542</v>
      </c>
      <c r="C75" s="530"/>
      <c r="D75" s="530"/>
      <c r="E75" s="530"/>
      <c r="F75" s="530"/>
      <c r="G75" s="530"/>
      <c r="H75" s="530"/>
      <c r="I75" s="530"/>
      <c r="J75" s="530"/>
      <c r="K75" s="531"/>
      <c r="L75" s="532"/>
      <c r="M75" s="533"/>
      <c r="N75" s="1154"/>
      <c r="O75" s="1154"/>
      <c r="P75" s="45"/>
      <c r="Q75" s="504"/>
    </row>
    <row r="76" spans="1:17" ht="15.75" thickBot="1">
      <c r="A76" s="534"/>
      <c r="B76" s="535"/>
      <c r="C76" s="536"/>
      <c r="D76" s="536"/>
      <c r="E76" s="536"/>
      <c r="F76" s="536"/>
      <c r="G76" s="536"/>
      <c r="H76" s="536"/>
      <c r="I76" s="536"/>
      <c r="J76" s="536"/>
      <c r="K76" s="536"/>
      <c r="L76" s="536"/>
      <c r="M76" s="537"/>
      <c r="N76" s="1155"/>
      <c r="O76" s="1155"/>
      <c r="P76" s="45"/>
      <c r="Q76" s="504"/>
    </row>
    <row r="77" spans="1:17" ht="27.75" thickTop="1">
      <c r="A77" s="534"/>
      <c r="B77" s="538" t="s">
        <v>2545</v>
      </c>
      <c r="C77" s="539"/>
      <c r="D77" s="539"/>
      <c r="E77" s="539"/>
      <c r="F77" s="539"/>
      <c r="G77" s="539"/>
      <c r="H77" s="539"/>
      <c r="I77" s="539"/>
      <c r="J77" s="539"/>
      <c r="K77" s="540"/>
      <c r="L77" s="541"/>
      <c r="M77" s="542"/>
      <c r="N77" s="1154"/>
      <c r="O77" s="1154"/>
      <c r="P77" s="45"/>
      <c r="Q77" s="504"/>
    </row>
    <row r="78" spans="1:17" ht="15.75" thickBot="1">
      <c r="A78" s="534"/>
      <c r="B78" s="543"/>
      <c r="C78" s="544"/>
      <c r="D78" s="544"/>
      <c r="E78" s="544"/>
      <c r="F78" s="544"/>
      <c r="G78" s="544"/>
      <c r="H78" s="544"/>
      <c r="I78" s="544"/>
      <c r="J78" s="544"/>
      <c r="K78" s="544"/>
      <c r="L78" s="544"/>
      <c r="M78" s="545"/>
      <c r="N78" s="1155"/>
      <c r="O78" s="1155"/>
      <c r="P78" s="45"/>
      <c r="Q78" s="504"/>
    </row>
    <row r="79" spans="1:17" ht="15.75" thickTop="1">
      <c r="A79" s="534"/>
      <c r="B79" s="546" t="s">
        <v>2546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5"/>
      <c r="O79" s="1155"/>
      <c r="P79" s="45"/>
      <c r="Q79" s="504"/>
    </row>
    <row r="80" spans="1:17" ht="15">
      <c r="A80" s="534"/>
      <c r="B80" s="548"/>
      <c r="C80" s="549"/>
      <c r="D80" s="549"/>
      <c r="E80" s="549"/>
      <c r="F80" s="549"/>
      <c r="G80" s="549"/>
      <c r="H80" s="549"/>
      <c r="I80" s="549"/>
      <c r="J80" s="549"/>
      <c r="K80" s="550"/>
      <c r="L80" s="551"/>
      <c r="M80" s="552"/>
      <c r="N80" s="1154"/>
      <c r="O80" s="1154"/>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5"/>
      <c r="O81" s="1155"/>
      <c r="P81" s="45"/>
      <c r="Q81" s="504"/>
    </row>
    <row r="82" spans="1:17" s="471" customFormat="1" ht="15.75" thickTop="1">
      <c r="A82" s="553"/>
      <c r="B82" s="538" t="str">
        <f>B12</f>
        <v>配建</v>
      </c>
      <c r="C82" s="554"/>
      <c r="D82" s="554"/>
      <c r="E82" s="554"/>
      <c r="F82" s="554"/>
      <c r="G82" s="554"/>
      <c r="H82" s="555"/>
      <c r="I82" s="555"/>
      <c r="J82" s="555"/>
      <c r="K82" s="555"/>
      <c r="L82" s="556"/>
      <c r="M82" s="557"/>
      <c r="N82" s="1156"/>
      <c r="O82" s="1156"/>
      <c r="P82" s="558"/>
      <c r="Q82" s="559"/>
    </row>
    <row r="83" spans="1:17" s="471" customFormat="1" ht="15.75" thickBot="1">
      <c r="A83" s="553"/>
      <c r="B83" s="543"/>
      <c r="C83" s="560"/>
      <c r="D83" s="536"/>
      <c r="E83" s="536"/>
      <c r="F83" s="536"/>
      <c r="G83" s="536"/>
      <c r="H83" s="536"/>
      <c r="I83" s="536"/>
      <c r="J83" s="536"/>
      <c r="K83" s="536"/>
      <c r="L83" s="536"/>
      <c r="M83" s="537"/>
      <c r="N83" s="1155"/>
      <c r="O83" s="1155"/>
      <c r="P83" s="558"/>
      <c r="Q83" s="559"/>
    </row>
    <row r="84" spans="1:17" s="471" customFormat="1" ht="15.75" thickTop="1">
      <c r="A84" s="553"/>
      <c r="B84" s="538">
        <f>B13</f>
        <v>111</v>
      </c>
      <c r="C84" s="554"/>
      <c r="D84" s="554"/>
      <c r="E84" s="554"/>
      <c r="F84" s="554"/>
      <c r="G84" s="554"/>
      <c r="H84" s="555"/>
      <c r="I84" s="555"/>
      <c r="J84" s="555"/>
      <c r="K84" s="555"/>
      <c r="L84" s="556"/>
      <c r="M84" s="557"/>
      <c r="N84" s="1156"/>
      <c r="O84" s="1156"/>
      <c r="P84" s="470"/>
      <c r="Q84" s="561"/>
    </row>
    <row r="85" spans="1:17" s="471" customFormat="1" ht="15.75" thickBot="1">
      <c r="A85" s="553"/>
      <c r="B85" s="543"/>
      <c r="C85" s="560"/>
      <c r="D85" s="560"/>
      <c r="E85" s="560"/>
      <c r="F85" s="560"/>
      <c r="G85" s="560"/>
      <c r="H85" s="562"/>
      <c r="I85" s="562"/>
      <c r="J85" s="562"/>
      <c r="K85" s="562"/>
      <c r="L85" s="562"/>
      <c r="M85" s="563"/>
      <c r="N85" s="1156"/>
      <c r="O85" s="1156"/>
      <c r="P85" s="558"/>
      <c r="Q85" s="559"/>
    </row>
    <row r="86" spans="1:17" s="471" customFormat="1" ht="15.75" thickTop="1">
      <c r="A86" s="553"/>
      <c r="B86" s="546">
        <f>B14</f>
        <v>111</v>
      </c>
      <c r="C86" s="523"/>
      <c r="D86" s="523"/>
      <c r="E86" s="523"/>
      <c r="F86" s="523"/>
      <c r="G86" s="523"/>
      <c r="H86" s="564"/>
      <c r="I86" s="564"/>
      <c r="J86" s="564"/>
      <c r="K86" s="564"/>
      <c r="L86" s="565"/>
      <c r="M86" s="566"/>
      <c r="N86" s="1156"/>
      <c r="O86" s="1156"/>
      <c r="P86" s="567"/>
      <c r="Q86" s="559"/>
    </row>
    <row r="87" spans="1:17" s="471" customFormat="1" ht="15.75" thickBot="1">
      <c r="A87" s="568"/>
      <c r="B87" s="569"/>
      <c r="C87" s="570"/>
      <c r="D87" s="570"/>
      <c r="E87" s="570"/>
      <c r="F87" s="570"/>
      <c r="G87" s="570"/>
      <c r="H87" s="571"/>
      <c r="I87" s="571"/>
      <c r="J87" s="571"/>
      <c r="K87" s="571"/>
      <c r="L87" s="571"/>
      <c r="M87" s="572"/>
      <c r="N87" s="1156"/>
      <c r="O87" s="1156"/>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4"/>
      <c r="O88" s="1154"/>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5"/>
      <c r="O89" s="1155"/>
      <c r="P89" s="45"/>
      <c r="Q89" s="504"/>
    </row>
    <row r="90" spans="1:17" ht="15.75" thickTop="1">
      <c r="A90" s="534"/>
      <c r="B90" s="538" t="s">
        <v>2772</v>
      </c>
      <c r="C90" s="578" t="s">
        <v>2585</v>
      </c>
      <c r="D90" s="578" t="s">
        <v>2586</v>
      </c>
      <c r="E90" s="578" t="s">
        <v>2587</v>
      </c>
      <c r="F90" s="578" t="s">
        <v>2588</v>
      </c>
      <c r="G90" s="578" t="s">
        <v>2589</v>
      </c>
      <c r="H90" s="539"/>
      <c r="I90" s="539"/>
      <c r="J90" s="539"/>
      <c r="K90" s="540"/>
      <c r="L90" s="541"/>
      <c r="M90" s="542"/>
      <c r="N90" s="1154"/>
      <c r="O90" s="1154"/>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5"/>
      <c r="O91" s="1155"/>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4"/>
      <c r="O92" s="1154"/>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5"/>
      <c r="O93" s="1155"/>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4"/>
      <c r="O94" s="1154"/>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5"/>
      <c r="O95" s="1155"/>
      <c r="P95" s="45"/>
      <c r="Q95" s="504"/>
    </row>
    <row r="96" spans="1:17" s="117" customFormat="1" ht="15.75" thickTop="1">
      <c r="A96" s="579"/>
      <c r="B96" s="538" t="s">
        <v>2773</v>
      </c>
      <c r="C96" s="578" t="s">
        <v>2585</v>
      </c>
      <c r="D96" s="578" t="s">
        <v>2586</v>
      </c>
      <c r="E96" s="578" t="s">
        <v>2587</v>
      </c>
      <c r="F96" s="578" t="s">
        <v>2588</v>
      </c>
      <c r="G96" s="578" t="s">
        <v>2589</v>
      </c>
      <c r="H96" s="578"/>
      <c r="I96" s="578"/>
      <c r="J96" s="578"/>
      <c r="K96" s="578"/>
      <c r="L96" s="698"/>
      <c r="M96" s="622"/>
      <c r="N96" s="1153"/>
      <c r="O96" s="1153"/>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5"/>
      <c r="O97" s="1155"/>
      <c r="P97" s="45"/>
      <c r="Q97" s="504"/>
    </row>
    <row r="98" spans="1:17" s="117" customFormat="1" ht="27.75" thickTop="1">
      <c r="A98" s="579"/>
      <c r="B98" s="538" t="s">
        <v>2774</v>
      </c>
      <c r="C98" s="573" t="s">
        <v>2585</v>
      </c>
      <c r="D98" s="573" t="s">
        <v>2586</v>
      </c>
      <c r="E98" s="573" t="s">
        <v>2587</v>
      </c>
      <c r="F98" s="573" t="s">
        <v>2588</v>
      </c>
      <c r="G98" s="573" t="s">
        <v>2589</v>
      </c>
      <c r="H98" s="578"/>
      <c r="I98" s="578"/>
      <c r="J98" s="578"/>
      <c r="K98" s="578"/>
      <c r="L98" s="578"/>
      <c r="M98" s="622"/>
      <c r="N98" s="1153"/>
      <c r="O98" s="1153"/>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5"/>
      <c r="O99" s="1155"/>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6"/>
      <c r="O100" s="1156"/>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6"/>
      <c r="O101" s="1156"/>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7"/>
      <c r="N102" s="1156"/>
      <c r="O102" s="1156"/>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7"/>
      <c r="N103" s="1156"/>
      <c r="O103" s="1156"/>
      <c r="P103" s="558"/>
      <c r="Q103" s="559"/>
    </row>
    <row r="104" spans="1:17" ht="15.75" thickTop="1">
      <c r="A104" s="534"/>
      <c r="B104" s="538" t="str">
        <f>B31</f>
        <v>临街状况</v>
      </c>
      <c r="C104" s="539" t="s">
        <v>2775</v>
      </c>
      <c r="D104" s="539" t="s">
        <v>2776</v>
      </c>
      <c r="E104" s="539" t="s">
        <v>2777</v>
      </c>
      <c r="F104" s="539" t="s">
        <v>2778</v>
      </c>
      <c r="G104" s="539"/>
      <c r="H104" s="539"/>
      <c r="I104" s="539"/>
      <c r="J104" s="539"/>
      <c r="K104" s="540"/>
      <c r="L104" s="541"/>
      <c r="M104" s="542"/>
      <c r="N104" s="1154"/>
      <c r="O104" s="1154"/>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5"/>
      <c r="O105" s="1155"/>
      <c r="P105" s="45"/>
      <c r="Q105" s="504"/>
    </row>
    <row r="106" spans="1:17" ht="27.75" thickTop="1">
      <c r="A106" s="534"/>
      <c r="B106" s="538" t="s">
        <v>2679</v>
      </c>
      <c r="C106" s="554"/>
      <c r="D106" s="554"/>
      <c r="E106" s="554"/>
      <c r="F106" s="554"/>
      <c r="G106" s="554"/>
      <c r="H106" s="583"/>
      <c r="I106" s="583"/>
      <c r="J106" s="583"/>
      <c r="K106" s="584"/>
      <c r="L106" s="585"/>
      <c r="M106" s="586"/>
      <c r="N106" s="1154"/>
      <c r="O106" s="1154"/>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5"/>
      <c r="O107" s="1155"/>
      <c r="P107" s="45"/>
      <c r="Q107" s="504"/>
    </row>
    <row r="108" spans="1:17" ht="15.75" thickTop="1">
      <c r="A108" s="534"/>
      <c r="B108" s="538" t="s">
        <v>2738</v>
      </c>
      <c r="C108" s="583"/>
      <c r="D108" s="583"/>
      <c r="E108" s="583"/>
      <c r="F108" s="583"/>
      <c r="G108" s="583"/>
      <c r="H108" s="583"/>
      <c r="I108" s="583"/>
      <c r="J108" s="583"/>
      <c r="K108" s="584"/>
      <c r="L108" s="585"/>
      <c r="M108" s="586"/>
      <c r="N108" s="1154"/>
      <c r="O108" s="1154"/>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5"/>
      <c r="O109" s="1155"/>
      <c r="P109" s="45"/>
      <c r="Q109" s="504"/>
    </row>
    <row r="110" spans="1:17" ht="15.75" thickTop="1">
      <c r="A110" s="534"/>
      <c r="B110" s="546">
        <f>B35</f>
        <v>111</v>
      </c>
      <c r="C110" s="554"/>
      <c r="D110" s="554"/>
      <c r="E110" s="554"/>
      <c r="F110" s="554"/>
      <c r="G110" s="587"/>
      <c r="H110" s="587"/>
      <c r="I110" s="587"/>
      <c r="J110" s="587"/>
      <c r="K110" s="588"/>
      <c r="L110" s="589"/>
      <c r="M110" s="590"/>
      <c r="N110" s="1154"/>
      <c r="O110" s="1154"/>
      <c r="P110" s="45"/>
      <c r="Q110" s="504"/>
    </row>
    <row r="111" spans="1:17" ht="15.75" thickBot="1">
      <c r="A111" s="534"/>
      <c r="B111" s="569"/>
      <c r="C111" s="560"/>
      <c r="D111" s="560"/>
      <c r="E111" s="560"/>
      <c r="F111" s="560"/>
      <c r="G111" s="591"/>
      <c r="H111" s="591"/>
      <c r="I111" s="591"/>
      <c r="J111" s="591"/>
      <c r="K111" s="591"/>
      <c r="L111" s="591"/>
      <c r="M111" s="592"/>
      <c r="N111" s="1155"/>
      <c r="O111" s="1155"/>
      <c r="P111" s="45"/>
      <c r="Q111" s="504"/>
    </row>
    <row r="112" spans="1:17" ht="15" thickTop="1">
      <c r="A112" s="675"/>
      <c r="B112" s="538">
        <f>B36</f>
        <v>111</v>
      </c>
      <c r="C112" s="523"/>
      <c r="D112" s="523"/>
      <c r="E112" s="523"/>
      <c r="F112" s="523"/>
      <c r="G112" s="583"/>
      <c r="H112" s="583"/>
      <c r="I112" s="583"/>
      <c r="J112" s="583"/>
      <c r="K112" s="584"/>
      <c r="L112" s="585"/>
      <c r="M112" s="586"/>
      <c r="N112" s="1154"/>
      <c r="O112" s="1154"/>
      <c r="P112" s="45"/>
      <c r="Q112" s="504"/>
    </row>
    <row r="113" spans="1:17" ht="15.75" thickBot="1">
      <c r="A113" s="534"/>
      <c r="B113" s="543"/>
      <c r="C113" s="570"/>
      <c r="D113" s="570"/>
      <c r="E113" s="570"/>
      <c r="F113" s="570"/>
      <c r="G113" s="536"/>
      <c r="H113" s="536"/>
      <c r="I113" s="536"/>
      <c r="J113" s="536"/>
      <c r="K113" s="536"/>
      <c r="L113" s="536"/>
      <c r="M113" s="537"/>
      <c r="N113" s="1155"/>
      <c r="O113" s="1155"/>
      <c r="P113" s="45"/>
      <c r="Q113" s="504"/>
    </row>
    <row r="114" spans="1:17" s="471" customFormat="1" ht="15" thickTop="1">
      <c r="A114" s="593"/>
      <c r="B114" s="594">
        <f>B37</f>
        <v>111</v>
      </c>
      <c r="C114" s="595"/>
      <c r="D114" s="595"/>
      <c r="E114" s="595"/>
      <c r="F114" s="595"/>
      <c r="G114" s="595"/>
      <c r="H114" s="595"/>
      <c r="I114" s="595"/>
      <c r="J114" s="596"/>
      <c r="K114" s="596"/>
      <c r="L114" s="597"/>
      <c r="M114" s="598"/>
      <c r="N114" s="1156"/>
      <c r="O114" s="1156"/>
      <c r="P114" s="558"/>
      <c r="Q114" s="559"/>
    </row>
    <row r="115" spans="1:17" s="471" customFormat="1" ht="15.75" thickBot="1">
      <c r="A115" s="553"/>
      <c r="B115" s="546"/>
      <c r="C115" s="512"/>
      <c r="D115" s="677"/>
      <c r="E115" s="677"/>
      <c r="F115" s="677"/>
      <c r="G115" s="677"/>
      <c r="H115" s="677"/>
      <c r="I115" s="677"/>
      <c r="J115" s="677"/>
      <c r="K115" s="677"/>
      <c r="L115" s="677"/>
      <c r="M115" s="699"/>
      <c r="N115" s="1155"/>
      <c r="O115" s="1155"/>
      <c r="P115" s="558"/>
      <c r="Q115" s="559"/>
    </row>
    <row r="116" spans="1:17">
      <c r="A116" s="527" t="s">
        <v>2551</v>
      </c>
      <c r="B116" s="528" t="s">
        <v>2779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4"/>
      <c r="O116" s="1154"/>
      <c r="P116" s="45"/>
      <c r="Q116" s="504"/>
    </row>
    <row r="117" spans="1:17" ht="15">
      <c r="A117" s="534"/>
      <c r="B117" s="546"/>
      <c r="C117" s="595"/>
      <c r="D117" s="595"/>
      <c r="E117" s="595"/>
      <c r="F117" s="595"/>
      <c r="G117" s="595"/>
      <c r="H117" s="595"/>
      <c r="I117" s="595"/>
      <c r="J117" s="596"/>
      <c r="K117" s="596"/>
      <c r="L117" s="597"/>
      <c r="M117" s="598"/>
      <c r="N117" s="1154"/>
      <c r="O117" s="1154"/>
      <c r="P117" s="45"/>
      <c r="Q117" s="504"/>
    </row>
    <row r="118" spans="1:17" ht="15.75" thickBot="1">
      <c r="A118" s="534"/>
      <c r="B118" s="543"/>
      <c r="C118" s="570"/>
      <c r="D118" s="591"/>
      <c r="E118" s="591"/>
      <c r="F118" s="591"/>
      <c r="G118" s="591"/>
      <c r="H118" s="591"/>
      <c r="I118" s="591"/>
      <c r="J118" s="591"/>
      <c r="K118" s="591"/>
      <c r="L118" s="591"/>
      <c r="M118" s="592"/>
      <c r="N118" s="1155"/>
      <c r="O118" s="1155"/>
      <c r="P118" s="45"/>
      <c r="Q118" s="504"/>
    </row>
    <row r="119" spans="1:17" ht="15" thickTop="1">
      <c r="A119" s="599"/>
      <c r="B119" s="538" t="s">
        <v>2780</v>
      </c>
      <c r="C119" s="583"/>
      <c r="D119" s="583"/>
      <c r="E119" s="583"/>
      <c r="F119" s="583"/>
      <c r="G119" s="583"/>
      <c r="H119" s="583"/>
      <c r="I119" s="583"/>
      <c r="J119" s="583"/>
      <c r="K119" s="584"/>
      <c r="L119" s="585"/>
      <c r="M119" s="586"/>
      <c r="N119" s="1154"/>
      <c r="O119" s="1154"/>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5"/>
      <c r="O120" s="1155"/>
      <c r="P120" s="45"/>
      <c r="Q120" s="504"/>
    </row>
    <row r="121" spans="1:17" ht="15" thickTop="1">
      <c r="A121" s="599"/>
      <c r="B121" s="538" t="s">
        <v>2781</v>
      </c>
      <c r="C121" s="554"/>
      <c r="D121" s="554"/>
      <c r="E121" s="554"/>
      <c r="F121" s="583"/>
      <c r="G121" s="583"/>
      <c r="H121" s="583"/>
      <c r="I121" s="583"/>
      <c r="J121" s="583"/>
      <c r="K121" s="584"/>
      <c r="L121" s="585"/>
      <c r="M121" s="586"/>
      <c r="N121" s="1154"/>
      <c r="O121" s="1154"/>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5"/>
      <c r="O122" s="1155"/>
      <c r="P122" s="45"/>
      <c r="Q122" s="504"/>
    </row>
    <row r="123" spans="1:17" s="471" customFormat="1" ht="15" thickTop="1">
      <c r="A123" s="593"/>
      <c r="B123" s="538" t="s">
        <v>2782</v>
      </c>
      <c r="C123" s="554"/>
      <c r="D123" s="554"/>
      <c r="E123" s="554"/>
      <c r="F123" s="554"/>
      <c r="G123" s="554"/>
      <c r="H123" s="583"/>
      <c r="I123" s="583"/>
      <c r="J123" s="583"/>
      <c r="K123" s="584"/>
      <c r="L123" s="585"/>
      <c r="M123" s="586"/>
      <c r="N123" s="1156"/>
      <c r="O123" s="1156"/>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6"/>
      <c r="O124" s="1156"/>
      <c r="P124" s="558"/>
      <c r="Q124" s="559"/>
    </row>
    <row r="125" spans="1:17" ht="15" thickTop="1">
      <c r="A125" s="599"/>
      <c r="B125" s="538" t="s">
        <v>2783</v>
      </c>
      <c r="C125" s="554"/>
      <c r="D125" s="554"/>
      <c r="E125" s="583"/>
      <c r="F125" s="583"/>
      <c r="G125" s="583"/>
      <c r="H125" s="583"/>
      <c r="I125" s="583"/>
      <c r="J125" s="583"/>
      <c r="K125" s="584"/>
      <c r="L125" s="585"/>
      <c r="M125" s="586"/>
      <c r="N125" s="1154"/>
      <c r="O125" s="1154"/>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5"/>
      <c r="O126" s="1155"/>
      <c r="P126" s="45"/>
      <c r="Q126" s="504"/>
    </row>
    <row r="127" spans="1:17" ht="15" thickTop="1">
      <c r="A127" s="599"/>
      <c r="B127" s="538">
        <f>B43</f>
        <v>111</v>
      </c>
      <c r="C127" s="554"/>
      <c r="D127" s="554"/>
      <c r="E127" s="554"/>
      <c r="F127" s="554"/>
      <c r="G127" s="554"/>
      <c r="H127" s="583"/>
      <c r="I127" s="583"/>
      <c r="J127" s="583"/>
      <c r="K127" s="584"/>
      <c r="L127" s="585"/>
      <c r="M127" s="586"/>
      <c r="N127" s="1154"/>
      <c r="O127" s="1154"/>
      <c r="P127" s="45"/>
      <c r="Q127" s="504"/>
    </row>
    <row r="128" spans="1:17" ht="15.75" thickBot="1">
      <c r="A128" s="534"/>
      <c r="B128" s="543"/>
      <c r="C128" s="560"/>
      <c r="D128" s="560"/>
      <c r="E128" s="560"/>
      <c r="F128" s="560"/>
      <c r="G128" s="536"/>
      <c r="H128" s="536"/>
      <c r="I128" s="536"/>
      <c r="J128" s="536"/>
      <c r="K128" s="536"/>
      <c r="L128" s="536"/>
      <c r="M128" s="537"/>
      <c r="N128" s="1155"/>
      <c r="O128" s="1155"/>
      <c r="P128" s="45"/>
      <c r="Q128" s="504"/>
    </row>
    <row r="129" spans="1:17" ht="15" thickTop="1">
      <c r="A129" s="599"/>
      <c r="B129" s="538">
        <f>B44</f>
        <v>111</v>
      </c>
      <c r="C129" s="523"/>
      <c r="D129" s="523"/>
      <c r="E129" s="523"/>
      <c r="F129" s="523"/>
      <c r="G129" s="583"/>
      <c r="H129" s="583"/>
      <c r="I129" s="583"/>
      <c r="J129" s="583"/>
      <c r="K129" s="584"/>
      <c r="L129" s="585"/>
      <c r="M129" s="586"/>
      <c r="N129" s="1154"/>
      <c r="O129" s="1154"/>
      <c r="P129" s="45"/>
      <c r="Q129" s="504"/>
    </row>
    <row r="130" spans="1:17" ht="15.75" thickBot="1">
      <c r="A130" s="534"/>
      <c r="B130" s="543"/>
      <c r="C130" s="570"/>
      <c r="D130" s="570"/>
      <c r="E130" s="570"/>
      <c r="F130" s="570"/>
      <c r="G130" s="536"/>
      <c r="H130" s="536"/>
      <c r="I130" s="536"/>
      <c r="J130" s="536"/>
      <c r="K130" s="536"/>
      <c r="L130" s="536"/>
      <c r="M130" s="537"/>
      <c r="N130" s="1155"/>
      <c r="O130" s="1155"/>
      <c r="P130" s="45"/>
      <c r="Q130" s="504"/>
    </row>
    <row r="131" spans="1:17" s="471" customFormat="1" ht="15" thickTop="1">
      <c r="A131" s="593"/>
      <c r="B131" s="538">
        <f>B45</f>
        <v>111</v>
      </c>
      <c r="C131" s="523"/>
      <c r="D131" s="523"/>
      <c r="E131" s="523"/>
      <c r="F131" s="523"/>
      <c r="G131" s="555"/>
      <c r="H131" s="555"/>
      <c r="I131" s="555"/>
      <c r="J131" s="555"/>
      <c r="K131" s="555"/>
      <c r="L131" s="556"/>
      <c r="M131" s="557"/>
      <c r="N131" s="1156"/>
      <c r="O131" s="1156"/>
      <c r="P131" s="558"/>
      <c r="Q131" s="559"/>
    </row>
    <row r="132" spans="1:17" s="471" customFormat="1" ht="15.75" thickBot="1">
      <c r="A132" s="568"/>
      <c r="B132" s="700"/>
      <c r="C132" s="570"/>
      <c r="D132" s="570"/>
      <c r="E132" s="570"/>
      <c r="F132" s="570"/>
      <c r="G132" s="591"/>
      <c r="H132" s="591"/>
      <c r="I132" s="591"/>
      <c r="J132" s="591"/>
      <c r="K132" s="591"/>
      <c r="L132" s="591"/>
      <c r="M132" s="592"/>
      <c r="N132" s="1156"/>
      <c r="O132" s="1156"/>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3" priority="14" stopIfTrue="1" operator="containsText" text="超过">
      <formula>NOT(ISERROR(SEARCH("超过",F51)))</formula>
    </cfRule>
  </conditionalFormatting>
  <conditionalFormatting sqref="J53">
    <cfRule type="containsText" dxfId="42" priority="13" stopIfTrue="1" operator="containsText" text="超过">
      <formula>NOT(ISERROR(SEARCH("超过",J53)))</formula>
    </cfRule>
  </conditionalFormatting>
  <conditionalFormatting sqref="H53">
    <cfRule type="containsText" dxfId="41" priority="12" stopIfTrue="1" operator="containsText" text="超过">
      <formula>NOT(ISERROR(SEARCH("超过",H53)))</formula>
    </cfRule>
  </conditionalFormatting>
  <conditionalFormatting sqref="F53">
    <cfRule type="containsText" dxfId="40" priority="11" stopIfTrue="1" operator="containsText" text="超过">
      <formula>NOT(ISERROR(SEARCH("超过",F53)))</formula>
    </cfRule>
  </conditionalFormatting>
  <conditionalFormatting sqref="F52 H52 J52">
    <cfRule type="containsText" dxfId="39" priority="10" stopIfTrue="1" operator="containsText" text="超过">
      <formula>NOT(ISERROR(SEARCH("超过",F52)))</formula>
    </cfRule>
  </conditionalFormatting>
  <conditionalFormatting sqref="E51">
    <cfRule type="expression" dxfId="38" priority="9" stopIfTrue="1">
      <formula>$F$51="超过30%"</formula>
    </cfRule>
  </conditionalFormatting>
  <conditionalFormatting sqref="G53">
    <cfRule type="expression" dxfId="37" priority="8" stopIfTrue="1">
      <formula>$H$53="超过30%"</formula>
    </cfRule>
  </conditionalFormatting>
  <conditionalFormatting sqref="E52">
    <cfRule type="expression" dxfId="36" priority="7" stopIfTrue="1">
      <formula>$F$52="超过20%"</formula>
    </cfRule>
  </conditionalFormatting>
  <conditionalFormatting sqref="E53">
    <cfRule type="expression" dxfId="35" priority="6" stopIfTrue="1">
      <formula>$F$53="超过30%"</formula>
    </cfRule>
  </conditionalFormatting>
  <conditionalFormatting sqref="G51">
    <cfRule type="expression" dxfId="34" priority="5" stopIfTrue="1">
      <formula>$H$53+$H$51="超过30%"</formula>
    </cfRule>
  </conditionalFormatting>
  <conditionalFormatting sqref="G52">
    <cfRule type="expression" dxfId="33" priority="4" stopIfTrue="1">
      <formula>$H$52="超过20%"</formula>
    </cfRule>
  </conditionalFormatting>
  <conditionalFormatting sqref="I51">
    <cfRule type="expression" dxfId="32" priority="3" stopIfTrue="1">
      <formula>$J$51="超过30%"</formula>
    </cfRule>
  </conditionalFormatting>
  <conditionalFormatting sqref="I52">
    <cfRule type="expression" dxfId="31" priority="2" stopIfTrue="1">
      <formula>$J$52="超过20%"</formula>
    </cfRule>
  </conditionalFormatting>
  <conditionalFormatting sqref="I53">
    <cfRule type="expression" dxfId="3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2732</v>
      </c>
      <c r="B1" s="395"/>
      <c r="C1" s="396" t="s">
        <v>2784</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2315</v>
      </c>
      <c r="B2" s="671" t="e">
        <f>F61</f>
        <v>#DIV/0!</v>
      </c>
      <c r="C2" s="1127"/>
      <c r="D2" s="1127"/>
      <c r="E2" s="1127"/>
      <c r="F2" s="1128"/>
      <c r="G2" s="1127"/>
      <c r="H2" s="1127"/>
      <c r="I2" s="1127"/>
      <c r="J2" s="1127"/>
      <c r="K2" s="1129"/>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2317</v>
      </c>
      <c r="B3" s="609" t="e">
        <f>ROUND(IF(D3="",B2*10000/'数据-汇总表'!E3,B2*10000/D3),0)</f>
        <v>#DIV/0!</v>
      </c>
      <c r="C3" s="247" t="s">
        <v>2734</v>
      </c>
      <c r="D3" s="1585"/>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2633</v>
      </c>
      <c r="B4" s="402"/>
      <c r="C4" s="3212" t="s">
        <v>2634</v>
      </c>
      <c r="D4" s="3213"/>
      <c r="E4" s="3214" t="s">
        <v>2635</v>
      </c>
      <c r="F4" s="3215"/>
      <c r="G4" s="3212" t="s">
        <v>2636</v>
      </c>
      <c r="H4" s="3213"/>
      <c r="I4" s="3212" t="s">
        <v>2637</v>
      </c>
      <c r="J4" s="3213"/>
      <c r="K4" s="610" t="s">
        <v>2638</v>
      </c>
      <c r="L4" s="1132"/>
      <c r="M4" s="1133"/>
      <c r="N4" s="1133"/>
      <c r="O4" s="1133"/>
      <c r="P4" s="3216" t="s">
        <v>2639</v>
      </c>
      <c r="Q4" s="3217"/>
      <c r="R4" s="3199" t="s">
        <v>2635</v>
      </c>
      <c r="S4" s="3200"/>
      <c r="T4" s="3199" t="s">
        <v>2636</v>
      </c>
      <c r="U4" s="3200"/>
      <c r="V4" s="3224" t="s">
        <v>2637</v>
      </c>
      <c r="W4" s="3224"/>
      <c r="X4" s="1815"/>
      <c r="Y4" s="3199" t="s">
        <v>2639</v>
      </c>
      <c r="Z4" s="3200"/>
      <c r="AA4" s="3194" t="s">
        <v>2635</v>
      </c>
      <c r="AB4" s="3195" t="s">
        <v>2636</v>
      </c>
      <c r="AC4" s="3194" t="s">
        <v>2637</v>
      </c>
    </row>
    <row r="5" spans="1:29" ht="15">
      <c r="A5" s="404"/>
      <c r="B5" s="405"/>
      <c r="C5" s="3205" t="s">
        <v>2530</v>
      </c>
      <c r="D5" s="3206"/>
      <c r="E5" s="3203" t="s">
        <v>2531</v>
      </c>
      <c r="F5" s="3204"/>
      <c r="G5" s="3205" t="s">
        <v>2532</v>
      </c>
      <c r="H5" s="3206"/>
      <c r="I5" s="3205" t="s">
        <v>2533</v>
      </c>
      <c r="J5" s="3206"/>
      <c r="K5" s="610"/>
      <c r="L5" s="1132"/>
      <c r="M5" s="1133"/>
      <c r="N5" s="1133"/>
      <c r="O5" s="1133"/>
      <c r="P5" s="3218"/>
      <c r="Q5" s="3219"/>
      <c r="R5" s="3201"/>
      <c r="S5" s="3202"/>
      <c r="T5" s="3201"/>
      <c r="U5" s="3202"/>
      <c r="V5" s="3224"/>
      <c r="W5" s="3224"/>
      <c r="X5" s="1815"/>
      <c r="Y5" s="3201"/>
      <c r="Z5" s="3202"/>
      <c r="AA5" s="3195"/>
      <c r="AB5" s="3195"/>
      <c r="AC5" s="3195"/>
    </row>
    <row r="6" spans="1:29" ht="15.75" thickBot="1">
      <c r="A6" s="406"/>
      <c r="B6" s="407"/>
      <c r="C6" s="3260" t="s">
        <v>2785</v>
      </c>
      <c r="D6" s="3261"/>
      <c r="E6" s="3262" t="s">
        <v>2785</v>
      </c>
      <c r="F6" s="3263"/>
      <c r="G6" s="3260" t="s">
        <v>2785</v>
      </c>
      <c r="H6" s="3261"/>
      <c r="I6" s="3260" t="s">
        <v>2785</v>
      </c>
      <c r="J6" s="3261"/>
      <c r="K6" s="610" t="s">
        <v>2535</v>
      </c>
      <c r="L6" s="1132"/>
      <c r="M6" s="1133"/>
      <c r="N6" s="1133"/>
      <c r="O6" s="1133"/>
      <c r="P6" s="3220"/>
      <c r="Q6" s="3221"/>
      <c r="R6" s="3201"/>
      <c r="S6" s="3202"/>
      <c r="T6" s="3222"/>
      <c r="U6" s="3223"/>
      <c r="V6" s="3224"/>
      <c r="W6" s="3224"/>
      <c r="X6" s="1815"/>
      <c r="Y6" s="3222"/>
      <c r="Z6" s="3223"/>
      <c r="AA6" s="3196"/>
      <c r="AB6" s="3196"/>
      <c r="AC6" s="3196"/>
    </row>
    <row r="7" spans="1:29" s="117" customFormat="1" ht="15.75" thickBot="1">
      <c r="A7" s="408" t="s">
        <v>2536</v>
      </c>
      <c r="B7" s="409"/>
      <c r="C7" s="410">
        <f>'数据-取费表'!B2</f>
        <v>43165</v>
      </c>
      <c r="D7" s="411">
        <v>100</v>
      </c>
      <c r="E7" s="412"/>
      <c r="F7" s="413">
        <f>SUMIF(65:65,YEAR(E7)&amp;"-"&amp;INT((MONTH(E7)+2)/3),66:66)</f>
        <v>0</v>
      </c>
      <c r="G7" s="2692"/>
      <c r="H7" s="411">
        <f>SUMIF(65:65,YEAR(G7)&amp;"-"&amp;INT((MONTH(G7)+2)/3),66:66)</f>
        <v>0</v>
      </c>
      <c r="I7" s="2692"/>
      <c r="J7" s="411">
        <f>SUMIF(65:65,YEAR(I7)&amp;"-"&amp;INT((MONTH(I7)+2)/3),66:66)</f>
        <v>0</v>
      </c>
      <c r="K7" s="611"/>
      <c r="L7" s="1134"/>
      <c r="M7" s="1135"/>
      <c r="N7" s="1135"/>
      <c r="O7" s="1135"/>
      <c r="P7" s="3197" t="s">
        <v>2537</v>
      </c>
      <c r="Q7" s="3225"/>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2539</v>
      </c>
      <c r="D8" s="411">
        <v>100</v>
      </c>
      <c r="E8" s="414"/>
      <c r="F8" s="413">
        <f>SUMIF(68:68,E8,69:69)-SUMIF(68:68,C8,69:69)+100</f>
        <v>0</v>
      </c>
      <c r="G8" s="414"/>
      <c r="H8" s="411">
        <f>SUMIF(68:68,G8,69:69)-SUMIF(68:68,C8,69:69)+100</f>
        <v>0</v>
      </c>
      <c r="I8" s="414"/>
      <c r="J8" s="411">
        <f>SUMIF(68:68,I8,69:69)-SUMIF(68:68,C8,69:69)+100</f>
        <v>0</v>
      </c>
      <c r="K8" s="611"/>
      <c r="L8" s="1134"/>
      <c r="M8" s="1135"/>
      <c r="N8" s="1135"/>
      <c r="O8" s="1135"/>
      <c r="P8" s="3197" t="s">
        <v>2540</v>
      </c>
      <c r="Q8" s="3198"/>
      <c r="R8" s="770" t="s">
        <v>17</v>
      </c>
      <c r="S8" s="771">
        <f t="shared" si="0"/>
        <v>0</v>
      </c>
      <c r="T8" s="770" t="s">
        <v>17</v>
      </c>
      <c r="U8" s="771">
        <f t="shared" si="1"/>
        <v>0</v>
      </c>
      <c r="V8" s="770" t="s">
        <v>17</v>
      </c>
      <c r="W8" s="771">
        <f t="shared" si="2"/>
        <v>0</v>
      </c>
      <c r="X8" s="772"/>
      <c r="Y8" s="3197" t="s">
        <v>2540</v>
      </c>
      <c r="Z8" s="3198"/>
      <c r="AA8" s="773" t="e">
        <f t="shared" ref="AA8:AA40" si="3">D8/F8</f>
        <v>#DIV/0!</v>
      </c>
      <c r="AB8" s="773" t="e">
        <f t="shared" ref="AB8:AB40" si="4">D8/H8</f>
        <v>#DIV/0!</v>
      </c>
      <c r="AC8" s="773" t="e">
        <f t="shared" ref="AC8:AC40" si="5">D8/J8</f>
        <v>#DIV/0!</v>
      </c>
    </row>
    <row r="9" spans="1:29" s="117" customFormat="1">
      <c r="A9" s="415" t="s">
        <v>2541</v>
      </c>
      <c r="B9" s="71" t="s">
        <v>2542</v>
      </c>
      <c r="C9" s="2695"/>
      <c r="D9" s="135">
        <v>100</v>
      </c>
      <c r="E9" s="2695"/>
      <c r="F9" s="135">
        <f>SUMIF(70:70,E9,71:71)-SUMIF(70:70,C9,71:71)+100</f>
        <v>100</v>
      </c>
      <c r="G9" s="2695"/>
      <c r="H9" s="135">
        <f>SUMIF(70:70,G9,71:71)-SUMIF(70:70,C9,71:71)+100</f>
        <v>100</v>
      </c>
      <c r="I9" s="2695"/>
      <c r="J9" s="135">
        <f>SUMIF(70:70,I9,71:71)-SUMIF(70:70,C9,71:71)+100</f>
        <v>100</v>
      </c>
      <c r="K9" s="611"/>
      <c r="L9" s="1134"/>
      <c r="M9" s="1135"/>
      <c r="N9" s="1135"/>
      <c r="O9" s="1136"/>
      <c r="P9" s="3229" t="s">
        <v>2543</v>
      </c>
      <c r="Q9" s="1797" t="str">
        <f t="shared" ref="Q9:Q15" si="6">B9</f>
        <v>用途</v>
      </c>
      <c r="R9" s="770" t="s">
        <v>17</v>
      </c>
      <c r="S9" s="771">
        <f t="shared" si="0"/>
        <v>100</v>
      </c>
      <c r="T9" s="770" t="s">
        <v>17</v>
      </c>
      <c r="U9" s="771">
        <f t="shared" si="1"/>
        <v>100</v>
      </c>
      <c r="V9" s="770" t="s">
        <v>17</v>
      </c>
      <c r="W9" s="771">
        <f t="shared" si="2"/>
        <v>100</v>
      </c>
      <c r="X9" s="772"/>
      <c r="Y9" s="3024" t="s">
        <v>2544</v>
      </c>
      <c r="Z9" s="55" t="str">
        <f t="shared" ref="Z9:Z15" si="7">Q9</f>
        <v>用途</v>
      </c>
      <c r="AA9" s="773">
        <f t="shared" si="3"/>
        <v>1</v>
      </c>
      <c r="AB9" s="773">
        <f t="shared" si="4"/>
        <v>1</v>
      </c>
      <c r="AC9" s="773">
        <f t="shared" si="5"/>
        <v>1</v>
      </c>
    </row>
    <row r="10" spans="1:29" s="427" customFormat="1" ht="27">
      <c r="A10" s="421"/>
      <c r="B10" s="422" t="s">
        <v>2545</v>
      </c>
      <c r="C10" s="432"/>
      <c r="D10" s="136">
        <v>100</v>
      </c>
      <c r="E10" s="432"/>
      <c r="F10" s="136">
        <f>ROUND(100/'数据-取费表'!G16,0)</f>
        <v>104</v>
      </c>
      <c r="G10" s="432"/>
      <c r="H10" s="136">
        <f>ROUND(100/'数据-取费表'!G16,0)</f>
        <v>104</v>
      </c>
      <c r="I10" s="432"/>
      <c r="J10" s="136">
        <f>ROUND(100/'数据-取费表'!G16,0)</f>
        <v>104</v>
      </c>
      <c r="K10" s="672"/>
      <c r="L10" s="1137"/>
      <c r="M10" s="1138"/>
      <c r="N10" s="1138"/>
      <c r="O10" s="1139"/>
      <c r="P10" s="3229"/>
      <c r="Q10" s="1797" t="str">
        <f t="shared" si="6"/>
        <v>土地使用年限（年）</v>
      </c>
      <c r="R10" s="770" t="s">
        <v>17</v>
      </c>
      <c r="S10" s="771">
        <f t="shared" si="0"/>
        <v>104</v>
      </c>
      <c r="T10" s="770" t="s">
        <v>17</v>
      </c>
      <c r="U10" s="771">
        <f t="shared" si="1"/>
        <v>104</v>
      </c>
      <c r="V10" s="770" t="s">
        <v>17</v>
      </c>
      <c r="W10" s="771">
        <f t="shared" si="2"/>
        <v>104</v>
      </c>
      <c r="X10" s="772"/>
      <c r="Y10" s="3024"/>
      <c r="Z10" s="55" t="str">
        <f t="shared" si="7"/>
        <v>土地使用年限（年）</v>
      </c>
      <c r="AA10" s="773">
        <f t="shared" si="3"/>
        <v>0.96153846153846156</v>
      </c>
      <c r="AB10" s="773">
        <f t="shared" si="4"/>
        <v>0.96153846153846156</v>
      </c>
      <c r="AC10" s="773">
        <f t="shared" si="5"/>
        <v>0.96153846153846156</v>
      </c>
    </row>
    <row r="11" spans="1:29" ht="15">
      <c r="A11" s="428"/>
      <c r="B11" s="422" t="s">
        <v>2546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0"/>
      <c r="M11" s="1133"/>
      <c r="N11" s="1133"/>
      <c r="O11" s="1141"/>
      <c r="P11" s="3229"/>
      <c r="Q11" s="1797" t="str">
        <f t="shared" si="6"/>
        <v>容积率</v>
      </c>
      <c r="R11" s="770" t="s">
        <v>17</v>
      </c>
      <c r="S11" s="771" t="e">
        <f t="shared" si="0"/>
        <v>#N/A</v>
      </c>
      <c r="T11" s="770" t="s">
        <v>17</v>
      </c>
      <c r="U11" s="771" t="e">
        <f t="shared" si="1"/>
        <v>#N/A</v>
      </c>
      <c r="V11" s="770" t="s">
        <v>17</v>
      </c>
      <c r="W11" s="771" t="e">
        <f t="shared" si="2"/>
        <v>#N/A</v>
      </c>
      <c r="X11" s="772"/>
      <c r="Y11" s="3024"/>
      <c r="Z11" s="55" t="str">
        <f t="shared" si="7"/>
        <v>容积率</v>
      </c>
      <c r="AA11" s="773" t="e">
        <f t="shared" si="3"/>
        <v>#N/A</v>
      </c>
      <c r="AB11" s="773" t="e">
        <f t="shared" si="4"/>
        <v>#N/A</v>
      </c>
      <c r="AC11" s="773" t="e">
        <f t="shared" si="5"/>
        <v>#N/A</v>
      </c>
    </row>
    <row r="12" spans="1:29" s="117" customFormat="1" ht="15">
      <c r="A12" s="431"/>
      <c r="B12" s="2596">
        <v>111</v>
      </c>
      <c r="C12" s="432"/>
      <c r="D12" s="433">
        <v>100</v>
      </c>
      <c r="E12" s="549"/>
      <c r="F12" s="136">
        <f>SUMIF(77:77,E12,78:78)-SUMIF(77:77,C12,78:78)+100</f>
        <v>100</v>
      </c>
      <c r="G12" s="674"/>
      <c r="H12" s="136">
        <f>SUMIF(77:77,G12,78:78)-SUMIF(77:77,C12,78:78)+100</f>
        <v>100</v>
      </c>
      <c r="I12" s="549"/>
      <c r="J12" s="136">
        <f>SUMIF(77:77,I12,78:78)-SUMIF(77:77,C12,78:78)+100</f>
        <v>100</v>
      </c>
      <c r="K12" s="672"/>
      <c r="L12" s="1134"/>
      <c r="M12" s="1135"/>
      <c r="N12" s="1135"/>
      <c r="O12" s="1136"/>
      <c r="P12" s="3229"/>
      <c r="Q12" s="1797">
        <f t="shared" si="6"/>
        <v>111</v>
      </c>
      <c r="R12" s="770" t="s">
        <v>17</v>
      </c>
      <c r="S12" s="771">
        <f t="shared" si="0"/>
        <v>100</v>
      </c>
      <c r="T12" s="770" t="s">
        <v>17</v>
      </c>
      <c r="U12" s="771">
        <f t="shared" si="1"/>
        <v>100</v>
      </c>
      <c r="V12" s="770" t="s">
        <v>17</v>
      </c>
      <c r="W12" s="771">
        <f t="shared" si="2"/>
        <v>100</v>
      </c>
      <c r="X12" s="772"/>
      <c r="Y12" s="3024"/>
      <c r="Z12" s="55">
        <f t="shared" si="7"/>
        <v>111</v>
      </c>
      <c r="AA12" s="773">
        <f>D12/F12</f>
        <v>1</v>
      </c>
      <c r="AB12" s="773">
        <f>D12/H12</f>
        <v>1</v>
      </c>
      <c r="AC12" s="773">
        <f>D12/J12</f>
        <v>1</v>
      </c>
    </row>
    <row r="13" spans="1:29" ht="15">
      <c r="A13" s="428"/>
      <c r="B13" s="2596">
        <v>111</v>
      </c>
      <c r="C13" s="434"/>
      <c r="D13" s="435">
        <v>100</v>
      </c>
      <c r="E13" s="549"/>
      <c r="F13" s="136">
        <f>SUMIF(79:79,E13,80:80)-SUMIF(79:79,C13,80:80)+100</f>
        <v>100</v>
      </c>
      <c r="G13" s="674"/>
      <c r="H13" s="435">
        <f>SUMIF(79:79,G13,80:80)-SUMIF(79:79,C13,80:80)+100</f>
        <v>100</v>
      </c>
      <c r="I13" s="549"/>
      <c r="J13" s="435">
        <f>SUMIF(79:79,I13,80:80)-SUMIF(79:79,C13,80:80)+100</f>
        <v>100</v>
      </c>
      <c r="K13" s="672"/>
      <c r="L13" s="1142"/>
      <c r="M13" s="1133"/>
      <c r="N13" s="1133"/>
      <c r="O13" s="1141"/>
      <c r="P13" s="3229"/>
      <c r="Q13" s="1797">
        <f t="shared" si="6"/>
        <v>111</v>
      </c>
      <c r="R13" s="770" t="s">
        <v>17</v>
      </c>
      <c r="S13" s="771">
        <f t="shared" si="0"/>
        <v>100</v>
      </c>
      <c r="T13" s="770" t="s">
        <v>17</v>
      </c>
      <c r="U13" s="771">
        <f t="shared" si="1"/>
        <v>100</v>
      </c>
      <c r="V13" s="770" t="s">
        <v>17</v>
      </c>
      <c r="W13" s="771">
        <f t="shared" si="2"/>
        <v>100</v>
      </c>
      <c r="X13" s="772"/>
      <c r="Y13" s="3024"/>
      <c r="Z13" s="55">
        <f t="shared" si="7"/>
        <v>111</v>
      </c>
      <c r="AA13" s="773">
        <f t="shared" si="3"/>
        <v>1</v>
      </c>
      <c r="AB13" s="773">
        <f t="shared" si="4"/>
        <v>1</v>
      </c>
      <c r="AC13" s="773">
        <f t="shared" si="5"/>
        <v>1</v>
      </c>
    </row>
    <row r="14" spans="1:29" ht="15.75" thickBot="1">
      <c r="A14" s="436"/>
      <c r="B14" s="2598">
        <v>111</v>
      </c>
      <c r="C14" s="437"/>
      <c r="D14" s="438">
        <v>100</v>
      </c>
      <c r="E14" s="549"/>
      <c r="F14" s="438">
        <f>SUMIF(81:81,E14,82:82)-SUMIF(81:81,C14,82:82)+100</f>
        <v>100</v>
      </c>
      <c r="G14" s="674"/>
      <c r="H14" s="438">
        <f>SUMIF(81:81,G14,82:82)-SUMIF(81:81,C14,82:82)+100</f>
        <v>100</v>
      </c>
      <c r="I14" s="549"/>
      <c r="J14" s="438">
        <f>SUMIF(81:81,I14,82:82)-SUMIF(81:81,C14,82:82)+100</f>
        <v>100</v>
      </c>
      <c r="K14" s="672"/>
      <c r="L14" s="1142"/>
      <c r="M14" s="1133"/>
      <c r="N14" s="1133"/>
      <c r="O14" s="1141"/>
      <c r="P14" s="3229"/>
      <c r="Q14" s="1797">
        <f t="shared" si="6"/>
        <v>111</v>
      </c>
      <c r="R14" s="770" t="s">
        <v>17</v>
      </c>
      <c r="S14" s="771">
        <f t="shared" si="0"/>
        <v>100</v>
      </c>
      <c r="T14" s="770" t="s">
        <v>17</v>
      </c>
      <c r="U14" s="771">
        <f t="shared" si="1"/>
        <v>100</v>
      </c>
      <c r="V14" s="770" t="s">
        <v>17</v>
      </c>
      <c r="W14" s="771">
        <f t="shared" si="2"/>
        <v>100</v>
      </c>
      <c r="X14" s="772"/>
      <c r="Y14" s="3024"/>
      <c r="Z14" s="55">
        <f t="shared" si="7"/>
        <v>111</v>
      </c>
      <c r="AA14" s="773">
        <f t="shared" si="3"/>
        <v>1</v>
      </c>
      <c r="AB14" s="773">
        <f t="shared" si="4"/>
        <v>1</v>
      </c>
      <c r="AC14" s="773">
        <f t="shared" si="5"/>
        <v>1</v>
      </c>
    </row>
    <row r="15" spans="1:29" ht="57">
      <c r="A15" s="440" t="s">
        <v>2547</v>
      </c>
      <c r="B15" s="629" t="s">
        <v>2786</v>
      </c>
      <c r="C15" s="2689" t="str">
        <f>估价对象房地状况!G15</f>
        <v>估价对象位于中关村兴业创业园，园区建设成熟度较好，产业集聚程度较好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2"/>
      <c r="M15" s="1133"/>
      <c r="N15" s="1133"/>
      <c r="O15" s="1141"/>
      <c r="P15" s="3231" t="s">
        <v>2548</v>
      </c>
      <c r="Q15" s="1812" t="str">
        <f t="shared" si="6"/>
        <v>产业集聚程度</v>
      </c>
      <c r="R15" s="774" t="s">
        <v>17</v>
      </c>
      <c r="S15" s="775">
        <f t="shared" si="0"/>
        <v>100</v>
      </c>
      <c r="T15" s="774" t="s">
        <v>17</v>
      </c>
      <c r="U15" s="775">
        <f t="shared" si="1"/>
        <v>100</v>
      </c>
      <c r="V15" s="774" t="s">
        <v>17</v>
      </c>
      <c r="W15" s="775">
        <f t="shared" si="2"/>
        <v>100</v>
      </c>
      <c r="X15" s="1815"/>
      <c r="Y15" s="3231" t="s">
        <v>2548</v>
      </c>
      <c r="Z15" s="1816" t="str">
        <f t="shared" si="7"/>
        <v>产业集聚程度</v>
      </c>
      <c r="AA15" s="1813">
        <f t="shared" si="3"/>
        <v>1</v>
      </c>
      <c r="AB15" s="1813">
        <f t="shared" si="4"/>
        <v>1</v>
      </c>
      <c r="AC15" s="1813">
        <f t="shared" si="5"/>
        <v>1</v>
      </c>
    </row>
    <row r="16" spans="1:29" ht="15">
      <c r="A16" s="428"/>
      <c r="B16" s="630"/>
      <c r="C16" s="447"/>
      <c r="D16" s="448"/>
      <c r="E16" s="2607"/>
      <c r="F16" s="448"/>
      <c r="G16" s="2607"/>
      <c r="H16" s="450"/>
      <c r="I16" s="2607"/>
      <c r="J16" s="448"/>
      <c r="K16" s="672"/>
      <c r="L16" s="1142"/>
      <c r="M16" s="1133"/>
      <c r="N16" s="1133"/>
      <c r="O16" s="1141"/>
      <c r="P16" s="3232"/>
      <c r="Q16" s="1812"/>
      <c r="R16" s="774"/>
      <c r="S16" s="775"/>
      <c r="T16" s="774"/>
      <c r="U16" s="775"/>
      <c r="V16" s="774"/>
      <c r="W16" s="775"/>
      <c r="X16" s="1815"/>
      <c r="Y16" s="3232"/>
      <c r="Z16" s="1816"/>
      <c r="AA16" s="1813">
        <v>1</v>
      </c>
      <c r="AB16" s="1813">
        <v>1</v>
      </c>
      <c r="AC16" s="1813">
        <v>1</v>
      </c>
    </row>
    <row r="17" spans="1:29" ht="85.5">
      <c r="A17" s="428"/>
      <c r="B17" s="631" t="s">
        <v>2697</v>
      </c>
      <c r="C17" s="2603" t="str">
        <f>估价对象房地状况!G16</f>
        <v>估价对象周边道路状况较好、公共交通通达情况一般、停车便捷程度一般，综合评价交通便捷度一般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2"/>
      <c r="M17" s="1133"/>
      <c r="N17" s="1133"/>
      <c r="O17" s="1141"/>
      <c r="P17" s="3232"/>
      <c r="Q17" s="1812" t="str">
        <f>B17</f>
        <v>交通便捷度</v>
      </c>
      <c r="R17" s="774" t="s">
        <v>17</v>
      </c>
      <c r="S17" s="775">
        <f>F17</f>
        <v>100</v>
      </c>
      <c r="T17" s="774" t="s">
        <v>17</v>
      </c>
      <c r="U17" s="775">
        <f>H17</f>
        <v>100</v>
      </c>
      <c r="V17" s="774" t="s">
        <v>17</v>
      </c>
      <c r="W17" s="775">
        <f>J17</f>
        <v>100</v>
      </c>
      <c r="X17" s="1815"/>
      <c r="Y17" s="3232"/>
      <c r="Z17" s="1816" t="str">
        <f>Q17</f>
        <v>交通便捷度</v>
      </c>
      <c r="AA17" s="1813">
        <f t="shared" si="3"/>
        <v>1</v>
      </c>
      <c r="AB17" s="1813">
        <f t="shared" si="4"/>
        <v>1</v>
      </c>
      <c r="AC17" s="1813">
        <f t="shared" si="5"/>
        <v>1</v>
      </c>
    </row>
    <row r="18" spans="1:29" ht="15">
      <c r="A18" s="428"/>
      <c r="B18" s="632"/>
      <c r="C18" s="447"/>
      <c r="D18" s="448"/>
      <c r="E18" s="2601"/>
      <c r="F18" s="448"/>
      <c r="G18" s="2601"/>
      <c r="H18" s="448"/>
      <c r="I18" s="2600"/>
      <c r="J18" s="448"/>
      <c r="K18" s="672"/>
      <c r="L18" s="1142"/>
      <c r="M18" s="1133"/>
      <c r="N18" s="1133"/>
      <c r="O18" s="1141"/>
      <c r="P18" s="3232"/>
      <c r="Q18" s="1812"/>
      <c r="R18" s="774"/>
      <c r="S18" s="775"/>
      <c r="T18" s="774"/>
      <c r="U18" s="775"/>
      <c r="V18" s="774"/>
      <c r="W18" s="775"/>
      <c r="X18" s="1815"/>
      <c r="Y18" s="3232"/>
      <c r="Z18" s="1816"/>
      <c r="AA18" s="1813">
        <v>1</v>
      </c>
      <c r="AB18" s="1813">
        <v>1</v>
      </c>
      <c r="AC18" s="1813">
        <v>1</v>
      </c>
    </row>
    <row r="19" spans="1:29" ht="15">
      <c r="A19" s="428"/>
      <c r="B19" s="631" t="s">
        <v>2736</v>
      </c>
      <c r="C19" s="2603" t="str">
        <f>估价对象房地状况!G17</f>
        <v>较好</v>
      </c>
      <c r="D19" s="450">
        <v>100</v>
      </c>
      <c r="E19" s="452"/>
      <c r="F19" s="455">
        <f>SUMIF(87:87,E20,88:88)-SUMIF(87:87,C20,88:88)+100</f>
        <v>100</v>
      </c>
      <c r="G19" s="452"/>
      <c r="H19" s="455">
        <f>SUMIF(87:87,G20,88:88)-SUMIF(87:87,C20,88:88)+100</f>
        <v>100</v>
      </c>
      <c r="I19" s="452"/>
      <c r="J19" s="455">
        <f>SUMIF(87:87,I20,88:88)-SUMIF(87:87,C20,88:88)+100</f>
        <v>100</v>
      </c>
      <c r="K19" s="673"/>
      <c r="L19" s="1142"/>
      <c r="M19" s="1133"/>
      <c r="N19" s="1133"/>
      <c r="O19" s="1141"/>
      <c r="P19" s="3232"/>
      <c r="Q19" s="1812" t="str">
        <f t="shared" ref="Q19:Q33" si="8">B19</f>
        <v>区域土地利用方向</v>
      </c>
      <c r="R19" s="774" t="s">
        <v>17</v>
      </c>
      <c r="S19" s="775">
        <f>F19</f>
        <v>100</v>
      </c>
      <c r="T19" s="774" t="s">
        <v>17</v>
      </c>
      <c r="U19" s="775">
        <f>H19</f>
        <v>100</v>
      </c>
      <c r="V19" s="774" t="s">
        <v>17</v>
      </c>
      <c r="W19" s="775">
        <f>J19</f>
        <v>100</v>
      </c>
      <c r="X19" s="1815"/>
      <c r="Y19" s="3232"/>
      <c r="Z19" s="1816" t="str">
        <f>Q19</f>
        <v>区域土地利用方向</v>
      </c>
      <c r="AA19" s="1813">
        <f t="shared" si="3"/>
        <v>1</v>
      </c>
      <c r="AB19" s="1813">
        <f t="shared" si="4"/>
        <v>1</v>
      </c>
      <c r="AC19" s="1813">
        <f t="shared" si="5"/>
        <v>1</v>
      </c>
    </row>
    <row r="20" spans="1:29" ht="15">
      <c r="A20" s="404"/>
      <c r="B20" s="632"/>
      <c r="C20" s="447"/>
      <c r="D20" s="448"/>
      <c r="E20" s="2601"/>
      <c r="F20" s="448"/>
      <c r="G20" s="2601"/>
      <c r="H20" s="448"/>
      <c r="I20" s="2601"/>
      <c r="J20" s="448"/>
      <c r="K20" s="812"/>
      <c r="L20" s="1142"/>
      <c r="M20" s="1133"/>
      <c r="N20" s="1133"/>
      <c r="O20" s="1141"/>
      <c r="P20" s="3232"/>
      <c r="Q20" s="1812"/>
      <c r="R20" s="774"/>
      <c r="S20" s="775"/>
      <c r="T20" s="774"/>
      <c r="U20" s="775"/>
      <c r="V20" s="774"/>
      <c r="W20" s="775"/>
      <c r="X20" s="1815"/>
      <c r="Y20" s="3232"/>
      <c r="Z20" s="1816"/>
      <c r="AA20" s="1813"/>
      <c r="AB20" s="1813"/>
      <c r="AC20" s="1813"/>
    </row>
    <row r="21" spans="1:29" ht="71.25">
      <c r="A21" s="404"/>
      <c r="B21" s="631" t="s">
        <v>2787</v>
      </c>
      <c r="C21" s="2603" t="str">
        <f>估价对象房地状况!G18</f>
        <v>该园区内是否有污染型企业，绿化情况，卫生条件，整体环境状况判断，较好</v>
      </c>
      <c r="D21" s="450">
        <v>100</v>
      </c>
      <c r="E21" s="452"/>
      <c r="F21" s="450">
        <f>SUMIF(89:89,E22,90:90)-SUMIF(89:89,C22,90:90)+100</f>
        <v>100</v>
      </c>
      <c r="G21" s="452"/>
      <c r="H21" s="450">
        <f>SUMIF(89:89,G22,90:90)-SUMIF(89:89,C22,90:90)+100</f>
        <v>100</v>
      </c>
      <c r="I21" s="454"/>
      <c r="J21" s="450">
        <f>SUMIF(89:89,I22,90:90)-SUMIF(89:89,C22,90:90)+100</f>
        <v>100</v>
      </c>
      <c r="K21" s="673"/>
      <c r="L21" s="1142"/>
      <c r="M21" s="1133"/>
      <c r="N21" s="1133"/>
      <c r="O21" s="1141"/>
      <c r="P21" s="3232"/>
      <c r="Q21" s="1812" t="str">
        <f t="shared" si="8"/>
        <v>环境状况</v>
      </c>
      <c r="R21" s="774" t="s">
        <v>17</v>
      </c>
      <c r="S21" s="775">
        <f>F21</f>
        <v>100</v>
      </c>
      <c r="T21" s="774" t="s">
        <v>17</v>
      </c>
      <c r="U21" s="775">
        <f>H21</f>
        <v>100</v>
      </c>
      <c r="V21" s="774" t="s">
        <v>17</v>
      </c>
      <c r="W21" s="775">
        <f>J21</f>
        <v>100</v>
      </c>
      <c r="X21" s="1815"/>
      <c r="Y21" s="3232"/>
      <c r="Z21" s="1816" t="str">
        <f>Q21</f>
        <v>环境状况</v>
      </c>
      <c r="AA21" s="1813">
        <f t="shared" si="3"/>
        <v>1</v>
      </c>
      <c r="AB21" s="1813">
        <f t="shared" si="4"/>
        <v>1</v>
      </c>
      <c r="AC21" s="1813">
        <f t="shared" si="5"/>
        <v>1</v>
      </c>
    </row>
    <row r="22" spans="1:29" ht="15">
      <c r="A22" s="404"/>
      <c r="B22" s="632"/>
      <c r="C22" s="447"/>
      <c r="D22" s="448"/>
      <c r="E22" s="2607"/>
      <c r="F22" s="448"/>
      <c r="G22" s="2607"/>
      <c r="H22" s="448"/>
      <c r="I22" s="447"/>
      <c r="J22" s="448"/>
      <c r="K22" s="672"/>
      <c r="L22" s="1142"/>
      <c r="M22" s="1133"/>
      <c r="N22" s="1133"/>
      <c r="O22" s="1141"/>
      <c r="P22" s="3232"/>
      <c r="Q22" s="1812"/>
      <c r="R22" s="774"/>
      <c r="S22" s="775"/>
      <c r="T22" s="774"/>
      <c r="U22" s="775"/>
      <c r="V22" s="774"/>
      <c r="W22" s="775"/>
      <c r="X22" s="1815"/>
      <c r="Y22" s="3232"/>
      <c r="Z22" s="1816"/>
      <c r="AA22" s="1813">
        <v>1</v>
      </c>
      <c r="AB22" s="1813">
        <v>1</v>
      </c>
      <c r="AC22" s="1813">
        <v>1</v>
      </c>
    </row>
    <row r="23" spans="1:29" s="117" customFormat="1" ht="42.75">
      <c r="A23" s="649"/>
      <c r="B23" s="633" t="s">
        <v>2642</v>
      </c>
      <c r="C23" s="2603" t="str">
        <f>估价对象房地状况!G19</f>
        <v>估价对象所在区域公共配套设施有农村商业银行、上海浦东发展银行、世纪华联、容中超市、中国石油大学附属中学、昌平五中等，齐备情况较好</v>
      </c>
      <c r="D23" s="450">
        <v>100</v>
      </c>
      <c r="E23" s="452"/>
      <c r="F23" s="450">
        <f>SUMIF(91:91,E24,92:92)-SUMIF(91:91,C24,92:92)+100</f>
        <v>100</v>
      </c>
      <c r="G23" s="452"/>
      <c r="H23" s="450">
        <f>SUMIF(91:91,G24,92:92)-SUMIF(91:91,C24,92:92)+100</f>
        <v>100</v>
      </c>
      <c r="I23" s="454"/>
      <c r="J23" s="450">
        <f>SUMIF(91:91,I24,92:92)-SUMIF(91:91,C24,92:92)+100</f>
        <v>100</v>
      </c>
      <c r="K23" s="673"/>
      <c r="L23" s="1134"/>
      <c r="M23" s="1135"/>
      <c r="N23" s="1135"/>
      <c r="O23" s="1136"/>
      <c r="P23" s="3232"/>
      <c r="Q23" s="1797" t="str">
        <f t="shared" si="8"/>
        <v>公共配套设施</v>
      </c>
      <c r="R23" s="770" t="s">
        <v>17</v>
      </c>
      <c r="S23" s="771">
        <f>F23</f>
        <v>100</v>
      </c>
      <c r="T23" s="770" t="s">
        <v>17</v>
      </c>
      <c r="U23" s="771">
        <f>H23</f>
        <v>100</v>
      </c>
      <c r="V23" s="770" t="s">
        <v>17</v>
      </c>
      <c r="W23" s="771">
        <f>J23</f>
        <v>100</v>
      </c>
      <c r="X23" s="772"/>
      <c r="Y23" s="3232"/>
      <c r="Z23" s="55" t="str">
        <f>Q23</f>
        <v>公共配套设施</v>
      </c>
      <c r="AA23" s="1813">
        <f>D23/F23</f>
        <v>1</v>
      </c>
      <c r="AB23" s="1813">
        <f>D23/H23</f>
        <v>1</v>
      </c>
      <c r="AC23" s="1813">
        <f>D23/J23</f>
        <v>1</v>
      </c>
    </row>
    <row r="24" spans="1:29" s="117" customFormat="1" ht="15">
      <c r="A24" s="649"/>
      <c r="B24" s="632"/>
      <c r="C24" s="2696"/>
      <c r="D24" s="448"/>
      <c r="E24" s="2607"/>
      <c r="F24" s="448"/>
      <c r="G24" s="2607"/>
      <c r="H24" s="448"/>
      <c r="I24" s="447"/>
      <c r="J24" s="448"/>
      <c r="K24" s="672"/>
      <c r="L24" s="1134"/>
      <c r="M24" s="1135"/>
      <c r="N24" s="1135"/>
      <c r="O24" s="1136"/>
      <c r="P24" s="3232"/>
      <c r="Q24" s="1797"/>
      <c r="R24" s="770"/>
      <c r="S24" s="771"/>
      <c r="T24" s="770"/>
      <c r="U24" s="771"/>
      <c r="V24" s="770"/>
      <c r="W24" s="771"/>
      <c r="X24" s="772"/>
      <c r="Y24" s="3232"/>
      <c r="Z24" s="55"/>
      <c r="AA24" s="773">
        <v>1</v>
      </c>
      <c r="AB24" s="773">
        <v>1</v>
      </c>
      <c r="AC24" s="773">
        <v>1</v>
      </c>
    </row>
    <row r="25" spans="1:29" s="117" customFormat="1" ht="42.75">
      <c r="A25" s="649"/>
      <c r="B25" s="633" t="s">
        <v>2643</v>
      </c>
      <c r="C25" s="2603" t="str">
        <f>估价对象房地状况!G20</f>
        <v>估价对象所在区域基础设施水平七通</v>
      </c>
      <c r="D25" s="450">
        <v>100</v>
      </c>
      <c r="E25" s="452"/>
      <c r="F25" s="450">
        <f>SUMIF(93:93,E26,94:94)-SUMIF(93:93,C26,94:94)+100</f>
        <v>100</v>
      </c>
      <c r="G25" s="452"/>
      <c r="H25" s="450">
        <f>SUMIF(93:93,G26,94:94)-SUMIF(93:93,C26,94:94)+100</f>
        <v>100</v>
      </c>
      <c r="I25" s="454"/>
      <c r="J25" s="450">
        <f>SUMIF(93:93,I26,94:94)-SUMIF(93:93,C26,94:94)+100</f>
        <v>100</v>
      </c>
      <c r="K25" s="673"/>
      <c r="L25" s="1134"/>
      <c r="M25" s="1135"/>
      <c r="N25" s="1135"/>
      <c r="O25" s="1136"/>
      <c r="P25" s="3232"/>
      <c r="Q25" s="1797" t="str">
        <f t="shared" ref="Q25" si="9">B25</f>
        <v>基础设施水平</v>
      </c>
      <c r="R25" s="770" t="s">
        <v>17</v>
      </c>
      <c r="S25" s="771">
        <f>F25</f>
        <v>100</v>
      </c>
      <c r="T25" s="770" t="s">
        <v>17</v>
      </c>
      <c r="U25" s="771">
        <f>H25</f>
        <v>100</v>
      </c>
      <c r="V25" s="770" t="s">
        <v>17</v>
      </c>
      <c r="W25" s="771">
        <f>J25</f>
        <v>100</v>
      </c>
      <c r="X25" s="772"/>
      <c r="Y25" s="3232"/>
      <c r="Z25" s="55" t="str">
        <f>Q25</f>
        <v>基础设施水平</v>
      </c>
      <c r="AA25" s="1813">
        <f>D25/F25</f>
        <v>1</v>
      </c>
      <c r="AB25" s="1813">
        <f>D25/H25</f>
        <v>1</v>
      </c>
      <c r="AC25" s="1813">
        <f>D25/J25</f>
        <v>1</v>
      </c>
    </row>
    <row r="26" spans="1:29" s="117" customFormat="1" ht="15">
      <c r="A26" s="649"/>
      <c r="B26" s="632"/>
      <c r="C26" s="2696"/>
      <c r="D26" s="448"/>
      <c r="E26" s="2697"/>
      <c r="F26" s="448"/>
      <c r="G26" s="2697"/>
      <c r="H26" s="448"/>
      <c r="I26" s="2697"/>
      <c r="J26" s="448"/>
      <c r="K26" s="672"/>
      <c r="L26" s="1134"/>
      <c r="M26" s="1135"/>
      <c r="N26" s="1135"/>
      <c r="O26" s="1136"/>
      <c r="P26" s="3232"/>
      <c r="Q26" s="1797"/>
      <c r="R26" s="770"/>
      <c r="S26" s="771"/>
      <c r="T26" s="770"/>
      <c r="U26" s="771"/>
      <c r="V26" s="770"/>
      <c r="W26" s="771"/>
      <c r="X26" s="772"/>
      <c r="Y26" s="3232"/>
      <c r="Z26" s="55"/>
      <c r="AA26" s="773">
        <v>1</v>
      </c>
      <c r="AB26" s="773">
        <v>1</v>
      </c>
      <c r="AC26" s="773">
        <v>1</v>
      </c>
    </row>
    <row r="27" spans="1:29" ht="15">
      <c r="A27" s="428"/>
      <c r="B27" s="632" t="s">
        <v>2644</v>
      </c>
      <c r="C27" s="616"/>
      <c r="D27" s="435">
        <v>100</v>
      </c>
      <c r="E27" s="634"/>
      <c r="F27" s="435">
        <f>SUMIF(95:95,E27,96:96)-SUMIF(95:95,C27,96:96)+100</f>
        <v>100</v>
      </c>
      <c r="G27" s="634"/>
      <c r="H27" s="435">
        <f>SUMIF(95:95,G27,96:96)-SUMIF(95:95,C27,96:96)+100</f>
        <v>100</v>
      </c>
      <c r="I27" s="634"/>
      <c r="J27" s="435">
        <f>SUMIF(95:95,I27,96:96)-SUMIF(95:95,C27,96:96)+100</f>
        <v>100</v>
      </c>
      <c r="K27" s="673"/>
      <c r="L27" s="1142"/>
      <c r="M27" s="1133"/>
      <c r="N27" s="1133"/>
      <c r="O27" s="1141"/>
      <c r="P27" s="3232"/>
      <c r="Q27" s="1812" t="str">
        <f t="shared" si="8"/>
        <v>临街状况</v>
      </c>
      <c r="R27" s="774" t="s">
        <v>17</v>
      </c>
      <c r="S27" s="775">
        <f t="shared" ref="S27:S40" si="10">F27</f>
        <v>100</v>
      </c>
      <c r="T27" s="774" t="s">
        <v>17</v>
      </c>
      <c r="U27" s="775">
        <f t="shared" ref="U27:U40" si="11">H27</f>
        <v>100</v>
      </c>
      <c r="V27" s="774" t="s">
        <v>17</v>
      </c>
      <c r="W27" s="775">
        <f t="shared" ref="W27:W40" si="12">J27</f>
        <v>100</v>
      </c>
      <c r="X27" s="1815"/>
      <c r="Y27" s="3232"/>
      <c r="Z27" s="1816" t="str">
        <f t="shared" ref="Z27:Z40" si="13">Q27</f>
        <v>临街状况</v>
      </c>
      <c r="AA27" s="1813">
        <f t="shared" si="3"/>
        <v>1</v>
      </c>
      <c r="AB27" s="1813">
        <f t="shared" si="4"/>
        <v>1</v>
      </c>
      <c r="AC27" s="1813">
        <f t="shared" si="5"/>
        <v>1</v>
      </c>
    </row>
    <row r="28" spans="1:29" ht="27">
      <c r="A28" s="428"/>
      <c r="B28" s="633" t="s">
        <v>2679</v>
      </c>
      <c r="C28" s="2709" t="str">
        <f>估价对象房地状况!G22</f>
        <v>支路</v>
      </c>
      <c r="D28" s="450">
        <v>100</v>
      </c>
      <c r="E28" s="452"/>
      <c r="F28" s="450">
        <f>SUMIF(97:97,E29,98:98)-SUMIF(97:97,C29,98:98)+100</f>
        <v>100</v>
      </c>
      <c r="G28" s="452"/>
      <c r="H28" s="450">
        <f>SUMIF(97:97,G29,98:98)-SUMIF(97:97,C29,98:98)+100</f>
        <v>100</v>
      </c>
      <c r="I28" s="454"/>
      <c r="J28" s="450">
        <f>SUMIF(97:97,I29,98:98)-SUMIF(97:97,C29,98:98)+100</f>
        <v>100</v>
      </c>
      <c r="K28" s="673"/>
      <c r="L28" s="1142"/>
      <c r="M28" s="1133"/>
      <c r="N28" s="1133"/>
      <c r="O28" s="1141"/>
      <c r="P28" s="3232"/>
      <c r="Q28" s="1812" t="str">
        <f t="shared" si="8"/>
        <v>毗邻道路的类型与等级</v>
      </c>
      <c r="R28" s="774" t="s">
        <v>17</v>
      </c>
      <c r="S28" s="775">
        <f t="shared" si="10"/>
        <v>100</v>
      </c>
      <c r="T28" s="774" t="s">
        <v>17</v>
      </c>
      <c r="U28" s="775">
        <f t="shared" si="11"/>
        <v>100</v>
      </c>
      <c r="V28" s="774" t="s">
        <v>17</v>
      </c>
      <c r="W28" s="775">
        <f t="shared" si="12"/>
        <v>100</v>
      </c>
      <c r="X28" s="1815"/>
      <c r="Y28" s="3232"/>
      <c r="Z28" s="1816" t="str">
        <f t="shared" si="13"/>
        <v>毗邻道路的类型与等级</v>
      </c>
      <c r="AA28" s="1813">
        <f t="shared" si="3"/>
        <v>1</v>
      </c>
      <c r="AB28" s="1813">
        <f t="shared" si="4"/>
        <v>1</v>
      </c>
      <c r="AC28" s="1813">
        <f t="shared" si="5"/>
        <v>1</v>
      </c>
    </row>
    <row r="29" spans="1:29" ht="15">
      <c r="A29" s="428"/>
      <c r="B29" s="632"/>
      <c r="C29" s="447"/>
      <c r="D29" s="448"/>
      <c r="E29" s="2607"/>
      <c r="F29" s="448"/>
      <c r="G29" s="2607"/>
      <c r="H29" s="448"/>
      <c r="I29" s="2607"/>
      <c r="J29" s="448"/>
      <c r="K29" s="613"/>
      <c r="L29" s="1142"/>
      <c r="M29" s="1133"/>
      <c r="N29" s="1133"/>
      <c r="O29" s="1141"/>
      <c r="P29" s="3232"/>
      <c r="Q29" s="1812"/>
      <c r="R29" s="774"/>
      <c r="S29" s="775"/>
      <c r="T29" s="774"/>
      <c r="U29" s="775"/>
      <c r="V29" s="774"/>
      <c r="W29" s="775"/>
      <c r="X29" s="1815"/>
      <c r="Y29" s="3232"/>
      <c r="Z29" s="1816"/>
      <c r="AA29" s="1813">
        <v>1</v>
      </c>
      <c r="AB29" s="1813">
        <v>1</v>
      </c>
      <c r="AC29" s="1813">
        <v>1</v>
      </c>
    </row>
    <row r="30" spans="1:29" ht="15">
      <c r="A30" s="428"/>
      <c r="B30" s="654" t="s">
        <v>2738</v>
      </c>
      <c r="C30" s="1391">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2"/>
      <c r="M30" s="1133"/>
      <c r="N30" s="1133"/>
      <c r="O30" s="1141"/>
      <c r="P30" s="3232"/>
      <c r="Q30" s="1812" t="str">
        <f t="shared" si="8"/>
        <v>土地级别</v>
      </c>
      <c r="R30" s="774" t="s">
        <v>17</v>
      </c>
      <c r="S30" s="775">
        <f t="shared" si="10"/>
        <v>100</v>
      </c>
      <c r="T30" s="774" t="s">
        <v>17</v>
      </c>
      <c r="U30" s="775">
        <f t="shared" si="11"/>
        <v>100</v>
      </c>
      <c r="V30" s="774" t="s">
        <v>17</v>
      </c>
      <c r="W30" s="775">
        <f t="shared" si="12"/>
        <v>100</v>
      </c>
      <c r="X30" s="1815"/>
      <c r="Y30" s="3232"/>
      <c r="Z30" s="1816" t="str">
        <f t="shared" si="13"/>
        <v>土地级别</v>
      </c>
      <c r="AA30" s="1813">
        <f t="shared" si="3"/>
        <v>1</v>
      </c>
      <c r="AB30" s="1813">
        <f t="shared" si="4"/>
        <v>1</v>
      </c>
      <c r="AC30" s="1813">
        <f t="shared" si="5"/>
        <v>1</v>
      </c>
    </row>
    <row r="31" spans="1:29" ht="15">
      <c r="A31" s="404"/>
      <c r="B31" s="267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2"/>
      <c r="M31" s="1133"/>
      <c r="N31" s="1133"/>
      <c r="O31" s="1141"/>
      <c r="P31" s="3232"/>
      <c r="Q31" s="1812">
        <f t="shared" si="8"/>
        <v>111</v>
      </c>
      <c r="R31" s="774" t="s">
        <v>17</v>
      </c>
      <c r="S31" s="775">
        <f t="shared" si="10"/>
        <v>100</v>
      </c>
      <c r="T31" s="774" t="s">
        <v>17</v>
      </c>
      <c r="U31" s="775">
        <f t="shared" si="11"/>
        <v>100</v>
      </c>
      <c r="V31" s="774" t="s">
        <v>17</v>
      </c>
      <c r="W31" s="775">
        <f t="shared" si="12"/>
        <v>100</v>
      </c>
      <c r="X31" s="1815"/>
      <c r="Y31" s="3232"/>
      <c r="Z31" s="1816">
        <f t="shared" si="13"/>
        <v>111</v>
      </c>
      <c r="AA31" s="1813">
        <f t="shared" si="3"/>
        <v>1</v>
      </c>
      <c r="AB31" s="1813">
        <f t="shared" si="4"/>
        <v>1</v>
      </c>
      <c r="AC31" s="1813">
        <f t="shared" si="5"/>
        <v>1</v>
      </c>
    </row>
    <row r="32" spans="1:29" ht="15">
      <c r="A32" s="675"/>
      <c r="B32" s="271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2"/>
      <c r="M32" s="1133"/>
      <c r="N32" s="1133"/>
      <c r="O32" s="1141"/>
      <c r="P32" s="3255" t="s">
        <v>2553</v>
      </c>
      <c r="Q32" s="1812">
        <f t="shared" si="8"/>
        <v>111</v>
      </c>
      <c r="R32" s="774" t="s">
        <v>17</v>
      </c>
      <c r="S32" s="775">
        <f t="shared" si="10"/>
        <v>100</v>
      </c>
      <c r="T32" s="774" t="s">
        <v>17</v>
      </c>
      <c r="U32" s="775">
        <f t="shared" si="11"/>
        <v>100</v>
      </c>
      <c r="V32" s="774" t="s">
        <v>17</v>
      </c>
      <c r="W32" s="775">
        <f t="shared" si="12"/>
        <v>100</v>
      </c>
      <c r="X32" s="1815"/>
      <c r="Y32" s="3236" t="s">
        <v>2553</v>
      </c>
      <c r="Z32" s="1816">
        <f t="shared" si="13"/>
        <v>111</v>
      </c>
      <c r="AA32" s="1813">
        <f t="shared" si="3"/>
        <v>1</v>
      </c>
      <c r="AB32" s="1813">
        <f t="shared" si="4"/>
        <v>1</v>
      </c>
      <c r="AC32" s="1813">
        <f t="shared" si="5"/>
        <v>1</v>
      </c>
    </row>
    <row r="33" spans="1:29" s="471" customFormat="1" ht="15.75" thickBot="1">
      <c r="A33" s="676"/>
      <c r="B33" s="271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0"/>
      <c r="M33" s="1143"/>
      <c r="N33" s="1143"/>
      <c r="O33" s="1144"/>
      <c r="P33" s="3236"/>
      <c r="Q33" s="1812">
        <f t="shared" si="8"/>
        <v>111</v>
      </c>
      <c r="R33" s="777" t="s">
        <v>17</v>
      </c>
      <c r="S33" s="778">
        <f t="shared" si="10"/>
        <v>100</v>
      </c>
      <c r="T33" s="777" t="s">
        <v>17</v>
      </c>
      <c r="U33" s="778">
        <f t="shared" si="11"/>
        <v>100</v>
      </c>
      <c r="V33" s="777" t="s">
        <v>17</v>
      </c>
      <c r="W33" s="778">
        <f t="shared" si="12"/>
        <v>100</v>
      </c>
      <c r="X33" s="779"/>
      <c r="Y33" s="3236"/>
      <c r="Z33" s="780">
        <f t="shared" si="13"/>
        <v>111</v>
      </c>
      <c r="AA33" s="1813">
        <f t="shared" si="3"/>
        <v>1</v>
      </c>
      <c r="AB33" s="1813">
        <f t="shared" si="4"/>
        <v>1</v>
      </c>
      <c r="AC33" s="1813">
        <f t="shared" si="5"/>
        <v>1</v>
      </c>
    </row>
    <row r="34" spans="1:29" ht="15">
      <c r="A34" s="440" t="s">
        <v>2551</v>
      </c>
      <c r="B34" s="456" t="s">
        <v>2739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2"/>
      <c r="M34" s="1133"/>
      <c r="N34" s="1133"/>
      <c r="O34" s="1141"/>
      <c r="P34" s="3236"/>
      <c r="Q34" s="1812" t="str">
        <f>B34</f>
        <v>宗地面积</v>
      </c>
      <c r="R34" s="774" t="s">
        <v>17</v>
      </c>
      <c r="S34" s="775" t="e">
        <f t="shared" si="10"/>
        <v>#N/A</v>
      </c>
      <c r="T34" s="774" t="s">
        <v>17</v>
      </c>
      <c r="U34" s="775" t="e">
        <f t="shared" si="11"/>
        <v>#N/A</v>
      </c>
      <c r="V34" s="774" t="s">
        <v>17</v>
      </c>
      <c r="W34" s="775" t="e">
        <f t="shared" si="12"/>
        <v>#N/A</v>
      </c>
      <c r="X34" s="1815"/>
      <c r="Y34" s="3236"/>
      <c r="Z34" s="1816" t="str">
        <f t="shared" si="13"/>
        <v>宗地面积</v>
      </c>
      <c r="AA34" s="1813" t="e">
        <f t="shared" si="3"/>
        <v>#N/A</v>
      </c>
      <c r="AB34" s="1813" t="e">
        <f t="shared" si="4"/>
        <v>#N/A</v>
      </c>
      <c r="AC34" s="1813" t="e">
        <f t="shared" si="5"/>
        <v>#N/A</v>
      </c>
    </row>
    <row r="35" spans="1:29" ht="15">
      <c r="A35" s="472"/>
      <c r="B35" s="422" t="s">
        <v>2740</v>
      </c>
      <c r="C35" s="2609"/>
      <c r="D35" s="435">
        <v>100</v>
      </c>
      <c r="E35" s="2609"/>
      <c r="F35" s="435">
        <f>SUMIF(110:110,E35,111:111)-SUMIF(110:110,C35,111:111)+100</f>
        <v>100</v>
      </c>
      <c r="G35" s="2609"/>
      <c r="H35" s="435">
        <f>SUMIF(110:110,G35,111:111)-SUMIF(110:110,C35,111:111)+100</f>
        <v>100</v>
      </c>
      <c r="I35" s="2609"/>
      <c r="J35" s="435">
        <f>SUMIF(110:110,I35,111:111)-SUMIF(110:110,C35,111:111)+100</f>
        <v>100</v>
      </c>
      <c r="K35" s="612"/>
      <c r="L35" s="1142"/>
      <c r="M35" s="1133"/>
      <c r="N35" s="1133"/>
      <c r="O35" s="1141"/>
      <c r="P35" s="3236"/>
      <c r="Q35" s="1812" t="str">
        <f t="shared" ref="Q35:Q40" si="14">B35</f>
        <v>宗地形状</v>
      </c>
      <c r="R35" s="774" t="s">
        <v>17</v>
      </c>
      <c r="S35" s="775">
        <f t="shared" si="10"/>
        <v>100</v>
      </c>
      <c r="T35" s="774" t="s">
        <v>17</v>
      </c>
      <c r="U35" s="775">
        <f t="shared" si="11"/>
        <v>100</v>
      </c>
      <c r="V35" s="774" t="s">
        <v>17</v>
      </c>
      <c r="W35" s="775">
        <f t="shared" si="12"/>
        <v>100</v>
      </c>
      <c r="X35" s="1815"/>
      <c r="Y35" s="3236"/>
      <c r="Z35" s="1816" t="str">
        <f t="shared" si="13"/>
        <v>宗地形状</v>
      </c>
      <c r="AA35" s="1813">
        <f t="shared" si="3"/>
        <v>1</v>
      </c>
      <c r="AB35" s="1813">
        <f t="shared" si="4"/>
        <v>1</v>
      </c>
      <c r="AC35" s="1813">
        <f t="shared" si="5"/>
        <v>1</v>
      </c>
    </row>
    <row r="36" spans="1:29" s="117" customFormat="1" ht="15">
      <c r="A36" s="473"/>
      <c r="B36" s="422" t="s">
        <v>2742</v>
      </c>
      <c r="C36" s="2698"/>
      <c r="D36" s="136">
        <v>100</v>
      </c>
      <c r="E36" s="2698"/>
      <c r="F36" s="435">
        <f>SUMIF(112:112,E36,113:113)-SUMIF(112:112,C36,113:113)+100</f>
        <v>100</v>
      </c>
      <c r="G36" s="2698"/>
      <c r="H36" s="435">
        <f>SUMIF(112:112,G36,113:113)-SUMIF(112:112,C36,113:113)+100</f>
        <v>100</v>
      </c>
      <c r="I36" s="2698"/>
      <c r="J36" s="435">
        <f>SUMIF(112:112,I36,113:113)-SUMIF(112:112,C36,113:113)+100</f>
        <v>100</v>
      </c>
      <c r="K36" s="612"/>
      <c r="L36" s="1134"/>
      <c r="M36" s="1135"/>
      <c r="N36" s="1135"/>
      <c r="O36" s="1136"/>
      <c r="P36" s="3236"/>
      <c r="Q36" s="1812" t="str">
        <f t="shared" si="14"/>
        <v>宗地开发程度</v>
      </c>
      <c r="R36" s="770" t="s">
        <v>17</v>
      </c>
      <c r="S36" s="771">
        <f t="shared" si="10"/>
        <v>100</v>
      </c>
      <c r="T36" s="770" t="s">
        <v>17</v>
      </c>
      <c r="U36" s="771">
        <f t="shared" si="11"/>
        <v>100</v>
      </c>
      <c r="V36" s="770" t="s">
        <v>17</v>
      </c>
      <c r="W36" s="771">
        <f t="shared" si="12"/>
        <v>100</v>
      </c>
      <c r="X36" s="772"/>
      <c r="Y36" s="3236"/>
      <c r="Z36" s="55" t="str">
        <f t="shared" si="13"/>
        <v>宗地开发程度</v>
      </c>
      <c r="AA36" s="773">
        <f t="shared" si="3"/>
        <v>1</v>
      </c>
      <c r="AB36" s="773">
        <f t="shared" si="4"/>
        <v>1</v>
      </c>
      <c r="AC36" s="773">
        <f t="shared" si="5"/>
        <v>1</v>
      </c>
    </row>
    <row r="37" spans="1:29" ht="15">
      <c r="A37" s="472"/>
      <c r="B37" s="422" t="s">
        <v>2743</v>
      </c>
      <c r="C37" s="2609"/>
      <c r="D37" s="435">
        <v>100</v>
      </c>
      <c r="E37" s="2609"/>
      <c r="F37" s="435">
        <f>SUMIF(114:114,E37,115:115)-SUMIF(114:114,C37,115:115)+100</f>
        <v>100</v>
      </c>
      <c r="G37" s="2609"/>
      <c r="H37" s="435">
        <f>SUMIF(114:114,G37,115:115)-SUMIF(114:114,C37,115:115)+100</f>
        <v>100</v>
      </c>
      <c r="I37" s="2609"/>
      <c r="J37" s="435">
        <f>SUMIF(114:114,I37,115:115)-SUMIF(114:114,C37,115:115)+100</f>
        <v>100</v>
      </c>
      <c r="K37" s="612"/>
      <c r="L37" s="1142"/>
      <c r="M37" s="1133"/>
      <c r="N37" s="1133"/>
      <c r="O37" s="1141"/>
      <c r="P37" s="3236" t="s">
        <v>2553</v>
      </c>
      <c r="Q37" s="1812" t="str">
        <f t="shared" si="14"/>
        <v>工程地质条件</v>
      </c>
      <c r="R37" s="774" t="s">
        <v>17</v>
      </c>
      <c r="S37" s="775">
        <f t="shared" si="10"/>
        <v>100</v>
      </c>
      <c r="T37" s="774" t="s">
        <v>17</v>
      </c>
      <c r="U37" s="775">
        <f t="shared" si="11"/>
        <v>100</v>
      </c>
      <c r="V37" s="774" t="s">
        <v>17</v>
      </c>
      <c r="W37" s="775">
        <f t="shared" si="12"/>
        <v>100</v>
      </c>
      <c r="X37" s="1815"/>
      <c r="Y37" s="3236" t="s">
        <v>2553</v>
      </c>
      <c r="Z37" s="1816" t="str">
        <f t="shared" si="13"/>
        <v>工程地质条件</v>
      </c>
      <c r="AA37" s="1813">
        <f t="shared" si="3"/>
        <v>1</v>
      </c>
      <c r="AB37" s="1813">
        <f t="shared" si="4"/>
        <v>1</v>
      </c>
      <c r="AC37" s="1813">
        <f t="shared" si="5"/>
        <v>1</v>
      </c>
    </row>
    <row r="38" spans="1:29" ht="15">
      <c r="A38" s="472"/>
      <c r="B38" s="1389">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2"/>
      <c r="M38" s="1133"/>
      <c r="N38" s="1133"/>
      <c r="O38" s="1141"/>
      <c r="P38" s="3236"/>
      <c r="Q38" s="1812">
        <f t="shared" si="14"/>
        <v>111</v>
      </c>
      <c r="R38" s="774" t="s">
        <v>17</v>
      </c>
      <c r="S38" s="775">
        <f t="shared" si="10"/>
        <v>100</v>
      </c>
      <c r="T38" s="774" t="s">
        <v>17</v>
      </c>
      <c r="U38" s="775">
        <f t="shared" si="11"/>
        <v>100</v>
      </c>
      <c r="V38" s="774" t="s">
        <v>17</v>
      </c>
      <c r="W38" s="775">
        <f t="shared" si="12"/>
        <v>100</v>
      </c>
      <c r="X38" s="1815"/>
      <c r="Y38" s="3236"/>
      <c r="Z38" s="1816">
        <f t="shared" si="13"/>
        <v>111</v>
      </c>
      <c r="AA38" s="1813">
        <f t="shared" si="3"/>
        <v>1</v>
      </c>
      <c r="AB38" s="1813">
        <f t="shared" si="4"/>
        <v>1</v>
      </c>
      <c r="AC38" s="1813">
        <f t="shared" si="5"/>
        <v>1</v>
      </c>
    </row>
    <row r="39" spans="1:29" ht="15">
      <c r="A39" s="472"/>
      <c r="B39" s="1389">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2"/>
      <c r="M39" s="1133"/>
      <c r="N39" s="1133"/>
      <c r="O39" s="1141"/>
      <c r="P39" s="3236"/>
      <c r="Q39" s="1812">
        <f t="shared" si="14"/>
        <v>111</v>
      </c>
      <c r="R39" s="774" t="s">
        <v>17</v>
      </c>
      <c r="S39" s="775">
        <f t="shared" si="10"/>
        <v>100</v>
      </c>
      <c r="T39" s="774" t="s">
        <v>17</v>
      </c>
      <c r="U39" s="775">
        <f t="shared" si="11"/>
        <v>100</v>
      </c>
      <c r="V39" s="774" t="s">
        <v>17</v>
      </c>
      <c r="W39" s="775">
        <f t="shared" si="12"/>
        <v>100</v>
      </c>
      <c r="X39" s="1815"/>
      <c r="Y39" s="3236"/>
      <c r="Z39" s="1816">
        <f t="shared" si="13"/>
        <v>111</v>
      </c>
      <c r="AA39" s="1813">
        <f t="shared" si="3"/>
        <v>1</v>
      </c>
      <c r="AB39" s="1813">
        <f t="shared" si="4"/>
        <v>1</v>
      </c>
      <c r="AC39" s="1813">
        <f t="shared" si="5"/>
        <v>1</v>
      </c>
    </row>
    <row r="40" spans="1:29" s="471" customFormat="1" ht="15.75" thickBot="1">
      <c r="A40" s="468"/>
      <c r="B40" s="1389">
        <v>111</v>
      </c>
      <c r="C40" s="2699"/>
      <c r="D40" s="137">
        <v>100</v>
      </c>
      <c r="E40" s="674"/>
      <c r="F40" s="438">
        <f>SUMIF(120:120,E40,121:121)-SUMIF(120:120,C40,121:121)+100</f>
        <v>100</v>
      </c>
      <c r="G40" s="674"/>
      <c r="H40" s="438">
        <f>SUMIF(120:120,G40,121:121)-SUMIF(120:120,C40,121:121)+100</f>
        <v>100</v>
      </c>
      <c r="I40" s="549"/>
      <c r="J40" s="438">
        <f>SUMIF(120:120,I40,121:121)-SUMIF(120:120,C40,121:121)+100</f>
        <v>100</v>
      </c>
      <c r="K40" s="681"/>
      <c r="L40" s="1140"/>
      <c r="M40" s="1143"/>
      <c r="N40" s="1143"/>
      <c r="O40" s="1144"/>
      <c r="P40" s="3236"/>
      <c r="Q40" s="1812">
        <f t="shared" si="14"/>
        <v>111</v>
      </c>
      <c r="R40" s="777" t="s">
        <v>17</v>
      </c>
      <c r="S40" s="778">
        <f t="shared" si="10"/>
        <v>100</v>
      </c>
      <c r="T40" s="777" t="s">
        <v>17</v>
      </c>
      <c r="U40" s="778">
        <f t="shared" si="11"/>
        <v>100</v>
      </c>
      <c r="V40" s="777" t="s">
        <v>17</v>
      </c>
      <c r="W40" s="778">
        <f t="shared" si="12"/>
        <v>100</v>
      </c>
      <c r="X40" s="779"/>
      <c r="Y40" s="3236"/>
      <c r="Z40" s="780">
        <f t="shared" si="13"/>
        <v>111</v>
      </c>
      <c r="AA40" s="1813">
        <f t="shared" si="3"/>
        <v>1</v>
      </c>
      <c r="AB40" s="1813">
        <f t="shared" si="4"/>
        <v>1</v>
      </c>
      <c r="AC40" s="1813">
        <f t="shared" si="5"/>
        <v>1</v>
      </c>
    </row>
    <row r="41" spans="1:29" ht="15">
      <c r="A41" s="479" t="s">
        <v>2708</v>
      </c>
      <c r="B41" s="2700" t="s">
        <v>2788</v>
      </c>
      <c r="C41" s="682" t="s">
        <v>1</v>
      </c>
      <c r="D41" s="481"/>
      <c r="E41" s="482"/>
      <c r="F41" s="483"/>
      <c r="G41" s="484"/>
      <c r="H41" s="485"/>
      <c r="I41" s="482"/>
      <c r="J41" s="485"/>
      <c r="K41" s="783"/>
      <c r="L41" s="1145"/>
      <c r="M41" s="1133"/>
      <c r="N41" s="1133"/>
      <c r="O41" s="1146"/>
      <c r="P41" s="3229" t="str">
        <f>A41</f>
        <v>成交单价</v>
      </c>
      <c r="Q41" s="3229"/>
      <c r="R41" s="3224">
        <f>E41</f>
        <v>0</v>
      </c>
      <c r="S41" s="3224"/>
      <c r="T41" s="3224">
        <f>G41</f>
        <v>0</v>
      </c>
      <c r="U41" s="3224"/>
      <c r="V41" s="3224">
        <f>I41</f>
        <v>0</v>
      </c>
      <c r="W41" s="3224"/>
      <c r="X41" s="759"/>
      <c r="Y41" s="781"/>
      <c r="Z41" s="759"/>
      <c r="AA41" s="759"/>
      <c r="AB41" s="759"/>
      <c r="AC41" s="759"/>
    </row>
    <row r="42" spans="1:29" ht="15.75" thickBot="1">
      <c r="A42" s="486" t="s">
        <v>2657</v>
      </c>
      <c r="B42" s="683"/>
      <c r="C42" s="490" t="e">
        <f>R43</f>
        <v>#DIV/0!</v>
      </c>
      <c r="D42" s="489"/>
      <c r="E42" s="490" t="e">
        <f>R42</f>
        <v>#DIV/0!</v>
      </c>
      <c r="F42" s="491"/>
      <c r="G42" s="488" t="e">
        <f>T42</f>
        <v>#DIV/0!</v>
      </c>
      <c r="H42" s="489"/>
      <c r="I42" s="490" t="e">
        <f>V42</f>
        <v>#DIV/0!</v>
      </c>
      <c r="J42" s="489"/>
      <c r="K42" s="784"/>
      <c r="L42" s="1145"/>
      <c r="M42" s="1133"/>
      <c r="N42" s="1133"/>
      <c r="O42" s="1146"/>
      <c r="P42" s="3229" t="str">
        <f>A42</f>
        <v>比较价值（元/平方米）</v>
      </c>
      <c r="Q42" s="3229"/>
      <c r="R42" s="3256" t="e">
        <f>ROUND(PRODUCT(R41,AA7:AA40),0)</f>
        <v>#DIV/0!</v>
      </c>
      <c r="S42" s="3256"/>
      <c r="T42" s="3256" t="e">
        <f>ROUND(PRODUCT(T41,AB7:AB40),0)</f>
        <v>#DIV/0!</v>
      </c>
      <c r="U42" s="3256"/>
      <c r="V42" s="3256" t="e">
        <f>ROUND(PRODUCT(V41,AC7:AC40),0)</f>
        <v>#DIV/0!</v>
      </c>
      <c r="W42" s="3256"/>
      <c r="X42" s="759"/>
      <c r="Y42" s="759"/>
      <c r="Z42" s="759"/>
      <c r="AA42" s="759"/>
      <c r="AB42" s="759"/>
      <c r="AC42" s="759"/>
    </row>
    <row r="43" spans="1:29" ht="15.75" thickBot="1">
      <c r="A43" s="492" t="s">
        <v>2658</v>
      </c>
      <c r="B43" s="493"/>
      <c r="C43" s="494" t="e">
        <f>R43</f>
        <v>#DIV/0!</v>
      </c>
      <c r="D43" s="494"/>
      <c r="E43" s="494"/>
      <c r="F43" s="494"/>
      <c r="G43" s="494"/>
      <c r="H43" s="494"/>
      <c r="I43" s="494"/>
      <c r="J43" s="494"/>
      <c r="K43" s="785"/>
      <c r="L43" s="1145"/>
      <c r="M43" s="1133"/>
      <c r="N43" s="1133"/>
      <c r="O43" s="1146"/>
      <c r="P43" s="3226" t="str">
        <f>A43</f>
        <v>估价对象XX用房的比较价值（楼面单价，元/平方米）</v>
      </c>
      <c r="Q43" s="3227"/>
      <c r="R43" s="3257" t="e">
        <f>ROUND(AVERAGE(R42:V42),0)</f>
        <v>#DIV/0!</v>
      </c>
      <c r="S43" s="3257"/>
      <c r="T43" s="3257"/>
      <c r="U43" s="3257"/>
      <c r="V43" s="3257"/>
      <c r="W43" s="3257"/>
      <c r="X43" s="759"/>
      <c r="Y43" s="759"/>
      <c r="Z43" s="759"/>
      <c r="AA43" s="759"/>
      <c r="AB43" s="759"/>
      <c r="AC43" s="759"/>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33"/>
      <c r="N46" s="1133"/>
      <c r="O46" s="1146"/>
    </row>
    <row r="47" spans="1:29" ht="13.5" customHeight="1">
      <c r="A47" s="1146"/>
      <c r="B47" s="1146"/>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ht="15" thickBot="1">
      <c r="A49" s="1147"/>
      <c r="B49" s="1148"/>
      <c r="C49" s="762"/>
      <c r="D49" s="760"/>
      <c r="E49" s="760"/>
      <c r="F49" s="760"/>
      <c r="G49" s="760"/>
      <c r="H49" s="760"/>
      <c r="I49" s="760"/>
      <c r="J49" s="760"/>
      <c r="K49" s="1150"/>
      <c r="L49" s="1151"/>
      <c r="M49" s="1147"/>
      <c r="N49" s="1147"/>
      <c r="O49" s="1147"/>
    </row>
    <row r="50" spans="1:17" ht="27">
      <c r="A50" s="684" t="s">
        <v>2746</v>
      </c>
      <c r="B50" s="685" t="s">
        <v>2747</v>
      </c>
      <c r="C50" s="2701" t="s">
        <v>2748</v>
      </c>
      <c r="D50" s="2702" t="s">
        <v>2749</v>
      </c>
      <c r="E50" s="686" t="s">
        <v>2750</v>
      </c>
      <c r="F50" s="687" t="s">
        <v>2751</v>
      </c>
      <c r="G50" s="3212" t="s">
        <v>2752</v>
      </c>
      <c r="H50" s="3258"/>
      <c r="I50" s="1816" t="s">
        <v>2789</v>
      </c>
      <c r="J50" s="1816">
        <f>项目基本情况!F35</f>
        <v>0</v>
      </c>
      <c r="K50" s="2704" t="s">
        <v>2754</v>
      </c>
      <c r="L50" s="1108"/>
      <c r="M50" s="1146"/>
      <c r="N50" s="1146"/>
      <c r="O50" s="1146"/>
    </row>
    <row r="51" spans="1:17" s="692" customFormat="1">
      <c r="A51" s="688" t="s">
        <v>2755</v>
      </c>
      <c r="B51" s="689" t="e">
        <f>C43</f>
        <v>#DIV/0!</v>
      </c>
      <c r="C51" s="690">
        <v>1</v>
      </c>
      <c r="D51" s="1165">
        <v>1</v>
      </c>
      <c r="E51" s="690">
        <f>'数据-汇总表'!E8+'数据-汇总表'!E9</f>
        <v>1246.4000000000001</v>
      </c>
      <c r="F51" s="691" t="e">
        <f t="shared" ref="F51:F60" si="15">ROUND(B51*E51/10000,0)</f>
        <v>#DIV/0!</v>
      </c>
      <c r="G51" s="3211"/>
      <c r="H51" s="3229"/>
      <c r="I51" s="945">
        <v>1</v>
      </c>
      <c r="J51" s="945">
        <v>1</v>
      </c>
      <c r="K51" s="1147"/>
      <c r="L51" s="944"/>
      <c r="M51" s="944"/>
      <c r="N51" s="944"/>
      <c r="O51" s="944"/>
    </row>
    <row r="52" spans="1:17" s="692" customFormat="1">
      <c r="A52" s="693" t="s">
        <v>2756</v>
      </c>
      <c r="B52" s="262" t="e">
        <f>ROUND($C$43*C52*D52,0)</f>
        <v>#DIV/0!</v>
      </c>
      <c r="C52" s="200">
        <f t="shared" ref="C52:C60" si="16">IF($C$50="北京市系数",I52,J52)</f>
        <v>0</v>
      </c>
      <c r="D52" s="1166">
        <v>0.25</v>
      </c>
      <c r="E52" s="694"/>
      <c r="F52" s="691" t="e">
        <f t="shared" si="15"/>
        <v>#DIV/0!</v>
      </c>
      <c r="G52" s="3259" t="s">
        <v>2757</v>
      </c>
      <c r="H52" s="1106">
        <f>项目基本情况!B37</f>
        <v>0</v>
      </c>
      <c r="I52" s="945">
        <f>SUMIF(修正!A45:A56,H52,修正!B45:B56)</f>
        <v>0</v>
      </c>
      <c r="J52" s="946"/>
      <c r="K52" s="1146"/>
      <c r="L52" s="944"/>
      <c r="M52" s="944"/>
      <c r="N52" s="944"/>
      <c r="O52" s="944"/>
    </row>
    <row r="53" spans="1:17" s="692" customFormat="1">
      <c r="A53" s="693" t="s">
        <v>2758</v>
      </c>
      <c r="B53" s="262" t="e">
        <f t="shared" ref="B53:B60" si="17">ROUND($C$43*C53*D53,0)</f>
        <v>#DIV/0!</v>
      </c>
      <c r="C53" s="200">
        <f t="shared" si="16"/>
        <v>0</v>
      </c>
      <c r="D53" s="1166">
        <v>0.25</v>
      </c>
      <c r="E53" s="694"/>
      <c r="F53" s="691" t="e">
        <f t="shared" si="15"/>
        <v>#DIV/0!</v>
      </c>
      <c r="G53" s="3259"/>
      <c r="H53" s="1106">
        <f>项目基本情况!B37</f>
        <v>0</v>
      </c>
      <c r="I53" s="945">
        <f>SUMIF(修正!A45:A56,H53,修正!C45:C56)</f>
        <v>0</v>
      </c>
      <c r="J53" s="946"/>
      <c r="K53" s="1147"/>
      <c r="L53" s="944"/>
      <c r="M53" s="944"/>
      <c r="N53" s="944"/>
      <c r="O53" s="944"/>
    </row>
    <row r="54" spans="1:17" s="692" customFormat="1">
      <c r="A54" s="693" t="s">
        <v>2759</v>
      </c>
      <c r="B54" s="262" t="e">
        <f t="shared" si="17"/>
        <v>#DIV/0!</v>
      </c>
      <c r="C54" s="200">
        <f t="shared" si="16"/>
        <v>0</v>
      </c>
      <c r="D54" s="1166">
        <v>0.25</v>
      </c>
      <c r="E54" s="694"/>
      <c r="F54" s="691" t="e">
        <f t="shared" si="15"/>
        <v>#DIV/0!</v>
      </c>
      <c r="G54" s="3259"/>
      <c r="H54" s="1106">
        <f>项目基本情况!B37</f>
        <v>0</v>
      </c>
      <c r="I54" s="945">
        <f>SUMIF(修正!A45:A56,H54,修正!D45:D56)</f>
        <v>0</v>
      </c>
      <c r="J54" s="946"/>
      <c r="K54" s="1146"/>
      <c r="L54" s="944"/>
      <c r="M54" s="944"/>
      <c r="N54" s="944"/>
      <c r="O54" s="944"/>
    </row>
    <row r="55" spans="1:17" s="692" customFormat="1">
      <c r="A55" s="693" t="s">
        <v>2760</v>
      </c>
      <c r="B55" s="262" t="e">
        <f t="shared" si="17"/>
        <v>#DIV/0!</v>
      </c>
      <c r="C55" s="200">
        <f t="shared" si="16"/>
        <v>0</v>
      </c>
      <c r="D55" s="1166">
        <v>0.25</v>
      </c>
      <c r="E55" s="694"/>
      <c r="F55" s="691" t="e">
        <f t="shared" si="15"/>
        <v>#DIV/0!</v>
      </c>
      <c r="G55" s="3259"/>
      <c r="H55" s="1106">
        <f>项目基本情况!B37</f>
        <v>0</v>
      </c>
      <c r="I55" s="945">
        <f>SUMIF(修正!A45:A56,H55,修正!E45:E56)</f>
        <v>0</v>
      </c>
      <c r="J55" s="946"/>
      <c r="K55" s="1147"/>
      <c r="L55" s="944"/>
      <c r="M55" s="944"/>
      <c r="N55" s="944"/>
      <c r="O55" s="944"/>
    </row>
    <row r="56" spans="1:17" s="692" customFormat="1">
      <c r="A56" s="693" t="s">
        <v>2761</v>
      </c>
      <c r="B56" s="262" t="e">
        <f t="shared" si="17"/>
        <v>#DIV/0!</v>
      </c>
      <c r="C56" s="200">
        <f t="shared" si="16"/>
        <v>0</v>
      </c>
      <c r="D56" s="1166">
        <v>0.25</v>
      </c>
      <c r="E56" s="261">
        <f>'数据-汇总表'!E11</f>
        <v>0</v>
      </c>
      <c r="F56" s="691" t="e">
        <f t="shared" si="15"/>
        <v>#DIV/0!</v>
      </c>
      <c r="G56" s="2705" t="s">
        <v>2762</v>
      </c>
      <c r="H56" s="1106">
        <f>项目基本情况!C37</f>
        <v>0</v>
      </c>
      <c r="I56" s="945">
        <f>SUMIF(修正!A45:A56,H56,修正!F45:F56)</f>
        <v>0</v>
      </c>
      <c r="J56" s="946"/>
      <c r="K56" s="1146"/>
      <c r="L56" s="944"/>
      <c r="M56" s="944"/>
      <c r="N56" s="944"/>
      <c r="O56" s="944"/>
    </row>
    <row r="57" spans="1:17" s="692" customFormat="1">
      <c r="A57" s="693" t="s">
        <v>2763</v>
      </c>
      <c r="B57" s="262" t="e">
        <f t="shared" si="17"/>
        <v>#DIV/0!</v>
      </c>
      <c r="C57" s="200">
        <f t="shared" si="16"/>
        <v>0</v>
      </c>
      <c r="D57" s="1166">
        <v>0.25</v>
      </c>
      <c r="E57" s="261">
        <f>'数据-汇总表'!E12</f>
        <v>0</v>
      </c>
      <c r="F57" s="691" t="e">
        <f t="shared" si="15"/>
        <v>#DIV/0!</v>
      </c>
      <c r="G57" s="1111" t="s">
        <v>2764</v>
      </c>
      <c r="H57" s="1106">
        <f>IF(G57="商业",项目基本情况!B37,IF(G57="办公",项目基本情况!C37,IF(G57="住宅",项目基本情况!D37,项目基本情况!E37)))</f>
        <v>0</v>
      </c>
      <c r="I57" s="945">
        <f>SUMIF(修正!A45:A56,H57,修正!G45:G56)</f>
        <v>0</v>
      </c>
      <c r="J57" s="946"/>
      <c r="K57" s="1147"/>
      <c r="L57" s="944"/>
      <c r="M57" s="944"/>
      <c r="N57" s="944"/>
      <c r="O57" s="944"/>
    </row>
    <row r="58" spans="1:17" s="692" customFormat="1">
      <c r="A58" s="693" t="s">
        <v>2765</v>
      </c>
      <c r="B58" s="262" t="e">
        <f t="shared" si="17"/>
        <v>#DIV/0!</v>
      </c>
      <c r="C58" s="200">
        <f t="shared" si="16"/>
        <v>0</v>
      </c>
      <c r="D58" s="1166">
        <v>0.25</v>
      </c>
      <c r="E58" s="261">
        <f>'数据-汇总表'!E13</f>
        <v>0</v>
      </c>
      <c r="F58" s="691" t="e">
        <f t="shared" si="15"/>
        <v>#DIV/0!</v>
      </c>
      <c r="G58" s="1111" t="s">
        <v>2766</v>
      </c>
      <c r="H58" s="1106">
        <f>IF(G58="商业",项目基本情况!B37,IF(G58="办公",项目基本情况!C37,IF(G58="住宅",项目基本情况!D37,项目基本情况!E37)))</f>
        <v>0</v>
      </c>
      <c r="I58" s="945">
        <f>SUMIF(修正!A45:A56,H58,修正!H45:H56)</f>
        <v>0</v>
      </c>
      <c r="J58" s="946"/>
      <c r="K58" s="1146"/>
      <c r="L58" s="944"/>
      <c r="M58" s="944"/>
      <c r="N58" s="944"/>
      <c r="O58" s="944"/>
    </row>
    <row r="59" spans="1:17" s="692" customFormat="1">
      <c r="A59" s="693" t="s">
        <v>2767</v>
      </c>
      <c r="B59" s="262" t="e">
        <f t="shared" si="17"/>
        <v>#DIV/0!</v>
      </c>
      <c r="C59" s="200">
        <f t="shared" si="16"/>
        <v>0</v>
      </c>
      <c r="D59" s="1166">
        <v>0.25</v>
      </c>
      <c r="E59" s="261">
        <f>'数据-汇总表'!E14</f>
        <v>0</v>
      </c>
      <c r="F59" s="691" t="e">
        <f t="shared" si="15"/>
        <v>#DIV/0!</v>
      </c>
      <c r="G59" s="2705" t="s">
        <v>2757</v>
      </c>
      <c r="H59" s="1106">
        <f>项目基本情况!B37</f>
        <v>0</v>
      </c>
      <c r="I59" s="945">
        <f>SUMIF(修正!A45:A56,H59,修正!H45:H56)</f>
        <v>0</v>
      </c>
      <c r="J59" s="946"/>
      <c r="K59" s="1147"/>
      <c r="L59" s="944"/>
      <c r="M59" s="944"/>
      <c r="N59" s="944"/>
      <c r="O59" s="944"/>
    </row>
    <row r="60" spans="1:17" s="692" customFormat="1" ht="15" thickBot="1">
      <c r="A60" s="693" t="s">
        <v>2768</v>
      </c>
      <c r="B60" s="262" t="e">
        <f t="shared" si="17"/>
        <v>#DIV/0!</v>
      </c>
      <c r="C60" s="200">
        <f t="shared" si="16"/>
        <v>0</v>
      </c>
      <c r="D60" s="1166">
        <v>0.25</v>
      </c>
      <c r="E60" s="261">
        <f>'数据-汇总表'!E15</f>
        <v>0</v>
      </c>
      <c r="F60" s="691" t="e">
        <f t="shared" si="15"/>
        <v>#DIV/0!</v>
      </c>
      <c r="G60" s="2706" t="s">
        <v>2762</v>
      </c>
      <c r="H60" s="1116">
        <f>项目基本情况!C37</f>
        <v>0</v>
      </c>
      <c r="I60" s="945">
        <f>SUMIF(修正!A45:A56,H60,修正!H45:H56)</f>
        <v>0</v>
      </c>
      <c r="J60" s="946"/>
      <c r="K60" s="1146"/>
      <c r="L60" s="944"/>
      <c r="M60" s="944"/>
      <c r="N60" s="944"/>
      <c r="O60" s="944"/>
    </row>
    <row r="61" spans="1:17" s="692" customFormat="1" ht="15" thickBot="1">
      <c r="A61" s="695" t="s">
        <v>2769</v>
      </c>
      <c r="B61" s="696" t="s">
        <v>28</v>
      </c>
      <c r="C61" s="696" t="s">
        <v>29</v>
      </c>
      <c r="D61" s="696" t="s">
        <v>1029</v>
      </c>
      <c r="E61" s="696">
        <f>IF(B41="楼面地价",SUM(E51:E60),'数据-汇总表'!D3)</f>
        <v>0</v>
      </c>
      <c r="F61" s="697" t="e">
        <f>IF(B41="楼面地价",SUM(F51:F60),ROUND(C43*E61/10000,0))</f>
        <v>#DIV/0!</v>
      </c>
      <c r="G61" s="1160"/>
      <c r="H61" s="1160"/>
      <c r="I61" s="1160"/>
      <c r="J61" s="1160"/>
      <c r="K61" s="1107"/>
      <c r="L61" s="944"/>
      <c r="M61" s="944"/>
      <c r="N61" s="944"/>
      <c r="O61" s="944"/>
    </row>
    <row r="62" spans="1:17">
      <c r="A62" s="1146"/>
      <c r="B62" s="1148"/>
      <c r="C62" s="1152"/>
      <c r="D62" s="1146"/>
      <c r="E62" s="1146"/>
      <c r="F62" s="1146"/>
      <c r="G62" s="1146"/>
      <c r="H62" s="1146"/>
      <c r="I62" s="1146"/>
      <c r="J62" s="1146"/>
      <c r="K62" s="1107"/>
      <c r="L62" s="1108"/>
      <c r="M62" s="1146"/>
      <c r="N62" s="1146"/>
      <c r="O62" s="1146"/>
    </row>
    <row r="63" spans="1:17">
      <c r="A63" s="1146"/>
      <c r="B63" s="1148"/>
      <c r="C63" s="761" t="str">
        <f>YEAR(C7)&amp;"-"&amp;MONTH(C7)&amp;"-1"</f>
        <v>2018-3-1</v>
      </c>
      <c r="D63" s="761">
        <f>EDATE(C63,-3)</f>
        <v>43070</v>
      </c>
      <c r="E63" s="761">
        <f>EDATE(D63,-3)</f>
        <v>42979</v>
      </c>
      <c r="F63" s="761">
        <f t="shared" ref="F63:O63" si="18">EDATE(E63,-3)</f>
        <v>42887</v>
      </c>
      <c r="G63" s="761">
        <f t="shared" si="18"/>
        <v>42795</v>
      </c>
      <c r="H63" s="761">
        <f t="shared" si="18"/>
        <v>42705</v>
      </c>
      <c r="I63" s="761">
        <f t="shared" si="18"/>
        <v>42614</v>
      </c>
      <c r="J63" s="761">
        <f t="shared" si="18"/>
        <v>42522</v>
      </c>
      <c r="K63" s="761">
        <f t="shared" si="18"/>
        <v>42430</v>
      </c>
      <c r="L63" s="761">
        <f t="shared" si="18"/>
        <v>42339</v>
      </c>
      <c r="M63" s="761">
        <f t="shared" si="18"/>
        <v>42248</v>
      </c>
      <c r="N63" s="761">
        <f t="shared" si="18"/>
        <v>42156</v>
      </c>
      <c r="O63" s="761">
        <f t="shared" si="18"/>
        <v>42064</v>
      </c>
    </row>
    <row r="64" spans="1:17" ht="21.75" thickBot="1">
      <c r="A64" s="763" t="s">
        <v>2662</v>
      </c>
      <c r="B64" s="759"/>
      <c r="C64" s="764"/>
      <c r="D64" s="764"/>
      <c r="E64" s="764"/>
      <c r="F64" s="765"/>
      <c r="G64" s="765"/>
      <c r="H64" s="764"/>
      <c r="I64" s="764"/>
      <c r="J64" s="764"/>
      <c r="K64" s="766"/>
      <c r="L64" s="767"/>
      <c r="M64" s="764"/>
      <c r="N64" s="764"/>
      <c r="O64" s="1161"/>
      <c r="P64" s="503"/>
      <c r="Q64" s="504"/>
    </row>
    <row r="65" spans="1:17" s="508" customFormat="1" ht="15">
      <c r="A65" s="2707" t="s">
        <v>2770</v>
      </c>
      <c r="B65" s="1361"/>
      <c r="C65" s="1574" t="str">
        <f>YEAR(C63)&amp;"-"&amp;ROUNDUP(MONTH(C63)/3,0)</f>
        <v>2018-1</v>
      </c>
      <c r="D65" s="1574" t="str">
        <f t="shared" ref="D65:O65" si="19">YEAR(D63)&amp;"-"&amp;ROUNDUP(MONTH(D63)/3,0)</f>
        <v>2017-4</v>
      </c>
      <c r="E65" s="1574" t="str">
        <f t="shared" si="19"/>
        <v>2017-3</v>
      </c>
      <c r="F65" s="1574" t="str">
        <f t="shared" si="19"/>
        <v>2017-2</v>
      </c>
      <c r="G65" s="1574" t="str">
        <f t="shared" si="19"/>
        <v>2017-1</v>
      </c>
      <c r="H65" s="1574" t="str">
        <f t="shared" si="19"/>
        <v>2016-4</v>
      </c>
      <c r="I65" s="1574" t="str">
        <f t="shared" si="19"/>
        <v>2016-3</v>
      </c>
      <c r="J65" s="1574" t="str">
        <f t="shared" si="19"/>
        <v>2016-2</v>
      </c>
      <c r="K65" s="1574" t="str">
        <f t="shared" si="19"/>
        <v>2016-1</v>
      </c>
      <c r="L65" s="1574" t="str">
        <f t="shared" si="19"/>
        <v>2015-4</v>
      </c>
      <c r="M65" s="1574" t="str">
        <f t="shared" si="19"/>
        <v>2015-3</v>
      </c>
      <c r="N65" s="1574" t="str">
        <f t="shared" si="19"/>
        <v>2015-2</v>
      </c>
      <c r="O65" s="1574" t="str">
        <f t="shared" si="19"/>
        <v>2015-1</v>
      </c>
      <c r="P65" s="507"/>
    </row>
    <row r="66" spans="1:17" s="117" customFormat="1" ht="30.75" customHeight="1">
      <c r="A66" s="2712" t="s">
        <v>2790</v>
      </c>
      <c r="B66" s="332" t="str">
        <f>"北京市平均增长率"&amp;TEXT(基准地价修正!P24,"0.00%")</f>
        <v>北京市平均增长率1.31%</v>
      </c>
      <c r="C66" s="603">
        <v>100</v>
      </c>
      <c r="D66" s="595"/>
      <c r="E66" s="595"/>
      <c r="F66" s="595"/>
      <c r="G66" s="595"/>
      <c r="H66" s="595"/>
      <c r="I66" s="595"/>
      <c r="J66" s="595"/>
      <c r="K66" s="595"/>
      <c r="L66" s="595"/>
      <c r="M66" s="1569"/>
      <c r="N66" s="1569"/>
      <c r="O66" s="1571"/>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3"/>
      <c r="O68" s="1153"/>
      <c r="P68" s="526"/>
      <c r="Q68" s="504"/>
    </row>
    <row r="69" spans="1:17" s="117" customFormat="1" ht="15.75" thickBot="1">
      <c r="A69" s="521"/>
      <c r="B69" s="510"/>
      <c r="C69" s="639">
        <v>100</v>
      </c>
      <c r="D69" s="512"/>
      <c r="E69" s="512"/>
      <c r="F69" s="512"/>
      <c r="G69" s="512"/>
      <c r="H69" s="512"/>
      <c r="I69" s="512"/>
      <c r="J69" s="512"/>
      <c r="K69" s="512"/>
      <c r="L69" s="512"/>
      <c r="M69" s="514"/>
      <c r="N69" s="1153"/>
      <c r="O69" s="1153"/>
      <c r="P69" s="504"/>
      <c r="Q69" s="504"/>
    </row>
    <row r="70" spans="1:17">
      <c r="A70" s="527" t="s">
        <v>2576</v>
      </c>
      <c r="B70" s="528" t="s">
        <v>2542</v>
      </c>
      <c r="C70" s="530"/>
      <c r="D70" s="530"/>
      <c r="E70" s="530"/>
      <c r="F70" s="530"/>
      <c r="G70" s="530"/>
      <c r="H70" s="530"/>
      <c r="I70" s="530"/>
      <c r="J70" s="530"/>
      <c r="K70" s="531"/>
      <c r="L70" s="532"/>
      <c r="M70" s="533"/>
      <c r="N70" s="1154"/>
      <c r="O70" s="1154"/>
      <c r="P70" s="45"/>
      <c r="Q70" s="504"/>
    </row>
    <row r="71" spans="1:17" ht="15.75" thickBot="1">
      <c r="A71" s="534"/>
      <c r="B71" s="535"/>
      <c r="C71" s="536"/>
      <c r="D71" s="536"/>
      <c r="E71" s="536"/>
      <c r="F71" s="536"/>
      <c r="G71" s="536"/>
      <c r="H71" s="536"/>
      <c r="I71" s="536"/>
      <c r="J71" s="536"/>
      <c r="K71" s="536"/>
      <c r="L71" s="536"/>
      <c r="M71" s="537"/>
      <c r="N71" s="1155"/>
      <c r="O71" s="1155"/>
      <c r="P71" s="45"/>
      <c r="Q71" s="504"/>
    </row>
    <row r="72" spans="1:17" ht="27.75" thickTop="1">
      <c r="A72" s="534"/>
      <c r="B72" s="538" t="s">
        <v>2545</v>
      </c>
      <c r="C72" s="539"/>
      <c r="D72" s="539"/>
      <c r="E72" s="539"/>
      <c r="F72" s="539"/>
      <c r="G72" s="539"/>
      <c r="H72" s="539"/>
      <c r="I72" s="539"/>
      <c r="J72" s="539"/>
      <c r="K72" s="540"/>
      <c r="L72" s="541"/>
      <c r="M72" s="542"/>
      <c r="N72" s="1154"/>
      <c r="O72" s="1154"/>
      <c r="P72" s="45"/>
      <c r="Q72" s="504"/>
    </row>
    <row r="73" spans="1:17" ht="15.75" thickBot="1">
      <c r="A73" s="534"/>
      <c r="B73" s="543"/>
      <c r="C73" s="544"/>
      <c r="D73" s="544"/>
      <c r="E73" s="544"/>
      <c r="F73" s="544"/>
      <c r="G73" s="544"/>
      <c r="H73" s="544"/>
      <c r="I73" s="544"/>
      <c r="J73" s="544"/>
      <c r="K73" s="544"/>
      <c r="L73" s="544"/>
      <c r="M73" s="545"/>
      <c r="N73" s="1155"/>
      <c r="O73" s="1155"/>
      <c r="P73" s="45"/>
      <c r="Q73" s="504"/>
    </row>
    <row r="74" spans="1:17" ht="15.75" thickTop="1">
      <c r="A74" s="534"/>
      <c r="B74" s="546" t="s">
        <v>2546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5"/>
      <c r="O74" s="1155"/>
      <c r="P74" s="45"/>
      <c r="Q74" s="504"/>
    </row>
    <row r="75" spans="1:17" ht="15">
      <c r="A75" s="534"/>
      <c r="B75" s="548"/>
      <c r="C75" s="549"/>
      <c r="D75" s="549"/>
      <c r="E75" s="549"/>
      <c r="F75" s="549"/>
      <c r="G75" s="549"/>
      <c r="H75" s="549"/>
      <c r="I75" s="549"/>
      <c r="J75" s="549"/>
      <c r="K75" s="550"/>
      <c r="L75" s="551"/>
      <c r="M75" s="552"/>
      <c r="N75" s="1154"/>
      <c r="O75" s="1154"/>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5"/>
      <c r="O76" s="1155"/>
      <c r="P76" s="45"/>
      <c r="Q76" s="504"/>
    </row>
    <row r="77" spans="1:17" s="471" customFormat="1" ht="15.75" thickTop="1">
      <c r="A77" s="553"/>
      <c r="B77" s="538">
        <f>B12</f>
        <v>111</v>
      </c>
      <c r="C77" s="554"/>
      <c r="D77" s="554"/>
      <c r="E77" s="554"/>
      <c r="F77" s="554"/>
      <c r="G77" s="554"/>
      <c r="H77" s="555"/>
      <c r="I77" s="555"/>
      <c r="J77" s="555"/>
      <c r="K77" s="555"/>
      <c r="L77" s="556"/>
      <c r="M77" s="557"/>
      <c r="N77" s="1156"/>
      <c r="O77" s="1156"/>
      <c r="P77" s="558"/>
      <c r="Q77" s="559"/>
    </row>
    <row r="78" spans="1:17" s="471" customFormat="1" ht="15.75" thickBot="1">
      <c r="A78" s="553"/>
      <c r="B78" s="543"/>
      <c r="C78" s="560"/>
      <c r="D78" s="536"/>
      <c r="E78" s="536"/>
      <c r="F78" s="536"/>
      <c r="G78" s="536"/>
      <c r="H78" s="536"/>
      <c r="I78" s="536"/>
      <c r="J78" s="536"/>
      <c r="K78" s="536"/>
      <c r="L78" s="536"/>
      <c r="M78" s="537"/>
      <c r="N78" s="1155"/>
      <c r="O78" s="1155"/>
      <c r="P78" s="558"/>
      <c r="Q78" s="559"/>
    </row>
    <row r="79" spans="1:17" s="471" customFormat="1" ht="15.75" thickTop="1">
      <c r="A79" s="553"/>
      <c r="B79" s="538">
        <f>B13</f>
        <v>111</v>
      </c>
      <c r="C79" s="554"/>
      <c r="D79" s="554"/>
      <c r="E79" s="554"/>
      <c r="F79" s="554"/>
      <c r="G79" s="554"/>
      <c r="H79" s="555"/>
      <c r="I79" s="555"/>
      <c r="J79" s="555"/>
      <c r="K79" s="555"/>
      <c r="L79" s="556"/>
      <c r="M79" s="557"/>
      <c r="N79" s="1156"/>
      <c r="O79" s="1156"/>
      <c r="P79" s="470"/>
      <c r="Q79" s="561"/>
    </row>
    <row r="80" spans="1:17" s="471" customFormat="1" ht="15.75" thickBot="1">
      <c r="A80" s="553"/>
      <c r="B80" s="543"/>
      <c r="C80" s="560"/>
      <c r="D80" s="560"/>
      <c r="E80" s="560"/>
      <c r="F80" s="560"/>
      <c r="G80" s="560"/>
      <c r="H80" s="562"/>
      <c r="I80" s="562"/>
      <c r="J80" s="562"/>
      <c r="K80" s="562"/>
      <c r="L80" s="562"/>
      <c r="M80" s="563"/>
      <c r="N80" s="1156"/>
      <c r="O80" s="1156"/>
      <c r="P80" s="558"/>
      <c r="Q80" s="559"/>
    </row>
    <row r="81" spans="1:17" s="471" customFormat="1" ht="15.75" thickTop="1">
      <c r="A81" s="553"/>
      <c r="B81" s="546">
        <f>B14</f>
        <v>111</v>
      </c>
      <c r="C81" s="523"/>
      <c r="D81" s="523"/>
      <c r="E81" s="523"/>
      <c r="F81" s="523"/>
      <c r="G81" s="523"/>
      <c r="H81" s="564"/>
      <c r="I81" s="564"/>
      <c r="J81" s="564"/>
      <c r="K81" s="564"/>
      <c r="L81" s="565"/>
      <c r="M81" s="566"/>
      <c r="N81" s="1156"/>
      <c r="O81" s="1156"/>
      <c r="P81" s="567"/>
      <c r="Q81" s="559"/>
    </row>
    <row r="82" spans="1:17" s="471" customFormat="1" ht="15.75" thickBot="1">
      <c r="A82" s="568"/>
      <c r="B82" s="569"/>
      <c r="C82" s="570"/>
      <c r="D82" s="570"/>
      <c r="E82" s="570"/>
      <c r="F82" s="570"/>
      <c r="G82" s="570"/>
      <c r="H82" s="571"/>
      <c r="I82" s="571"/>
      <c r="J82" s="571"/>
      <c r="K82" s="571"/>
      <c r="L82" s="571"/>
      <c r="M82" s="572"/>
      <c r="N82" s="1156"/>
      <c r="O82" s="1156"/>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4"/>
      <c r="O83" s="1154"/>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5"/>
      <c r="O84" s="1155"/>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4"/>
      <c r="O85" s="1154"/>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5"/>
      <c r="O86" s="1155"/>
      <c r="P86" s="45"/>
      <c r="Q86" s="504"/>
    </row>
    <row r="87" spans="1:17" s="117" customFormat="1" ht="15.75" thickTop="1">
      <c r="A87" s="579"/>
      <c r="B87" s="538" t="s">
        <v>2773</v>
      </c>
      <c r="C87" s="573" t="s">
        <v>2585</v>
      </c>
      <c r="D87" s="573" t="s">
        <v>2586</v>
      </c>
      <c r="E87" s="573" t="s">
        <v>2587</v>
      </c>
      <c r="F87" s="573" t="s">
        <v>2588</v>
      </c>
      <c r="G87" s="573" t="s">
        <v>2589</v>
      </c>
      <c r="H87" s="578"/>
      <c r="I87" s="578"/>
      <c r="J87" s="578"/>
      <c r="K87" s="578"/>
      <c r="L87" s="698"/>
      <c r="M87" s="622"/>
      <c r="N87" s="1153"/>
      <c r="O87" s="1153"/>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5"/>
      <c r="O88" s="1155"/>
      <c r="P88" s="45"/>
      <c r="Q88" s="504"/>
    </row>
    <row r="89" spans="1:17" s="117" customFormat="1" ht="27.75" thickTop="1">
      <c r="A89" s="579"/>
      <c r="B89" s="538" t="s">
        <v>2774</v>
      </c>
      <c r="C89" s="573" t="s">
        <v>2585</v>
      </c>
      <c r="D89" s="573" t="s">
        <v>2586</v>
      </c>
      <c r="E89" s="573" t="s">
        <v>2587</v>
      </c>
      <c r="F89" s="573" t="s">
        <v>2588</v>
      </c>
      <c r="G89" s="573" t="s">
        <v>2589</v>
      </c>
      <c r="H89" s="578"/>
      <c r="I89" s="578"/>
      <c r="J89" s="578"/>
      <c r="K89" s="578"/>
      <c r="L89" s="578"/>
      <c r="M89" s="622"/>
      <c r="N89" s="1153"/>
      <c r="O89" s="1153"/>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5"/>
      <c r="O90" s="1155"/>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6"/>
      <c r="O91" s="1156"/>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6"/>
      <c r="O92" s="1156"/>
      <c r="P92" s="558"/>
      <c r="Q92" s="559"/>
    </row>
    <row r="93" spans="1:17" s="471" customFormat="1" ht="15.75" thickTop="1">
      <c r="A93" s="553"/>
      <c r="B93" s="546" t="s">
        <v>2791</v>
      </c>
      <c r="C93" s="660" t="s">
        <v>2663</v>
      </c>
      <c r="D93" s="660" t="s">
        <v>2664</v>
      </c>
      <c r="E93" s="660" t="s">
        <v>2665</v>
      </c>
      <c r="F93" s="660" t="s">
        <v>2666</v>
      </c>
      <c r="G93" s="660" t="s">
        <v>2667</v>
      </c>
      <c r="H93" s="600"/>
      <c r="I93" s="600"/>
      <c r="J93" s="600"/>
      <c r="K93" s="600"/>
      <c r="L93" s="600"/>
      <c r="M93" s="602"/>
      <c r="N93" s="1156"/>
      <c r="O93" s="1156"/>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7"/>
      <c r="N94" s="1156"/>
      <c r="O94" s="1156"/>
      <c r="P94" s="558"/>
      <c r="Q94" s="559"/>
    </row>
    <row r="95" spans="1:17" ht="15.75" thickTop="1">
      <c r="A95" s="534"/>
      <c r="B95" s="538" t="str">
        <f>B27</f>
        <v>临街状况</v>
      </c>
      <c r="C95" s="539" t="s">
        <v>2775</v>
      </c>
      <c r="D95" s="539" t="s">
        <v>2776</v>
      </c>
      <c r="E95" s="539" t="s">
        <v>2777</v>
      </c>
      <c r="F95" s="539" t="s">
        <v>2778</v>
      </c>
      <c r="G95" s="539"/>
      <c r="H95" s="539"/>
      <c r="I95" s="539"/>
      <c r="J95" s="539"/>
      <c r="K95" s="540"/>
      <c r="L95" s="541"/>
      <c r="M95" s="542"/>
      <c r="N95" s="1154"/>
      <c r="O95" s="1154"/>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5"/>
      <c r="O96" s="1155"/>
      <c r="P96" s="45"/>
      <c r="Q96" s="504"/>
    </row>
    <row r="97" spans="1:17" ht="27.75" thickTop="1">
      <c r="A97" s="534"/>
      <c r="B97" s="538" t="s">
        <v>2679</v>
      </c>
      <c r="C97" s="554"/>
      <c r="D97" s="554"/>
      <c r="E97" s="554"/>
      <c r="F97" s="554"/>
      <c r="G97" s="554"/>
      <c r="H97" s="583"/>
      <c r="I97" s="583"/>
      <c r="J97" s="583"/>
      <c r="K97" s="584"/>
      <c r="L97" s="585"/>
      <c r="M97" s="586"/>
      <c r="N97" s="1154"/>
      <c r="O97" s="1154"/>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5"/>
      <c r="O98" s="1155"/>
      <c r="P98" s="45"/>
      <c r="Q98" s="504"/>
    </row>
    <row r="99" spans="1:17" ht="15.75" thickTop="1">
      <c r="A99" s="534"/>
      <c r="B99" s="538" t="s">
        <v>2738</v>
      </c>
      <c r="C99" s="583"/>
      <c r="D99" s="583"/>
      <c r="E99" s="583"/>
      <c r="F99" s="583"/>
      <c r="G99" s="583"/>
      <c r="H99" s="583"/>
      <c r="I99" s="583"/>
      <c r="J99" s="583"/>
      <c r="K99" s="584"/>
      <c r="L99" s="585"/>
      <c r="M99" s="586"/>
      <c r="N99" s="1154"/>
      <c r="O99" s="1154"/>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5"/>
      <c r="O100" s="1155"/>
      <c r="P100" s="45"/>
      <c r="Q100" s="504"/>
    </row>
    <row r="101" spans="1:17" ht="15.75" thickTop="1">
      <c r="A101" s="534"/>
      <c r="B101" s="546">
        <f>B31</f>
        <v>111</v>
      </c>
      <c r="C101" s="554"/>
      <c r="D101" s="554"/>
      <c r="E101" s="554"/>
      <c r="F101" s="554"/>
      <c r="G101" s="587"/>
      <c r="H101" s="587"/>
      <c r="I101" s="587"/>
      <c r="J101" s="587"/>
      <c r="K101" s="588"/>
      <c r="L101" s="589"/>
      <c r="M101" s="590"/>
      <c r="N101" s="1154"/>
      <c r="O101" s="1154"/>
      <c r="P101" s="45"/>
      <c r="Q101" s="504"/>
    </row>
    <row r="102" spans="1:17" ht="15.75" thickBot="1">
      <c r="A102" s="534"/>
      <c r="B102" s="569"/>
      <c r="C102" s="560"/>
      <c r="D102" s="536"/>
      <c r="E102" s="536"/>
      <c r="F102" s="536"/>
      <c r="G102" s="591"/>
      <c r="H102" s="591"/>
      <c r="I102" s="591"/>
      <c r="J102" s="591"/>
      <c r="K102" s="591"/>
      <c r="L102" s="591"/>
      <c r="M102" s="592"/>
      <c r="N102" s="1155"/>
      <c r="O102" s="1155"/>
      <c r="P102" s="45"/>
      <c r="Q102" s="504"/>
    </row>
    <row r="103" spans="1:17" ht="15" thickTop="1">
      <c r="A103" s="675"/>
      <c r="B103" s="538">
        <f>B32</f>
        <v>111</v>
      </c>
      <c r="C103" s="554"/>
      <c r="D103" s="554"/>
      <c r="E103" s="554"/>
      <c r="F103" s="554"/>
      <c r="G103" s="583"/>
      <c r="H103" s="583"/>
      <c r="I103" s="583"/>
      <c r="J103" s="583"/>
      <c r="K103" s="584"/>
      <c r="L103" s="585"/>
      <c r="M103" s="586"/>
      <c r="N103" s="1154"/>
      <c r="O103" s="1154"/>
      <c r="P103" s="45"/>
      <c r="Q103" s="504"/>
    </row>
    <row r="104" spans="1:17" ht="15.75" thickBot="1">
      <c r="A104" s="534"/>
      <c r="B104" s="543"/>
      <c r="C104" s="560"/>
      <c r="D104" s="560"/>
      <c r="E104" s="560"/>
      <c r="F104" s="560"/>
      <c r="G104" s="536"/>
      <c r="H104" s="536"/>
      <c r="I104" s="536"/>
      <c r="J104" s="536"/>
      <c r="K104" s="536"/>
      <c r="L104" s="536"/>
      <c r="M104" s="537"/>
      <c r="N104" s="1155"/>
      <c r="O104" s="1155"/>
      <c r="P104" s="45"/>
      <c r="Q104" s="504"/>
    </row>
    <row r="105" spans="1:17" s="471" customFormat="1" ht="15" thickTop="1">
      <c r="A105" s="593"/>
      <c r="B105" s="594">
        <f>B33</f>
        <v>111</v>
      </c>
      <c r="C105" s="523"/>
      <c r="D105" s="523"/>
      <c r="E105" s="523"/>
      <c r="F105" s="523"/>
      <c r="G105" s="595"/>
      <c r="H105" s="595"/>
      <c r="I105" s="595"/>
      <c r="J105" s="596"/>
      <c r="K105" s="596"/>
      <c r="L105" s="597"/>
      <c r="M105" s="598"/>
      <c r="N105" s="1156"/>
      <c r="O105" s="1156"/>
      <c r="P105" s="558"/>
      <c r="Q105" s="559"/>
    </row>
    <row r="106" spans="1:17" s="471" customFormat="1" ht="15.75" thickBot="1">
      <c r="A106" s="553"/>
      <c r="B106" s="546"/>
      <c r="C106" s="570"/>
      <c r="D106" s="570"/>
      <c r="E106" s="570"/>
      <c r="F106" s="570"/>
      <c r="G106" s="677"/>
      <c r="H106" s="677"/>
      <c r="I106" s="677"/>
      <c r="J106" s="677"/>
      <c r="K106" s="677"/>
      <c r="L106" s="677"/>
      <c r="M106" s="699"/>
      <c r="N106" s="1155"/>
      <c r="O106" s="1155"/>
      <c r="P106" s="558"/>
      <c r="Q106" s="559"/>
    </row>
    <row r="107" spans="1:17">
      <c r="A107" s="527" t="s">
        <v>2551</v>
      </c>
      <c r="B107" s="528" t="s">
        <v>2779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4"/>
      <c r="O107" s="1154"/>
      <c r="P107" s="45"/>
      <c r="Q107" s="504"/>
    </row>
    <row r="108" spans="1:17" ht="15">
      <c r="A108" s="534"/>
      <c r="B108" s="546"/>
      <c r="C108" s="595"/>
      <c r="D108" s="595"/>
      <c r="E108" s="595"/>
      <c r="F108" s="595"/>
      <c r="G108" s="595"/>
      <c r="H108" s="595"/>
      <c r="I108" s="595"/>
      <c r="J108" s="596"/>
      <c r="K108" s="596"/>
      <c r="L108" s="597"/>
      <c r="M108" s="598"/>
      <c r="N108" s="1154"/>
      <c r="O108" s="1154"/>
      <c r="P108" s="45"/>
      <c r="Q108" s="504"/>
    </row>
    <row r="109" spans="1:17" ht="15.75" thickBot="1">
      <c r="A109" s="534"/>
      <c r="B109" s="543"/>
      <c r="C109" s="570"/>
      <c r="D109" s="591"/>
      <c r="E109" s="591"/>
      <c r="F109" s="591"/>
      <c r="G109" s="591"/>
      <c r="H109" s="591"/>
      <c r="I109" s="591"/>
      <c r="J109" s="591"/>
      <c r="K109" s="591"/>
      <c r="L109" s="591"/>
      <c r="M109" s="592"/>
      <c r="N109" s="1155"/>
      <c r="O109" s="1155"/>
      <c r="P109" s="45"/>
      <c r="Q109" s="504"/>
    </row>
    <row r="110" spans="1:17" ht="15" thickTop="1">
      <c r="A110" s="599"/>
      <c r="B110" s="538" t="s">
        <v>2780</v>
      </c>
      <c r="C110" s="583"/>
      <c r="D110" s="583"/>
      <c r="E110" s="583"/>
      <c r="F110" s="583"/>
      <c r="G110" s="583"/>
      <c r="H110" s="583"/>
      <c r="I110" s="583"/>
      <c r="J110" s="583"/>
      <c r="K110" s="584"/>
      <c r="L110" s="585"/>
      <c r="M110" s="586"/>
      <c r="N110" s="1154"/>
      <c r="O110" s="1154"/>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5"/>
      <c r="O111" s="1155"/>
      <c r="P111" s="45"/>
      <c r="Q111" s="504"/>
    </row>
    <row r="112" spans="1:17" s="471" customFormat="1" ht="15" thickTop="1">
      <c r="A112" s="593"/>
      <c r="B112" s="538" t="s">
        <v>2782</v>
      </c>
      <c r="C112" s="554"/>
      <c r="D112" s="554"/>
      <c r="E112" s="554"/>
      <c r="F112" s="554"/>
      <c r="G112" s="554"/>
      <c r="H112" s="583"/>
      <c r="I112" s="583"/>
      <c r="J112" s="583"/>
      <c r="K112" s="584"/>
      <c r="L112" s="585"/>
      <c r="M112" s="586"/>
      <c r="N112" s="1156"/>
      <c r="O112" s="1156"/>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6"/>
      <c r="O113" s="1156"/>
      <c r="P113" s="558"/>
      <c r="Q113" s="559"/>
    </row>
    <row r="114" spans="1:17" ht="15" thickTop="1">
      <c r="A114" s="599"/>
      <c r="B114" s="538" t="s">
        <v>2783</v>
      </c>
      <c r="C114" s="554"/>
      <c r="D114" s="554"/>
      <c r="E114" s="583"/>
      <c r="F114" s="583"/>
      <c r="G114" s="583"/>
      <c r="H114" s="583"/>
      <c r="I114" s="583"/>
      <c r="J114" s="583"/>
      <c r="K114" s="584"/>
      <c r="L114" s="585"/>
      <c r="M114" s="586"/>
      <c r="N114" s="1154"/>
      <c r="O114" s="1154"/>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45"/>
      <c r="Q115" s="504"/>
    </row>
    <row r="116" spans="1:17" ht="15" thickTop="1">
      <c r="A116" s="599"/>
      <c r="B116" s="538">
        <f>B38</f>
        <v>111</v>
      </c>
      <c r="C116" s="554"/>
      <c r="D116" s="554"/>
      <c r="E116" s="554"/>
      <c r="F116" s="554"/>
      <c r="G116" s="554"/>
      <c r="H116" s="583"/>
      <c r="I116" s="583"/>
      <c r="J116" s="583"/>
      <c r="K116" s="584"/>
      <c r="L116" s="585"/>
      <c r="M116" s="586"/>
      <c r="N116" s="1154"/>
      <c r="O116" s="1154"/>
      <c r="P116" s="45"/>
      <c r="Q116" s="504"/>
    </row>
    <row r="117" spans="1:17" ht="15.75" thickBot="1">
      <c r="A117" s="534"/>
      <c r="B117" s="543"/>
      <c r="C117" s="560"/>
      <c r="D117" s="536"/>
      <c r="E117" s="536"/>
      <c r="F117" s="536"/>
      <c r="G117" s="536"/>
      <c r="H117" s="536"/>
      <c r="I117" s="536"/>
      <c r="J117" s="536"/>
      <c r="K117" s="536"/>
      <c r="L117" s="536"/>
      <c r="M117" s="537"/>
      <c r="N117" s="1155"/>
      <c r="O117" s="1155"/>
      <c r="P117" s="45"/>
      <c r="Q117" s="504"/>
    </row>
    <row r="118" spans="1:17" ht="15" thickTop="1">
      <c r="A118" s="599"/>
      <c r="B118" s="538">
        <f>B39</f>
        <v>111</v>
      </c>
      <c r="C118" s="554"/>
      <c r="D118" s="554"/>
      <c r="E118" s="554"/>
      <c r="F118" s="554"/>
      <c r="G118" s="583"/>
      <c r="H118" s="583"/>
      <c r="I118" s="583"/>
      <c r="J118" s="583"/>
      <c r="K118" s="584"/>
      <c r="L118" s="585"/>
      <c r="M118" s="586"/>
      <c r="N118" s="1154"/>
      <c r="O118" s="1154"/>
      <c r="P118" s="45"/>
      <c r="Q118" s="504"/>
    </row>
    <row r="119" spans="1:17" ht="15.75" thickBot="1">
      <c r="A119" s="534"/>
      <c r="B119" s="543"/>
      <c r="C119" s="560"/>
      <c r="D119" s="560"/>
      <c r="E119" s="560"/>
      <c r="F119" s="560"/>
      <c r="G119" s="536"/>
      <c r="H119" s="536"/>
      <c r="I119" s="536"/>
      <c r="J119" s="536"/>
      <c r="K119" s="536"/>
      <c r="L119" s="536"/>
      <c r="M119" s="537"/>
      <c r="N119" s="1155"/>
      <c r="O119" s="1155"/>
      <c r="P119" s="45"/>
      <c r="Q119" s="504"/>
    </row>
    <row r="120" spans="1:17" s="471" customFormat="1" ht="15" thickTop="1">
      <c r="A120" s="593"/>
      <c r="B120" s="538">
        <f>B40</f>
        <v>111</v>
      </c>
      <c r="C120" s="523"/>
      <c r="D120" s="523"/>
      <c r="E120" s="523"/>
      <c r="F120" s="523"/>
      <c r="G120" s="555"/>
      <c r="H120" s="555"/>
      <c r="I120" s="555"/>
      <c r="J120" s="555"/>
      <c r="K120" s="555"/>
      <c r="L120" s="556"/>
      <c r="M120" s="557"/>
      <c r="N120" s="1156"/>
      <c r="O120" s="1156"/>
      <c r="P120" s="558"/>
      <c r="Q120" s="559"/>
    </row>
    <row r="121" spans="1:17" s="471" customFormat="1" ht="15.75" thickBot="1">
      <c r="A121" s="568"/>
      <c r="B121" s="700"/>
      <c r="C121" s="570"/>
      <c r="D121" s="570"/>
      <c r="E121" s="570"/>
      <c r="F121" s="570"/>
      <c r="G121" s="591"/>
      <c r="H121" s="591"/>
      <c r="I121" s="591"/>
      <c r="J121" s="591"/>
      <c r="K121" s="591"/>
      <c r="L121" s="591"/>
      <c r="M121" s="592"/>
      <c r="N121" s="1156"/>
      <c r="O121" s="1156"/>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9" priority="14" stopIfTrue="1" operator="containsText" text="超过">
      <formula>NOT(ISERROR(SEARCH("超过",F46)))</formula>
    </cfRule>
  </conditionalFormatting>
  <conditionalFormatting sqref="J48">
    <cfRule type="containsText" dxfId="28" priority="13" stopIfTrue="1" operator="containsText" text="超过">
      <formula>NOT(ISERROR(SEARCH("超过",J48)))</formula>
    </cfRule>
  </conditionalFormatting>
  <conditionalFormatting sqref="H48">
    <cfRule type="containsText" dxfId="27" priority="12" stopIfTrue="1" operator="containsText" text="超过">
      <formula>NOT(ISERROR(SEARCH("超过",H48)))</formula>
    </cfRule>
  </conditionalFormatting>
  <conditionalFormatting sqref="F48">
    <cfRule type="containsText" dxfId="26" priority="11" stopIfTrue="1" operator="containsText" text="超过">
      <formula>NOT(ISERROR(SEARCH("超过",F48)))</formula>
    </cfRule>
  </conditionalFormatting>
  <conditionalFormatting sqref="F47 H47 J47">
    <cfRule type="containsText" dxfId="25" priority="10" stopIfTrue="1" operator="containsText" text="超过">
      <formula>NOT(ISERROR(SEARCH("超过",F47)))</formula>
    </cfRule>
  </conditionalFormatting>
  <conditionalFormatting sqref="E46">
    <cfRule type="expression" dxfId="24" priority="9" stopIfTrue="1">
      <formula>$F$46="超过30%"</formula>
    </cfRule>
  </conditionalFormatting>
  <conditionalFormatting sqref="G48">
    <cfRule type="expression" dxfId="23" priority="8" stopIfTrue="1">
      <formula>$H$48="超过30%"</formula>
    </cfRule>
  </conditionalFormatting>
  <conditionalFormatting sqref="E48">
    <cfRule type="expression" dxfId="22" priority="6" stopIfTrue="1">
      <formula>$F$48="超过30%"</formula>
    </cfRule>
  </conditionalFormatting>
  <conditionalFormatting sqref="G46">
    <cfRule type="expression" dxfId="21" priority="5" stopIfTrue="1">
      <formula>$H$46="超过30%"</formula>
    </cfRule>
  </conditionalFormatting>
  <conditionalFormatting sqref="G47">
    <cfRule type="expression" dxfId="20" priority="4" stopIfTrue="1">
      <formula>$H$47="超过20%"</formula>
    </cfRule>
  </conditionalFormatting>
  <conditionalFormatting sqref="I46">
    <cfRule type="expression" dxfId="19" priority="3" stopIfTrue="1">
      <formula>$J$46="超过30%"</formula>
    </cfRule>
  </conditionalFormatting>
  <conditionalFormatting sqref="I47">
    <cfRule type="expression" dxfId="18" priority="2" stopIfTrue="1">
      <formula>$J$47="超过20%"</formula>
    </cfRule>
  </conditionalFormatting>
  <conditionalFormatting sqref="I48">
    <cfRule type="expression" dxfId="17" priority="1" stopIfTrue="1">
      <formula>$J$48="超过30%"</formula>
    </cfRule>
  </conditionalFormatting>
  <conditionalFormatting sqref="E47">
    <cfRule type="expression" dxfId="1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4" t="s">
        <v>183</v>
      </c>
      <c r="B18" s="882" t="s">
        <v>560</v>
      </c>
      <c r="C18" s="883" t="s">
        <v>561</v>
      </c>
      <c r="D18" s="884"/>
      <c r="E18" s="882">
        <v>1</v>
      </c>
      <c r="F18" s="885" t="s">
        <v>562</v>
      </c>
      <c r="G18" s="886"/>
      <c r="H18" s="878"/>
      <c r="I18" s="878"/>
    </row>
    <row r="19" spans="1:9" s="887" customFormat="1" ht="19.5" customHeight="1">
      <c r="A19" s="3264"/>
      <c r="B19" s="3264" t="s">
        <v>563</v>
      </c>
      <c r="C19" s="883" t="s">
        <v>564</v>
      </c>
      <c r="D19" s="884"/>
      <c r="E19" s="882">
        <v>0.9</v>
      </c>
      <c r="F19" s="885" t="s">
        <v>565</v>
      </c>
      <c r="G19" s="886"/>
      <c r="H19" s="878"/>
      <c r="I19" s="878"/>
    </row>
    <row r="20" spans="1:9" s="887" customFormat="1" ht="19.5" customHeight="1">
      <c r="A20" s="3264"/>
      <c r="B20" s="3264"/>
      <c r="C20" s="883" t="s">
        <v>566</v>
      </c>
      <c r="D20" s="884"/>
      <c r="E20" s="882">
        <v>1.1000000000000001</v>
      </c>
      <c r="F20" s="885" t="s">
        <v>567</v>
      </c>
      <c r="G20" s="886"/>
      <c r="H20" s="878"/>
      <c r="I20" s="878"/>
    </row>
    <row r="21" spans="1:9" s="887" customFormat="1" ht="19.5" customHeight="1">
      <c r="A21" s="3264"/>
      <c r="B21" s="3264"/>
      <c r="C21" s="883" t="s">
        <v>568</v>
      </c>
      <c r="D21" s="884"/>
      <c r="E21" s="882">
        <v>0.8</v>
      </c>
      <c r="F21" s="885" t="s">
        <v>569</v>
      </c>
      <c r="G21" s="886"/>
      <c r="H21" s="878"/>
      <c r="I21" s="878"/>
    </row>
    <row r="22" spans="1:9" s="887" customFormat="1" ht="19.5" customHeight="1">
      <c r="A22" s="3264"/>
      <c r="B22" s="3264"/>
      <c r="C22" s="883" t="s">
        <v>570</v>
      </c>
      <c r="D22" s="884"/>
      <c r="E22" s="882">
        <v>0.5</v>
      </c>
      <c r="F22" s="885"/>
      <c r="G22" s="886"/>
      <c r="H22" s="878"/>
      <c r="I22" s="878"/>
    </row>
    <row r="23" spans="1:9" s="887" customFormat="1" ht="19.5" customHeight="1">
      <c r="A23" s="3264" t="s">
        <v>184</v>
      </c>
      <c r="B23" s="882" t="s">
        <v>560</v>
      </c>
      <c r="C23" s="883" t="s">
        <v>571</v>
      </c>
      <c r="D23" s="884"/>
      <c r="E23" s="882">
        <v>1</v>
      </c>
      <c r="F23" s="885" t="s">
        <v>572</v>
      </c>
      <c r="G23" s="886"/>
      <c r="H23" s="878"/>
      <c r="I23" s="878"/>
    </row>
    <row r="24" spans="1:9" s="887" customFormat="1" ht="19.5" customHeight="1">
      <c r="A24" s="3264"/>
      <c r="B24" s="3264" t="s">
        <v>563</v>
      </c>
      <c r="C24" s="883" t="s">
        <v>573</v>
      </c>
      <c r="D24" s="884"/>
      <c r="E24" s="882">
        <v>0.5</v>
      </c>
      <c r="F24" s="885"/>
      <c r="G24" s="886"/>
      <c r="H24" s="878"/>
      <c r="I24" s="878"/>
    </row>
    <row r="25" spans="1:9" s="887" customFormat="1" ht="19.5" customHeight="1">
      <c r="A25" s="3264"/>
      <c r="B25" s="3264"/>
      <c r="C25" s="883" t="s">
        <v>574</v>
      </c>
      <c r="D25" s="884"/>
      <c r="E25" s="882">
        <v>1.1000000000000001</v>
      </c>
      <c r="F25" s="885"/>
      <c r="G25" s="886"/>
      <c r="H25" s="878"/>
      <c r="I25" s="878"/>
    </row>
    <row r="26" spans="1:9" s="887" customFormat="1" ht="19.5" customHeight="1">
      <c r="A26" s="3264"/>
      <c r="B26" s="3264"/>
      <c r="C26" s="883" t="s">
        <v>575</v>
      </c>
      <c r="D26" s="884"/>
      <c r="E26" s="882">
        <v>1.1000000000000001</v>
      </c>
      <c r="F26" s="885"/>
      <c r="G26" s="886"/>
      <c r="H26" s="878"/>
      <c r="I26" s="878"/>
    </row>
    <row r="27" spans="1:9" s="887" customFormat="1" ht="19.5" customHeight="1">
      <c r="A27" s="3264"/>
      <c r="B27" s="3264"/>
      <c r="C27" s="883" t="s">
        <v>576</v>
      </c>
      <c r="D27" s="884"/>
      <c r="E27" s="882">
        <v>0.9</v>
      </c>
      <c r="F27" s="885" t="s">
        <v>577</v>
      </c>
      <c r="G27" s="886"/>
      <c r="H27" s="878"/>
      <c r="I27" s="878"/>
    </row>
    <row r="28" spans="1:9" s="887" customFormat="1" ht="19.5" customHeight="1">
      <c r="A28" s="3264"/>
      <c r="B28" s="3264"/>
      <c r="C28" s="883" t="s">
        <v>578</v>
      </c>
      <c r="D28" s="884"/>
      <c r="E28" s="882">
        <v>0.9</v>
      </c>
      <c r="F28" s="885" t="s">
        <v>579</v>
      </c>
      <c r="G28" s="886"/>
      <c r="H28" s="878"/>
      <c r="I28" s="878"/>
    </row>
    <row r="29" spans="1:9" s="887" customFormat="1" ht="19.5" customHeight="1">
      <c r="A29" s="3264"/>
      <c r="B29" s="3264"/>
      <c r="C29" s="883" t="s">
        <v>580</v>
      </c>
      <c r="D29" s="884"/>
      <c r="E29" s="882">
        <v>0.9</v>
      </c>
      <c r="F29" s="885" t="s">
        <v>581</v>
      </c>
      <c r="G29" s="886"/>
      <c r="H29" s="878"/>
      <c r="I29" s="878"/>
    </row>
    <row r="30" spans="1:9" s="887" customFormat="1" ht="19.5" customHeight="1">
      <c r="A30" s="3264"/>
      <c r="B30" s="3264"/>
      <c r="C30" s="883" t="s">
        <v>582</v>
      </c>
      <c r="D30" s="884"/>
      <c r="E30" s="882">
        <v>0.9</v>
      </c>
      <c r="F30" s="885" t="s">
        <v>583</v>
      </c>
      <c r="G30" s="886"/>
      <c r="H30" s="878"/>
      <c r="I30" s="878"/>
    </row>
    <row r="31" spans="1:9" s="887" customFormat="1" ht="19.5" customHeight="1">
      <c r="A31" s="3264"/>
      <c r="B31" s="3264"/>
      <c r="C31" s="883" t="s">
        <v>584</v>
      </c>
      <c r="D31" s="884"/>
      <c r="E31" s="882">
        <v>0.8</v>
      </c>
      <c r="F31" s="885" t="s">
        <v>585</v>
      </c>
      <c r="G31" s="886"/>
      <c r="H31" s="878"/>
      <c r="I31" s="878"/>
    </row>
    <row r="32" spans="1:9" s="887" customFormat="1" ht="19.5" customHeight="1">
      <c r="A32" s="3264"/>
      <c r="B32" s="3264"/>
      <c r="C32" s="883" t="s">
        <v>586</v>
      </c>
      <c r="D32" s="884"/>
      <c r="E32" s="882">
        <v>0.8</v>
      </c>
      <c r="F32" s="885" t="s">
        <v>587</v>
      </c>
      <c r="G32" s="886"/>
      <c r="H32" s="878"/>
      <c r="I32" s="878"/>
    </row>
    <row r="33" spans="1:9" s="887" customFormat="1" ht="19.5" customHeight="1">
      <c r="A33" s="3264" t="s">
        <v>185</v>
      </c>
      <c r="B33" s="882" t="s">
        <v>560</v>
      </c>
      <c r="C33" s="883" t="s">
        <v>588</v>
      </c>
      <c r="D33" s="884"/>
      <c r="E33" s="882">
        <v>1</v>
      </c>
      <c r="F33" s="885" t="s">
        <v>589</v>
      </c>
      <c r="G33" s="886"/>
      <c r="H33" s="878"/>
      <c r="I33" s="878"/>
    </row>
    <row r="34" spans="1:9" s="887" customFormat="1" ht="19.5" customHeight="1">
      <c r="A34" s="3264"/>
      <c r="B34" s="882" t="s">
        <v>563</v>
      </c>
      <c r="C34" s="883" t="s">
        <v>590</v>
      </c>
      <c r="D34" s="884"/>
      <c r="E34" s="882">
        <v>1.5</v>
      </c>
      <c r="F34" s="885" t="s">
        <v>591</v>
      </c>
      <c r="G34" s="886"/>
      <c r="H34" s="878"/>
      <c r="I34" s="878"/>
    </row>
    <row r="35" spans="1:9" s="887" customFormat="1" ht="19.5" customHeight="1">
      <c r="A35" s="3264" t="s">
        <v>186</v>
      </c>
      <c r="B35" s="882" t="s">
        <v>560</v>
      </c>
      <c r="C35" s="883" t="s">
        <v>592</v>
      </c>
      <c r="D35" s="884"/>
      <c r="E35" s="882">
        <v>1</v>
      </c>
      <c r="F35" s="885" t="s">
        <v>593</v>
      </c>
      <c r="G35" s="886"/>
      <c r="H35" s="878"/>
      <c r="I35" s="878"/>
    </row>
    <row r="36" spans="1:9" s="887" customFormat="1" ht="19.5" customHeight="1">
      <c r="A36" s="3264"/>
      <c r="B36" s="3264" t="s">
        <v>563</v>
      </c>
      <c r="C36" s="883" t="s">
        <v>594</v>
      </c>
      <c r="D36" s="884"/>
      <c r="E36" s="882">
        <v>1</v>
      </c>
      <c r="F36" s="885" t="s">
        <v>595</v>
      </c>
      <c r="G36" s="886"/>
      <c r="H36" s="878"/>
      <c r="I36" s="878"/>
    </row>
    <row r="37" spans="1:9" s="887" customFormat="1" ht="19.5" customHeight="1">
      <c r="A37" s="3264"/>
      <c r="B37" s="3264"/>
      <c r="C37" s="883" t="s">
        <v>596</v>
      </c>
      <c r="D37" s="884"/>
      <c r="E37" s="882">
        <v>1.5</v>
      </c>
      <c r="F37" s="885" t="s">
        <v>597</v>
      </c>
      <c r="G37" s="886"/>
      <c r="H37" s="878"/>
      <c r="I37" s="878"/>
    </row>
    <row r="38" spans="1:9" s="887" customFormat="1" ht="19.5" customHeight="1">
      <c r="A38" s="3264"/>
      <c r="B38" s="3264"/>
      <c r="C38" s="883" t="s">
        <v>598</v>
      </c>
      <c r="D38" s="884"/>
      <c r="E38" s="882">
        <v>1</v>
      </c>
      <c r="F38" s="885" t="s">
        <v>599</v>
      </c>
      <c r="G38" s="886"/>
      <c r="H38" s="878"/>
      <c r="I38" s="878"/>
    </row>
    <row r="39" spans="1:9" s="887" customFormat="1" ht="19.5" customHeight="1">
      <c r="A39" s="3264"/>
      <c r="B39" s="326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4" t="s">
        <v>614</v>
      </c>
      <c r="C61" s="818" t="s">
        <v>615</v>
      </c>
      <c r="D61" s="818" t="s">
        <v>616</v>
      </c>
      <c r="E61" s="895">
        <v>0.5</v>
      </c>
      <c r="F61" s="882">
        <v>80</v>
      </c>
    </row>
    <row r="62" spans="1:8" s="878" customFormat="1" ht="24">
      <c r="A62" s="882">
        <v>2</v>
      </c>
      <c r="B62" s="3264"/>
      <c r="C62" s="818" t="s">
        <v>617</v>
      </c>
      <c r="D62" s="818" t="s">
        <v>618</v>
      </c>
      <c r="E62" s="895">
        <v>0.5</v>
      </c>
      <c r="F62" s="882">
        <v>80</v>
      </c>
    </row>
    <row r="63" spans="1:8" s="878" customFormat="1" ht="36">
      <c r="A63" s="882">
        <v>3</v>
      </c>
      <c r="B63" s="3264"/>
      <c r="C63" s="818" t="s">
        <v>619</v>
      </c>
      <c r="D63" s="818" t="s">
        <v>620</v>
      </c>
      <c r="E63" s="895">
        <v>0.5</v>
      </c>
      <c r="F63" s="882">
        <v>80</v>
      </c>
    </row>
    <row r="64" spans="1:8" s="878" customFormat="1" ht="36">
      <c r="A64" s="882">
        <v>4</v>
      </c>
      <c r="B64" s="3264"/>
      <c r="C64" s="818" t="s">
        <v>621</v>
      </c>
      <c r="D64" s="818" t="s">
        <v>622</v>
      </c>
      <c r="E64" s="895">
        <v>0.4</v>
      </c>
      <c r="F64" s="882">
        <v>60</v>
      </c>
    </row>
    <row r="65" spans="1:6" s="878" customFormat="1" ht="36">
      <c r="A65" s="882">
        <v>5</v>
      </c>
      <c r="B65" s="3264"/>
      <c r="C65" s="818" t="s">
        <v>623</v>
      </c>
      <c r="D65" s="818" t="s">
        <v>624</v>
      </c>
      <c r="E65" s="895">
        <v>0.2</v>
      </c>
      <c r="F65" s="882">
        <v>30</v>
      </c>
    </row>
    <row r="66" spans="1:6" s="878" customFormat="1" ht="36">
      <c r="A66" s="882">
        <v>6</v>
      </c>
      <c r="B66" s="3264"/>
      <c r="C66" s="818" t="s">
        <v>625</v>
      </c>
      <c r="D66" s="818" t="s">
        <v>626</v>
      </c>
      <c r="E66" s="895">
        <v>0.3</v>
      </c>
      <c r="F66" s="882">
        <v>50</v>
      </c>
    </row>
    <row r="67" spans="1:6" s="878" customFormat="1" ht="36">
      <c r="A67" s="882">
        <v>7</v>
      </c>
      <c r="B67" s="3264"/>
      <c r="C67" s="818" t="s">
        <v>627</v>
      </c>
      <c r="D67" s="818" t="s">
        <v>628</v>
      </c>
      <c r="E67" s="895">
        <v>0.2</v>
      </c>
      <c r="F67" s="882">
        <v>30</v>
      </c>
    </row>
    <row r="68" spans="1:6" s="878" customFormat="1" ht="36">
      <c r="A68" s="882">
        <v>8</v>
      </c>
      <c r="B68" s="3264"/>
      <c r="C68" s="818" t="s">
        <v>629</v>
      </c>
      <c r="D68" s="818" t="s">
        <v>630</v>
      </c>
      <c r="E68" s="895">
        <v>0.2</v>
      </c>
      <c r="F68" s="882">
        <v>30</v>
      </c>
    </row>
    <row r="69" spans="1:6" s="878" customFormat="1" ht="36">
      <c r="A69" s="882">
        <v>9</v>
      </c>
      <c r="B69" s="3264"/>
      <c r="C69" s="818" t="s">
        <v>631</v>
      </c>
      <c r="D69" s="818" t="s">
        <v>632</v>
      </c>
      <c r="E69" s="895">
        <v>0.2</v>
      </c>
      <c r="F69" s="882">
        <v>30</v>
      </c>
    </row>
    <row r="70" spans="1:6" s="878" customFormat="1" ht="48">
      <c r="A70" s="882">
        <v>10</v>
      </c>
      <c r="B70" s="3264"/>
      <c r="C70" s="818" t="s">
        <v>633</v>
      </c>
      <c r="D70" s="818" t="s">
        <v>634</v>
      </c>
      <c r="E70" s="895">
        <v>0.2</v>
      </c>
      <c r="F70" s="882">
        <v>30</v>
      </c>
    </row>
    <row r="71" spans="1:6" s="878" customFormat="1" ht="48">
      <c r="A71" s="882">
        <v>11</v>
      </c>
      <c r="B71" s="3264"/>
      <c r="C71" s="818" t="s">
        <v>635</v>
      </c>
      <c r="D71" s="818" t="s">
        <v>636</v>
      </c>
      <c r="E71" s="895">
        <v>0.2</v>
      </c>
      <c r="F71" s="882">
        <v>30</v>
      </c>
    </row>
    <row r="72" spans="1:6" s="878" customFormat="1" ht="36">
      <c r="A72" s="882">
        <v>12</v>
      </c>
      <c r="B72" s="3264"/>
      <c r="C72" s="818" t="s">
        <v>637</v>
      </c>
      <c r="D72" s="818" t="s">
        <v>638</v>
      </c>
      <c r="E72" s="895">
        <v>0.5</v>
      </c>
      <c r="F72" s="882">
        <v>80</v>
      </c>
    </row>
    <row r="73" spans="1:6" s="878" customFormat="1" ht="24">
      <c r="A73" s="882">
        <v>13</v>
      </c>
      <c r="B73" s="3264"/>
      <c r="C73" s="818" t="s">
        <v>639</v>
      </c>
      <c r="D73" s="818" t="s">
        <v>640</v>
      </c>
      <c r="E73" s="895">
        <v>0.4</v>
      </c>
      <c r="F73" s="882">
        <v>60</v>
      </c>
    </row>
    <row r="74" spans="1:6" s="878" customFormat="1" ht="24">
      <c r="A74" s="882">
        <v>14</v>
      </c>
      <c r="B74" s="3264"/>
      <c r="C74" s="818" t="s">
        <v>641</v>
      </c>
      <c r="D74" s="818" t="s">
        <v>642</v>
      </c>
      <c r="E74" s="895">
        <v>0.2</v>
      </c>
      <c r="F74" s="882">
        <v>30</v>
      </c>
    </row>
    <row r="75" spans="1:6" s="878" customFormat="1" ht="24">
      <c r="A75" s="882">
        <v>15</v>
      </c>
      <c r="B75" s="3264"/>
      <c r="C75" s="818" t="s">
        <v>643</v>
      </c>
      <c r="D75" s="818" t="s">
        <v>644</v>
      </c>
      <c r="E75" s="895">
        <v>0.2</v>
      </c>
      <c r="F75" s="882">
        <v>30</v>
      </c>
    </row>
    <row r="76" spans="1:6" s="878" customFormat="1" ht="24">
      <c r="A76" s="882">
        <v>16</v>
      </c>
      <c r="B76" s="3264" t="s">
        <v>645</v>
      </c>
      <c r="C76" s="818" t="s">
        <v>646</v>
      </c>
      <c r="D76" s="818" t="s">
        <v>647</v>
      </c>
      <c r="E76" s="895">
        <v>0.5</v>
      </c>
      <c r="F76" s="882">
        <v>80</v>
      </c>
    </row>
    <row r="77" spans="1:6" s="878" customFormat="1" ht="24">
      <c r="A77" s="882">
        <v>17</v>
      </c>
      <c r="B77" s="3264"/>
      <c r="C77" s="818" t="s">
        <v>648</v>
      </c>
      <c r="D77" s="818" t="s">
        <v>649</v>
      </c>
      <c r="E77" s="895">
        <v>0.5</v>
      </c>
      <c r="F77" s="882">
        <v>80</v>
      </c>
    </row>
    <row r="78" spans="1:6" s="878" customFormat="1" ht="24">
      <c r="A78" s="882">
        <v>18</v>
      </c>
      <c r="B78" s="3264"/>
      <c r="C78" s="818" t="s">
        <v>650</v>
      </c>
      <c r="D78" s="818" t="s">
        <v>651</v>
      </c>
      <c r="E78" s="895">
        <v>0.2</v>
      </c>
      <c r="F78" s="882">
        <v>30</v>
      </c>
    </row>
    <row r="79" spans="1:6" s="878" customFormat="1" ht="24">
      <c r="A79" s="882">
        <v>19</v>
      </c>
      <c r="B79" s="3264"/>
      <c r="C79" s="818" t="s">
        <v>652</v>
      </c>
      <c r="D79" s="818" t="s">
        <v>653</v>
      </c>
      <c r="E79" s="895">
        <v>0.5</v>
      </c>
      <c r="F79" s="882">
        <v>80</v>
      </c>
    </row>
    <row r="80" spans="1:6" s="878" customFormat="1" ht="36">
      <c r="A80" s="882">
        <v>20</v>
      </c>
      <c r="B80" s="3264"/>
      <c r="C80" s="818" t="s">
        <v>654</v>
      </c>
      <c r="D80" s="818" t="s">
        <v>655</v>
      </c>
      <c r="E80" s="895">
        <v>0.2</v>
      </c>
      <c r="F80" s="882">
        <v>30</v>
      </c>
    </row>
    <row r="81" spans="1:6" s="878" customFormat="1" ht="36">
      <c r="A81" s="882">
        <v>21</v>
      </c>
      <c r="B81" s="3264"/>
      <c r="C81" s="818" t="s">
        <v>656</v>
      </c>
      <c r="D81" s="818" t="s">
        <v>657</v>
      </c>
      <c r="E81" s="895">
        <v>0.2</v>
      </c>
      <c r="F81" s="882">
        <v>30</v>
      </c>
    </row>
    <row r="82" spans="1:6" s="878" customFormat="1" ht="48">
      <c r="A82" s="882">
        <v>22</v>
      </c>
      <c r="B82" s="3264"/>
      <c r="C82" s="818" t="s">
        <v>658</v>
      </c>
      <c r="D82" s="818" t="s">
        <v>659</v>
      </c>
      <c r="E82" s="895">
        <v>0.2</v>
      </c>
      <c r="F82" s="882">
        <v>30</v>
      </c>
    </row>
    <row r="83" spans="1:6" s="878" customFormat="1" ht="48">
      <c r="A83" s="882">
        <v>23</v>
      </c>
      <c r="B83" s="3264"/>
      <c r="C83" s="818" t="s">
        <v>660</v>
      </c>
      <c r="D83" s="818" t="s">
        <v>661</v>
      </c>
      <c r="E83" s="895">
        <v>0.2</v>
      </c>
      <c r="F83" s="882">
        <v>30</v>
      </c>
    </row>
    <row r="84" spans="1:6" s="878" customFormat="1" ht="36">
      <c r="A84" s="882">
        <v>24</v>
      </c>
      <c r="B84" s="3264"/>
      <c r="C84" s="818" t="s">
        <v>662</v>
      </c>
      <c r="D84" s="818" t="s">
        <v>663</v>
      </c>
      <c r="E84" s="895">
        <v>0.2</v>
      </c>
      <c r="F84" s="882">
        <v>30</v>
      </c>
    </row>
    <row r="85" spans="1:6" s="878" customFormat="1" ht="36">
      <c r="A85" s="882">
        <v>25</v>
      </c>
      <c r="B85" s="3264"/>
      <c r="C85" s="818" t="s">
        <v>664</v>
      </c>
      <c r="D85" s="818" t="s">
        <v>665</v>
      </c>
      <c r="E85" s="895">
        <v>0.5</v>
      </c>
      <c r="F85" s="882">
        <v>80</v>
      </c>
    </row>
    <row r="86" spans="1:6" s="878" customFormat="1" ht="36">
      <c r="A86" s="882">
        <v>26</v>
      </c>
      <c r="B86" s="3264"/>
      <c r="C86" s="818" t="s">
        <v>666</v>
      </c>
      <c r="D86" s="818" t="s">
        <v>667</v>
      </c>
      <c r="E86" s="895">
        <v>0.2</v>
      </c>
      <c r="F86" s="882">
        <v>30</v>
      </c>
    </row>
    <row r="87" spans="1:6" s="878" customFormat="1" ht="36">
      <c r="A87" s="882">
        <v>27</v>
      </c>
      <c r="B87" s="3264"/>
      <c r="C87" s="818" t="s">
        <v>668</v>
      </c>
      <c r="D87" s="818" t="s">
        <v>669</v>
      </c>
      <c r="E87" s="895">
        <v>0.2</v>
      </c>
      <c r="F87" s="882">
        <v>30</v>
      </c>
    </row>
    <row r="88" spans="1:6" s="878" customFormat="1" ht="36">
      <c r="A88" s="882">
        <v>28</v>
      </c>
      <c r="B88" s="3264"/>
      <c r="C88" s="818" t="s">
        <v>670</v>
      </c>
      <c r="D88" s="818" t="s">
        <v>671</v>
      </c>
      <c r="E88" s="895">
        <v>0.2</v>
      </c>
      <c r="F88" s="882">
        <v>30</v>
      </c>
    </row>
    <row r="89" spans="1:6" s="878" customFormat="1" ht="24">
      <c r="A89" s="882">
        <v>29</v>
      </c>
      <c r="B89" s="3264"/>
      <c r="C89" s="818" t="s">
        <v>672</v>
      </c>
      <c r="D89" s="818" t="s">
        <v>673</v>
      </c>
      <c r="E89" s="895">
        <v>0.2</v>
      </c>
      <c r="F89" s="882">
        <v>30</v>
      </c>
    </row>
    <row r="90" spans="1:6" s="878" customFormat="1" ht="24">
      <c r="A90" s="882">
        <v>30</v>
      </c>
      <c r="B90" s="3264"/>
      <c r="C90" s="818" t="s">
        <v>674</v>
      </c>
      <c r="D90" s="818" t="s">
        <v>675</v>
      </c>
      <c r="E90" s="895">
        <v>0.2</v>
      </c>
      <c r="F90" s="882">
        <v>30</v>
      </c>
    </row>
    <row r="91" spans="1:6" s="878" customFormat="1" ht="36">
      <c r="A91" s="882">
        <v>31</v>
      </c>
      <c r="B91" s="3264"/>
      <c r="C91" s="818" t="s">
        <v>676</v>
      </c>
      <c r="D91" s="818" t="s">
        <v>677</v>
      </c>
      <c r="E91" s="895">
        <v>0.2</v>
      </c>
      <c r="F91" s="882">
        <v>30</v>
      </c>
    </row>
    <row r="92" spans="1:6" s="878" customFormat="1" ht="24">
      <c r="A92" s="882">
        <v>32</v>
      </c>
      <c r="B92" s="3264" t="s">
        <v>678</v>
      </c>
      <c r="C92" s="882" t="s">
        <v>679</v>
      </c>
      <c r="D92" s="818" t="s">
        <v>680</v>
      </c>
      <c r="E92" s="895">
        <v>0.2</v>
      </c>
      <c r="F92" s="882">
        <v>30</v>
      </c>
    </row>
    <row r="93" spans="1:6" s="878" customFormat="1" ht="36">
      <c r="A93" s="882">
        <v>33</v>
      </c>
      <c r="B93" s="3264"/>
      <c r="C93" s="882" t="s">
        <v>681</v>
      </c>
      <c r="D93" s="818" t="s">
        <v>682</v>
      </c>
      <c r="E93" s="895">
        <v>0.2</v>
      </c>
      <c r="F93" s="882">
        <v>30</v>
      </c>
    </row>
    <row r="94" spans="1:6" s="878" customFormat="1" ht="48">
      <c r="A94" s="882">
        <v>34</v>
      </c>
      <c r="B94" s="3264"/>
      <c r="C94" s="882" t="s">
        <v>683</v>
      </c>
      <c r="D94" s="818" t="s">
        <v>684</v>
      </c>
      <c r="E94" s="895">
        <v>0.2</v>
      </c>
      <c r="F94" s="882">
        <v>30</v>
      </c>
    </row>
    <row r="95" spans="1:6" s="878" customFormat="1" ht="36">
      <c r="A95" s="882">
        <v>35</v>
      </c>
      <c r="B95" s="3264"/>
      <c r="C95" s="882" t="s">
        <v>685</v>
      </c>
      <c r="D95" s="818" t="s">
        <v>686</v>
      </c>
      <c r="E95" s="895">
        <v>0.2</v>
      </c>
      <c r="F95" s="882">
        <v>30</v>
      </c>
    </row>
    <row r="96" spans="1:6" s="878" customFormat="1" ht="48">
      <c r="A96" s="882">
        <v>36</v>
      </c>
      <c r="B96" s="3264"/>
      <c r="C96" s="818" t="s">
        <v>687</v>
      </c>
      <c r="D96" s="818" t="s">
        <v>688</v>
      </c>
      <c r="E96" s="895">
        <v>0.2</v>
      </c>
      <c r="F96" s="882">
        <v>30</v>
      </c>
    </row>
    <row r="97" spans="1:6" s="878" customFormat="1" ht="36">
      <c r="A97" s="882">
        <v>37</v>
      </c>
      <c r="B97" s="3264"/>
      <c r="C97" s="882" t="s">
        <v>689</v>
      </c>
      <c r="D97" s="818" t="s">
        <v>690</v>
      </c>
      <c r="E97" s="895">
        <v>0.2</v>
      </c>
      <c r="F97" s="882">
        <v>30</v>
      </c>
    </row>
    <row r="98" spans="1:6" s="878" customFormat="1" ht="36">
      <c r="A98" s="882">
        <v>38</v>
      </c>
      <c r="B98" s="3264"/>
      <c r="C98" s="882" t="s">
        <v>691</v>
      </c>
      <c r="D98" s="818" t="s">
        <v>692</v>
      </c>
      <c r="E98" s="895">
        <v>0.2</v>
      </c>
      <c r="F98" s="882">
        <v>30</v>
      </c>
    </row>
    <row r="99" spans="1:6" s="878" customFormat="1" ht="36">
      <c r="A99" s="882">
        <v>39</v>
      </c>
      <c r="B99" s="3264" t="s">
        <v>693</v>
      </c>
      <c r="C99" s="882" t="s">
        <v>694</v>
      </c>
      <c r="D99" s="818" t="s">
        <v>695</v>
      </c>
      <c r="E99" s="895">
        <v>0.3</v>
      </c>
      <c r="F99" s="882">
        <v>50</v>
      </c>
    </row>
    <row r="100" spans="1:6" s="878" customFormat="1" ht="24">
      <c r="A100" s="882">
        <v>40</v>
      </c>
      <c r="B100" s="3264"/>
      <c r="C100" s="882" t="s">
        <v>696</v>
      </c>
      <c r="D100" s="818" t="s">
        <v>697</v>
      </c>
      <c r="E100" s="895">
        <v>0.2</v>
      </c>
      <c r="F100" s="882">
        <v>30</v>
      </c>
    </row>
    <row r="101" spans="1:6" s="878" customFormat="1" ht="36">
      <c r="A101" s="882">
        <v>41</v>
      </c>
      <c r="B101" s="326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4" t="s">
        <v>708</v>
      </c>
      <c r="C105" s="882" t="s">
        <v>709</v>
      </c>
      <c r="D105" s="818" t="s">
        <v>710</v>
      </c>
      <c r="E105" s="895">
        <v>0.2</v>
      </c>
      <c r="F105" s="882">
        <v>30</v>
      </c>
    </row>
    <row r="106" spans="1:6" s="878" customFormat="1" ht="36">
      <c r="A106" s="882">
        <v>46</v>
      </c>
      <c r="B106" s="3264"/>
      <c r="C106" s="882" t="s">
        <v>711</v>
      </c>
      <c r="D106" s="818" t="s">
        <v>712</v>
      </c>
      <c r="E106" s="895">
        <v>0.2</v>
      </c>
      <c r="F106" s="882">
        <v>30</v>
      </c>
    </row>
    <row r="107" spans="1:6" s="878" customFormat="1" ht="36">
      <c r="A107" s="882">
        <v>47</v>
      </c>
      <c r="B107" s="3264" t="s">
        <v>713</v>
      </c>
      <c r="C107" s="882" t="s">
        <v>714</v>
      </c>
      <c r="D107" s="818" t="s">
        <v>715</v>
      </c>
      <c r="E107" s="895">
        <v>0.3</v>
      </c>
      <c r="F107" s="882">
        <v>50</v>
      </c>
    </row>
    <row r="108" spans="1:6" s="878" customFormat="1" ht="36">
      <c r="A108" s="882">
        <v>48</v>
      </c>
      <c r="B108" s="326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4" t="s">
        <v>724</v>
      </c>
      <c r="C111" s="882" t="s">
        <v>725</v>
      </c>
      <c r="D111" s="818" t="s">
        <v>726</v>
      </c>
      <c r="E111" s="895">
        <v>0.2</v>
      </c>
      <c r="F111" s="882">
        <v>30</v>
      </c>
    </row>
    <row r="112" spans="1:6" s="878" customFormat="1" ht="24">
      <c r="A112" s="882">
        <v>52</v>
      </c>
      <c r="B112" s="3264"/>
      <c r="C112" s="882" t="s">
        <v>727</v>
      </c>
      <c r="D112" s="818" t="s">
        <v>728</v>
      </c>
      <c r="E112" s="895">
        <v>0.2</v>
      </c>
      <c r="F112" s="882">
        <v>30</v>
      </c>
    </row>
    <row r="113" spans="1:6" s="878" customFormat="1" ht="24">
      <c r="A113" s="882">
        <v>53</v>
      </c>
      <c r="B113" s="326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4" t="s">
        <v>737</v>
      </c>
      <c r="C116" s="882" t="s">
        <v>738</v>
      </c>
      <c r="D116" s="818" t="s">
        <v>739</v>
      </c>
      <c r="E116" s="895">
        <v>0.2</v>
      </c>
      <c r="F116" s="882">
        <v>30</v>
      </c>
    </row>
    <row r="117" spans="1:6" ht="36">
      <c r="A117" s="882">
        <v>57</v>
      </c>
      <c r="B117" s="326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57" t="s">
        <v>2991</v>
      </c>
    </row>
    <row r="2" spans="1:5" ht="15.75">
      <c r="A2" s="2905" t="s">
        <v>2983</v>
      </c>
      <c r="B2" s="2906" t="e">
        <f ca="1">SUMIF(B6:B13,"&lt;&gt;#ref!",B6:B13)</f>
        <v>#DIV/0!</v>
      </c>
      <c r="C2" s="2905" t="s">
        <v>2984</v>
      </c>
      <c r="D2" s="2905" t="s">
        <v>2985</v>
      </c>
      <c r="E2" s="2906" t="e">
        <f ca="1">SUM(E6:E13)</f>
        <v>#REF!</v>
      </c>
    </row>
    <row r="3" spans="1:5" ht="15.75">
      <c r="A3" s="2905" t="s">
        <v>2986</v>
      </c>
      <c r="B3" s="2906" t="e">
        <f ca="1">ROUND(B2*10000/E2,0)</f>
        <v>#DIV/0!</v>
      </c>
      <c r="C3" s="2905" t="s">
        <v>2992</v>
      </c>
      <c r="D3" s="2907"/>
      <c r="E3" s="2907"/>
    </row>
    <row r="4" spans="1:5" ht="15.75">
      <c r="A4" s="2908"/>
      <c r="B4" s="2907"/>
      <c r="C4" s="2907"/>
      <c r="D4" s="2907"/>
      <c r="E4" s="2907"/>
    </row>
    <row r="5" spans="1:5" ht="28.5">
      <c r="A5" s="2909" t="s">
        <v>2987</v>
      </c>
      <c r="B5" s="2905" t="s">
        <v>2988</v>
      </c>
      <c r="C5" s="2906"/>
      <c r="D5" s="2907"/>
      <c r="E5" s="2905" t="s">
        <v>2989</v>
      </c>
    </row>
    <row r="6" spans="1:5" ht="15.75">
      <c r="A6" s="2910" t="s">
        <v>2990</v>
      </c>
      <c r="B6" s="2906" t="e">
        <f ca="1">SUMIF(INDIRECT("'"&amp;A6&amp;"'"&amp;"!A:A"),"总价",INDIRECT("'"&amp;A6&amp;"'"&amp;"!B:B"))</f>
        <v>#DIV/0!</v>
      </c>
      <c r="C6" s="2905" t="s">
        <v>2984</v>
      </c>
      <c r="D6" s="2907"/>
      <c r="E6" s="2571">
        <f ca="1">SUMIF(INDIRECT("'"&amp;A6&amp;"'"&amp;"!C:C"),"建筑面积",INDIRECT("'"&amp;A6&amp;"'"&amp;"!D:D"))</f>
        <v>1246.4000000000001</v>
      </c>
    </row>
    <row r="7" spans="1:5" ht="15.75">
      <c r="A7" s="2910"/>
      <c r="B7" s="2906" t="e">
        <f ca="1">SUMIF(INDIRECT("'"&amp;A7&amp;"'"&amp;"!A:A"),"总价",INDIRECT("'"&amp;A7&amp;"'"&amp;"!B:B"))</f>
        <v>#REF!</v>
      </c>
      <c r="C7" s="2905" t="s">
        <v>2984</v>
      </c>
      <c r="D7" s="2907"/>
      <c r="E7" s="2571" t="e">
        <f t="shared" ref="E7:E13" ca="1" si="0">SUMIF(INDIRECT("'"&amp;A7&amp;"'"&amp;"!C:C"),"建筑面积",INDIRECT("'"&amp;A7&amp;"'"&amp;"!D:D"))</f>
        <v>#REF!</v>
      </c>
    </row>
    <row r="8" spans="1:5" ht="15.75">
      <c r="A8" s="2910"/>
      <c r="B8" s="2906" t="e">
        <f t="shared" ref="B8:B13" ca="1" si="1">SUMIF(INDIRECT("'"&amp;A8&amp;"'"&amp;"!A:A"),"总价",INDIRECT("'"&amp;A8&amp;"'"&amp;"!B:B"))</f>
        <v>#REF!</v>
      </c>
      <c r="C8" s="2905" t="s">
        <v>2984</v>
      </c>
      <c r="D8" s="2907"/>
      <c r="E8" s="2571" t="e">
        <f t="shared" ca="1" si="0"/>
        <v>#REF!</v>
      </c>
    </row>
    <row r="9" spans="1:5" ht="15.75">
      <c r="A9" s="2910"/>
      <c r="B9" s="2906" t="e">
        <f t="shared" ca="1" si="1"/>
        <v>#REF!</v>
      </c>
      <c r="C9" s="2905" t="s">
        <v>2984</v>
      </c>
      <c r="D9" s="2907"/>
      <c r="E9" s="2571" t="e">
        <f t="shared" ca="1" si="0"/>
        <v>#REF!</v>
      </c>
    </row>
    <row r="10" spans="1:5" ht="15.75">
      <c r="A10" s="2910"/>
      <c r="B10" s="2906" t="e">
        <f t="shared" ca="1" si="1"/>
        <v>#REF!</v>
      </c>
      <c r="C10" s="2905" t="s">
        <v>2984</v>
      </c>
      <c r="D10" s="2907"/>
      <c r="E10" s="2571" t="e">
        <f t="shared" ca="1" si="0"/>
        <v>#REF!</v>
      </c>
    </row>
    <row r="11" spans="1:5" ht="15.75">
      <c r="A11" s="2910"/>
      <c r="B11" s="2906" t="e">
        <f t="shared" ca="1" si="1"/>
        <v>#REF!</v>
      </c>
      <c r="C11" s="2905" t="s">
        <v>2984</v>
      </c>
      <c r="D11" s="2907"/>
      <c r="E11" s="2571" t="e">
        <f t="shared" ca="1" si="0"/>
        <v>#REF!</v>
      </c>
    </row>
    <row r="12" spans="1:5" ht="15.75">
      <c r="A12" s="2910"/>
      <c r="B12" s="2906" t="e">
        <f t="shared" ca="1" si="1"/>
        <v>#REF!</v>
      </c>
      <c r="C12" s="2905" t="s">
        <v>2984</v>
      </c>
      <c r="D12" s="2907"/>
      <c r="E12" s="2571" t="e">
        <f t="shared" ca="1" si="0"/>
        <v>#REF!</v>
      </c>
    </row>
    <row r="13" spans="1:5" ht="15.75">
      <c r="A13" s="2910"/>
      <c r="B13" s="2906" t="e">
        <f t="shared" ca="1" si="1"/>
        <v>#REF!</v>
      </c>
      <c r="C13" s="2905" t="s">
        <v>2984</v>
      </c>
      <c r="D13" s="2907"/>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70" t="s">
        <v>1150</v>
      </c>
      <c r="C1" s="3270"/>
      <c r="D1" s="3270"/>
      <c r="E1" s="3270"/>
      <c r="F1" s="3270"/>
      <c r="G1" s="3266" t="s">
        <v>1151</v>
      </c>
      <c r="H1" s="3266"/>
      <c r="I1" s="3266"/>
      <c r="J1" s="3266"/>
      <c r="K1" s="3266"/>
      <c r="L1" s="3266"/>
      <c r="N1" s="3266" t="s">
        <v>1152</v>
      </c>
      <c r="O1" s="3266"/>
      <c r="P1" s="3266"/>
      <c r="Q1" s="3266"/>
      <c r="R1" s="1448"/>
      <c r="S1" s="3266" t="s">
        <v>1153</v>
      </c>
      <c r="T1" s="3266"/>
      <c r="U1" s="3266"/>
      <c r="V1" s="3266"/>
      <c r="X1" s="3265" t="s">
        <v>1154</v>
      </c>
      <c r="Y1" s="3266"/>
      <c r="Z1" s="3266"/>
      <c r="AA1" s="3266"/>
      <c r="AB1" s="3266"/>
      <c r="AD1" s="3265" t="s">
        <v>1155</v>
      </c>
      <c r="AE1" s="3266"/>
      <c r="AF1" s="3266"/>
      <c r="AG1" s="3266"/>
      <c r="AH1" s="3266"/>
    </row>
    <row r="2" spans="1:34" s="1449" customFormat="1" ht="14.25" thickBot="1">
      <c r="B2" s="1450" t="s">
        <v>1156</v>
      </c>
      <c r="C2" s="1450" t="s">
        <v>1157</v>
      </c>
      <c r="D2" s="1451" t="s">
        <v>1158</v>
      </c>
      <c r="E2" s="1451" t="s">
        <v>1159</v>
      </c>
      <c r="F2" s="1450" t="s">
        <v>1160</v>
      </c>
      <c r="G2" s="1452"/>
      <c r="H2" s="1453"/>
      <c r="I2" s="1450" t="s">
        <v>1156</v>
      </c>
      <c r="J2" s="1451" t="s">
        <v>1385</v>
      </c>
      <c r="K2" s="1451" t="s">
        <v>751</v>
      </c>
      <c r="L2" s="1450" t="s">
        <v>1160</v>
      </c>
      <c r="N2" s="1450" t="s">
        <v>1156</v>
      </c>
      <c r="O2" s="1451" t="s">
        <v>1385</v>
      </c>
      <c r="P2" s="1451" t="s">
        <v>751</v>
      </c>
      <c r="Q2" s="1450" t="s">
        <v>1160</v>
      </c>
      <c r="R2" s="1454"/>
      <c r="S2" s="1450" t="s">
        <v>1156</v>
      </c>
      <c r="T2" s="1451" t="s">
        <v>1385</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24" customFormat="1" ht="14.25">
      <c r="A3" s="2933" t="s">
        <v>3030</v>
      </c>
      <c r="B3" s="2925"/>
      <c r="C3" s="2925"/>
      <c r="D3" s="2926"/>
      <c r="E3" s="2926"/>
      <c r="F3" s="2925"/>
      <c r="G3" s="2927"/>
      <c r="H3" s="2928"/>
      <c r="I3" s="2929">
        <f>ROUND(AVERAGE($I6:$I21),2)</f>
        <v>2.4500000000000002</v>
      </c>
      <c r="J3" s="2929">
        <f>ROUND(AVERAGE($J6:$J21),2)</f>
        <v>1.65</v>
      </c>
      <c r="K3" s="2929">
        <f>ROUND(AVERAGE($K6:$K21),2)</f>
        <v>2.71</v>
      </c>
      <c r="L3" s="2929">
        <f>ROUND(AVERAGE($L6:$L21),2)</f>
        <v>1.39</v>
      </c>
      <c r="N3" s="2927"/>
      <c r="O3" s="2930"/>
      <c r="P3" s="2930"/>
      <c r="Q3" s="2930"/>
      <c r="R3" s="2930"/>
      <c r="S3" s="2927"/>
      <c r="T3" s="2930"/>
      <c r="U3" s="2930"/>
      <c r="V3" s="2930"/>
      <c r="W3" s="2922"/>
      <c r="X3" s="2931">
        <f>ROUND(SUMPRODUCT(PRODUCT(1+N3:N$20)),4)</f>
        <v>1.4274</v>
      </c>
      <c r="Y3" s="2931">
        <f>ROUND(SUMPRODUCT(PRODUCT(1+O3:O$20)),4)</f>
        <v>1.2685</v>
      </c>
      <c r="Z3" s="2931">
        <f t="shared" ref="Z3:Z18" si="0">Y3</f>
        <v>1.2685</v>
      </c>
      <c r="AA3" s="2931">
        <f>ROUND(SUMPRODUCT(PRODUCT(1+P3:P$20)),4)</f>
        <v>1.4825999999999999</v>
      </c>
      <c r="AB3" s="2931">
        <f>ROUND(SUMPRODUCT(PRODUCT(1+Q3:Q$20)),4)</f>
        <v>1.2309000000000001</v>
      </c>
      <c r="AD3" s="2932">
        <f>ROUND(AVERAGE(I3:I$21)/100,4)</f>
        <v>2.3099999999999999E-2</v>
      </c>
      <c r="AE3" s="2932">
        <f>ROUND(AVERAGE(J3:J$21)/100,4)</f>
        <v>1.5599999999999999E-2</v>
      </c>
      <c r="AF3" s="2932">
        <f t="shared" ref="AF3:AF19" si="1">AE3</f>
        <v>1.5599999999999999E-2</v>
      </c>
      <c r="AG3" s="2932">
        <f>ROUND(AVERAGE(K3:K$21)/100,4)</f>
        <v>2.5600000000000001E-2</v>
      </c>
      <c r="AH3" s="2932">
        <f>ROUND(AVERAGE(L3:L$21)/100,4)</f>
        <v>1.32E-2</v>
      </c>
    </row>
    <row r="4" spans="1:34" s="1455" customFormat="1" ht="14.25">
      <c r="B4" s="1456"/>
      <c r="C4" s="1456"/>
      <c r="D4" s="1457"/>
      <c r="E4" s="1457"/>
      <c r="F4" s="1456"/>
      <c r="G4" s="1458"/>
      <c r="H4" s="1459"/>
      <c r="I4" s="2918"/>
      <c r="J4" s="2918"/>
      <c r="K4" s="2918"/>
      <c r="L4" s="2918"/>
      <c r="N4" s="1458"/>
      <c r="O4" s="1460"/>
      <c r="P4" s="1460"/>
      <c r="Q4" s="1460"/>
      <c r="R4" s="1460"/>
      <c r="S4" s="1458"/>
      <c r="T4" s="1460"/>
      <c r="U4" s="1460"/>
      <c r="V4" s="1460"/>
      <c r="X4" s="1461"/>
      <c r="Y4" s="1461"/>
      <c r="Z4" s="1461"/>
      <c r="AA4" s="1461"/>
      <c r="AB4" s="1461"/>
      <c r="AD4" s="1462"/>
      <c r="AE4" s="1462"/>
      <c r="AF4" s="1462"/>
      <c r="AG4" s="1462"/>
      <c r="AH4" s="1462"/>
    </row>
    <row r="5" spans="1:34" s="1733" customFormat="1" ht="13.5" thickBot="1">
      <c r="A5" s="1731" t="s">
        <v>3029</v>
      </c>
      <c r="B5" s="1793">
        <f t="shared" ref="B5" si="2">B6*(1+N5)</f>
        <v>439.19121308559727</v>
      </c>
      <c r="C5" s="1793">
        <f t="shared" ref="C5" si="3">C6*(1+O5)</f>
        <v>326.28510789673351</v>
      </c>
      <c r="D5" s="1793">
        <f t="shared" ref="D5" si="4">C5</f>
        <v>326.28510789673351</v>
      </c>
      <c r="E5" s="1793">
        <f t="shared" ref="E5" si="5">E6*(1+P5)</f>
        <v>626.49404043656455</v>
      </c>
      <c r="F5" s="1793">
        <f t="shared" ref="F5" si="6">F6*(1+Q5)</f>
        <v>283.46416215500358</v>
      </c>
      <c r="G5" s="2921">
        <v>2018</v>
      </c>
      <c r="H5" s="1732">
        <v>1</v>
      </c>
      <c r="I5" s="2919">
        <v>0</v>
      </c>
      <c r="J5" s="2919">
        <v>0</v>
      </c>
      <c r="K5" s="2919">
        <v>0</v>
      </c>
      <c r="L5" s="2919">
        <v>0</v>
      </c>
      <c r="N5" s="1469">
        <f t="shared" ref="N5:N10" si="7">I5/100</f>
        <v>0</v>
      </c>
      <c r="O5" s="1469">
        <f t="shared" ref="O5" si="8">J5/100</f>
        <v>0</v>
      </c>
      <c r="P5" s="1469">
        <f t="shared" ref="P5" si="9">K5/100</f>
        <v>0</v>
      </c>
      <c r="Q5" s="1469">
        <f t="shared" ref="Q5" si="10">L5/100</f>
        <v>0</v>
      </c>
      <c r="R5" s="1734"/>
      <c r="S5" s="1735"/>
      <c r="T5" s="1734"/>
      <c r="U5" s="1734"/>
      <c r="V5" s="1734"/>
      <c r="W5" s="2923" t="s">
        <v>3031</v>
      </c>
      <c r="X5" s="1728">
        <f>ROUND(SUMPRODUCT(PRODUCT(1+N5:N$20)),4)</f>
        <v>1.4274</v>
      </c>
      <c r="Y5" s="1728">
        <f>ROUND(SUMPRODUCT(PRODUCT(1+O5:O$20)),4)</f>
        <v>1.2685</v>
      </c>
      <c r="Z5" s="1728">
        <f t="shared" ref="Z5" si="11">Y5</f>
        <v>1.2685</v>
      </c>
      <c r="AA5" s="1728">
        <f>ROUND(SUMPRODUCT(PRODUCT(1+P5:P$20)),4)</f>
        <v>1.4825999999999999</v>
      </c>
      <c r="AB5" s="1728">
        <f>ROUND(SUMPRODUCT(PRODUCT(1+Q5:Q$20)),4)</f>
        <v>1.2309000000000001</v>
      </c>
      <c r="AD5" s="1470">
        <f>ROUND(AVERAGE(I5:I$21)/100,4)</f>
        <v>2.3E-2</v>
      </c>
      <c r="AE5" s="1470">
        <f>ROUND(AVERAGE(J5:J$21)/100,4)</f>
        <v>1.55E-2</v>
      </c>
      <c r="AF5" s="1470">
        <f t="shared" ref="AF5" si="12">AE5</f>
        <v>1.55E-2</v>
      </c>
      <c r="AG5" s="1470">
        <f>ROUND(AVERAGE(K5:K$21)/100,4)</f>
        <v>2.5499999999999998E-2</v>
      </c>
      <c r="AH5" s="1470">
        <f>ROUND(AVERAGE(L5:L$21)/100,4)</f>
        <v>1.3100000000000001E-2</v>
      </c>
    </row>
    <row r="6" spans="1:34">
      <c r="A6" s="1463" t="s">
        <v>3026</v>
      </c>
      <c r="B6" s="1471">
        <f t="shared" ref="B6" si="13">B7*(1+N6)</f>
        <v>439.19121308559727</v>
      </c>
      <c r="C6" s="1471">
        <f t="shared" ref="C6" si="14">C7*(1+O6)</f>
        <v>326.28510789673351</v>
      </c>
      <c r="D6" s="1471">
        <f t="shared" ref="D6" si="15">C6</f>
        <v>326.28510789673351</v>
      </c>
      <c r="E6" s="1471">
        <f t="shared" ref="E6" si="16">E7*(1+P6)</f>
        <v>626.49404043656455</v>
      </c>
      <c r="F6" s="1472">
        <f t="shared" ref="F6" si="17">F7*(1+Q6)</f>
        <v>283.46416215500358</v>
      </c>
      <c r="G6" s="2921">
        <v>2017</v>
      </c>
      <c r="H6" s="1464">
        <v>4</v>
      </c>
      <c r="I6" s="1464">
        <v>1.71</v>
      </c>
      <c r="J6" s="1464">
        <v>1.78</v>
      </c>
      <c r="K6" s="1464">
        <v>1.71</v>
      </c>
      <c r="L6" s="1465">
        <v>1.43</v>
      </c>
      <c r="N6" s="1474">
        <f t="shared" si="7"/>
        <v>1.7100000000000001E-2</v>
      </c>
      <c r="O6" s="1475">
        <f t="shared" ref="O6" si="18">J6/100</f>
        <v>1.78E-2</v>
      </c>
      <c r="P6" s="1475">
        <f t="shared" ref="P6" si="19">K6/100</f>
        <v>1.7100000000000001E-2</v>
      </c>
      <c r="Q6" s="1475">
        <f t="shared" ref="Q6" si="20">L6/100</f>
        <v>1.43E-2</v>
      </c>
      <c r="R6" s="1476"/>
      <c r="S6" s="1477"/>
      <c r="T6" s="1478"/>
      <c r="U6" s="1478"/>
      <c r="V6" s="1478"/>
      <c r="X6" s="1461">
        <f>ROUND(SUMPRODUCT(PRODUCT(1+N6:N$20)),4)</f>
        <v>1.4274</v>
      </c>
      <c r="Y6" s="1461">
        <f>ROUND(SUMPRODUCT(PRODUCT(1+O6:O$20)),4)</f>
        <v>1.2685</v>
      </c>
      <c r="Z6" s="1461">
        <f t="shared" si="0"/>
        <v>1.2685</v>
      </c>
      <c r="AA6" s="1461">
        <f>ROUND(SUMPRODUCT(PRODUCT(1+P6:P$20)),4)</f>
        <v>1.4825999999999999</v>
      </c>
      <c r="AB6" s="1461">
        <f>ROUND(SUMPRODUCT(PRODUCT(1+Q6:Q$20)),4)</f>
        <v>1.2309000000000001</v>
      </c>
      <c r="AD6" s="1462">
        <f>ROUND(AVERAGE(I6:I$21)/100,4)</f>
        <v>2.4500000000000001E-2</v>
      </c>
      <c r="AE6" s="1462">
        <f>ROUND(AVERAGE(J6:J$21)/100,4)</f>
        <v>1.6500000000000001E-2</v>
      </c>
      <c r="AF6" s="1462">
        <f t="shared" si="1"/>
        <v>1.6500000000000001E-2</v>
      </c>
      <c r="AG6" s="1462">
        <f>ROUND(AVERAGE(K6:K$21)/100,4)</f>
        <v>2.7099999999999999E-2</v>
      </c>
      <c r="AH6" s="1462">
        <f>ROUND(AVERAGE(L6:L$21)/100,4)</f>
        <v>1.3899999999999999E-2</v>
      </c>
    </row>
    <row r="7" spans="1:34" s="1468" customFormat="1" ht="13.5" thickBot="1">
      <c r="A7" s="1463" t="s">
        <v>3027</v>
      </c>
      <c r="B7" s="1479">
        <f t="shared" ref="B7:B8" si="21">B8*(1+N7)</f>
        <v>431.80730811680002</v>
      </c>
      <c r="C7" s="1479">
        <f t="shared" ref="C7:C8" si="22">C8*(1+O7)</f>
        <v>320.57880516480003</v>
      </c>
      <c r="D7" s="1479">
        <f t="shared" ref="D7:D8" si="23">C7</f>
        <v>320.57880516480003</v>
      </c>
      <c r="E7" s="1479">
        <f t="shared" ref="E7:E8" si="24">E8*(1+P7)</f>
        <v>615.96110553196797</v>
      </c>
      <c r="F7" s="1479">
        <f t="shared" ref="F7:F8" si="25">F8*(1+Q7)</f>
        <v>279.46777300108801</v>
      </c>
      <c r="G7" s="2917"/>
      <c r="H7" s="1466">
        <v>3</v>
      </c>
      <c r="I7" s="1466">
        <v>2.98</v>
      </c>
      <c r="J7" s="1466">
        <v>2.11</v>
      </c>
      <c r="K7" s="1466">
        <v>3.24</v>
      </c>
      <c r="L7" s="1480">
        <v>1.72</v>
      </c>
      <c r="M7" s="1473"/>
      <c r="N7" s="1474">
        <f t="shared" si="7"/>
        <v>2.98E-2</v>
      </c>
      <c r="O7" s="1475">
        <f t="shared" ref="O7" si="26">J7/100</f>
        <v>2.1099999999999997E-2</v>
      </c>
      <c r="P7" s="1475">
        <f t="shared" ref="P7" si="27">K7/100</f>
        <v>3.2400000000000005E-2</v>
      </c>
      <c r="Q7" s="1475">
        <f t="shared" ref="Q7" si="28">L7/100</f>
        <v>1.72E-2</v>
      </c>
      <c r="R7" s="1476"/>
      <c r="S7" s="1474"/>
      <c r="T7" s="1475"/>
      <c r="U7" s="1475"/>
      <c r="V7" s="1475"/>
      <c r="W7" s="1792"/>
      <c r="X7" s="1790">
        <f>ROUND(SUMPRODUCT(PRODUCT(1+N7:N$20)),4)</f>
        <v>1.4034</v>
      </c>
      <c r="Y7" s="1790">
        <f>ROUND(SUMPRODUCT(PRODUCT(1+O7:O$20)),4)</f>
        <v>1.2463</v>
      </c>
      <c r="Z7" s="1790">
        <f t="shared" si="0"/>
        <v>1.2463</v>
      </c>
      <c r="AA7" s="1790">
        <f>ROUND(SUMPRODUCT(PRODUCT(1+P7:P$20)),4)</f>
        <v>1.4577</v>
      </c>
      <c r="AB7" s="1790">
        <f>ROUND(SUMPRODUCT(PRODUCT(1+Q7:Q$20)),4)</f>
        <v>1.2136</v>
      </c>
      <c r="AC7" s="1792"/>
      <c r="AD7" s="1791">
        <f>ROUND(AVERAGE(I7:I$21)/100,4)</f>
        <v>2.4899999999999999E-2</v>
      </c>
      <c r="AE7" s="1791">
        <f>ROUND(AVERAGE(J7:J$21)/100,4)</f>
        <v>1.6400000000000001E-2</v>
      </c>
      <c r="AF7" s="1791">
        <f t="shared" si="1"/>
        <v>1.6400000000000001E-2</v>
      </c>
      <c r="AG7" s="1791">
        <f>ROUND(AVERAGE(K7:K$21)/100,4)</f>
        <v>2.7799999999999998E-2</v>
      </c>
      <c r="AH7" s="1791">
        <f>ROUND(AVERAGE(L7:L$21)/100,4)</f>
        <v>1.3899999999999999E-2</v>
      </c>
    </row>
    <row r="8" spans="1:34" s="1733" customFormat="1">
      <c r="A8" s="1463" t="s">
        <v>1386</v>
      </c>
      <c r="B8" s="1479">
        <f t="shared" si="21"/>
        <v>419.31181600000002</v>
      </c>
      <c r="C8" s="1479">
        <f t="shared" si="22"/>
        <v>313.95436800000004</v>
      </c>
      <c r="D8" s="1479">
        <f t="shared" si="23"/>
        <v>313.95436800000004</v>
      </c>
      <c r="E8" s="1479">
        <f t="shared" si="24"/>
        <v>596.63028431999999</v>
      </c>
      <c r="F8" s="1479">
        <f t="shared" si="25"/>
        <v>274.74220703999998</v>
      </c>
      <c r="G8" s="2916"/>
      <c r="H8" s="1467">
        <v>2</v>
      </c>
      <c r="I8" s="1467">
        <v>3.4</v>
      </c>
      <c r="J8" s="1467">
        <v>2</v>
      </c>
      <c r="K8" s="1467">
        <v>3.82</v>
      </c>
      <c r="L8" s="1481">
        <v>1.68</v>
      </c>
      <c r="M8" s="1473"/>
      <c r="N8" s="1474">
        <f t="shared" si="7"/>
        <v>3.4000000000000002E-2</v>
      </c>
      <c r="O8" s="1475">
        <f t="shared" ref="O8" si="29">J8/100</f>
        <v>0.02</v>
      </c>
      <c r="P8" s="1475">
        <f t="shared" ref="P8" si="30">K8/100</f>
        <v>3.8199999999999998E-2</v>
      </c>
      <c r="Q8" s="1475">
        <f t="shared" ref="Q8" si="31">L8/100</f>
        <v>1.6799999999999999E-2</v>
      </c>
      <c r="R8" s="1476"/>
      <c r="S8" s="1477"/>
      <c r="T8" s="1478"/>
      <c r="U8" s="1478"/>
      <c r="V8" s="1478"/>
      <c r="W8" s="1455"/>
      <c r="X8" s="1790">
        <f>ROUND(SUMPRODUCT(PRODUCT(1+N8:N$20)),4)</f>
        <v>1.3628</v>
      </c>
      <c r="Y8" s="1790">
        <f>ROUND(SUMPRODUCT(PRODUCT(1+O8:O$20)),4)</f>
        <v>1.2205999999999999</v>
      </c>
      <c r="Z8" s="1790">
        <f t="shared" si="0"/>
        <v>1.2205999999999999</v>
      </c>
      <c r="AA8" s="1790">
        <f>ROUND(SUMPRODUCT(PRODUCT(1+P8:P$20)),4)</f>
        <v>1.4118999999999999</v>
      </c>
      <c r="AB8" s="1790">
        <f>ROUND(SUMPRODUCT(PRODUCT(1+Q8:Q$20)),4)</f>
        <v>1.1930000000000001</v>
      </c>
      <c r="AC8" s="1455"/>
      <c r="AD8" s="1791">
        <f>ROUND(AVERAGE(I8:I$21)/100,4)</f>
        <v>2.46E-2</v>
      </c>
      <c r="AE8" s="1791">
        <f>ROUND(AVERAGE(J8:J$21)/100,4)</f>
        <v>1.6E-2</v>
      </c>
      <c r="AF8" s="1791">
        <f t="shared" si="1"/>
        <v>1.6E-2</v>
      </c>
      <c r="AG8" s="1791">
        <f>ROUND(AVERAGE(K8:K$21)/100,4)</f>
        <v>2.75E-2</v>
      </c>
      <c r="AH8" s="1791">
        <f>ROUND(AVERAGE(L8:L$21)/100,4)</f>
        <v>1.37E-2</v>
      </c>
    </row>
    <row r="9" spans="1:34" s="1468" customFormat="1" ht="13.5" thickBot="1">
      <c r="A9" s="1463" t="s">
        <v>1161</v>
      </c>
      <c r="B9" s="1479">
        <f>B10*(1+N9)</f>
        <v>405.524</v>
      </c>
      <c r="C9" s="1479">
        <f>C10*(1+O9)</f>
        <v>307.79840000000002</v>
      </c>
      <c r="D9" s="1479">
        <f>C9</f>
        <v>307.79840000000002</v>
      </c>
      <c r="E9" s="1479">
        <f>E10*(1+P9)</f>
        <v>574.67759999999998</v>
      </c>
      <c r="F9" s="1479">
        <f>F10*(1+Q9)</f>
        <v>270.20280000000002</v>
      </c>
      <c r="G9" s="2917"/>
      <c r="H9" s="1466">
        <v>1</v>
      </c>
      <c r="I9" s="1466">
        <v>3.45</v>
      </c>
      <c r="J9" s="1466">
        <v>1.92</v>
      </c>
      <c r="K9" s="1466">
        <v>3.92</v>
      </c>
      <c r="L9" s="1480">
        <v>1.58</v>
      </c>
      <c r="M9" s="1473"/>
      <c r="N9" s="1474">
        <f t="shared" si="7"/>
        <v>3.4500000000000003E-2</v>
      </c>
      <c r="O9" s="1475">
        <f t="shared" ref="O9:Q24" si="32">J9/100</f>
        <v>1.9199999999999998E-2</v>
      </c>
      <c r="P9" s="1475">
        <f t="shared" si="32"/>
        <v>3.9199999999999999E-2</v>
      </c>
      <c r="Q9" s="1475">
        <f t="shared" si="32"/>
        <v>1.5800000000000002E-2</v>
      </c>
      <c r="R9" s="1476"/>
      <c r="S9" s="1474">
        <f>B9/B10-1</f>
        <v>3.4499999999999975E-2</v>
      </c>
      <c r="T9" s="1475">
        <f t="shared" ref="T9:V9" si="33">C9/C10-1</f>
        <v>1.9200000000000106E-2</v>
      </c>
      <c r="U9" s="1475">
        <f t="shared" si="33"/>
        <v>1.9200000000000106E-2</v>
      </c>
      <c r="V9" s="1475">
        <f t="shared" si="33"/>
        <v>3.9199999999999902E-2</v>
      </c>
      <c r="W9" s="1792"/>
      <c r="X9" s="1790">
        <f>ROUND(SUMPRODUCT(PRODUCT(1+N9:N$20)),4)</f>
        <v>1.3180000000000001</v>
      </c>
      <c r="Y9" s="1790">
        <f>ROUND(SUMPRODUCT(PRODUCT(1+O9:O$20)),4)</f>
        <v>1.1966000000000001</v>
      </c>
      <c r="Z9" s="1790">
        <f t="shared" si="0"/>
        <v>1.1966000000000001</v>
      </c>
      <c r="AA9" s="1790">
        <f>ROUND(SUMPRODUCT(PRODUCT(1+P9:P$20)),4)</f>
        <v>1.36</v>
      </c>
      <c r="AB9" s="1790">
        <f>ROUND(SUMPRODUCT(PRODUCT(1+Q9:Q$20)),4)</f>
        <v>1.1733</v>
      </c>
      <c r="AC9" s="1792"/>
      <c r="AD9" s="1791">
        <f>ROUND(AVERAGE(I9:I$21)/100,4)</f>
        <v>2.3900000000000001E-2</v>
      </c>
      <c r="AE9" s="1791">
        <f>ROUND(AVERAGE(J9:J$21)/100,4)</f>
        <v>1.5699999999999999E-2</v>
      </c>
      <c r="AF9" s="1791">
        <f t="shared" si="1"/>
        <v>1.5699999999999999E-2</v>
      </c>
      <c r="AG9" s="1791">
        <f>ROUND(AVERAGE(K9:K$21)/100,4)</f>
        <v>2.6599999999999999E-2</v>
      </c>
      <c r="AH9" s="1791">
        <f>ROUND(AVERAGE(L9:L$21)/100,4)</f>
        <v>1.34E-2</v>
      </c>
    </row>
    <row r="10" spans="1:34">
      <c r="A10" s="1463" t="s">
        <v>154</v>
      </c>
      <c r="B10" s="1471">
        <v>392</v>
      </c>
      <c r="C10" s="1471">
        <v>302</v>
      </c>
      <c r="D10" s="1471">
        <f>C10</f>
        <v>302</v>
      </c>
      <c r="E10" s="1471">
        <v>553</v>
      </c>
      <c r="F10" s="1472">
        <v>266</v>
      </c>
      <c r="G10" s="3271">
        <v>2016</v>
      </c>
      <c r="H10" s="1464">
        <v>4</v>
      </c>
      <c r="I10" s="1464">
        <v>4.5599999999999996</v>
      </c>
      <c r="J10" s="1464">
        <v>2.15</v>
      </c>
      <c r="K10" s="1464">
        <v>5.32</v>
      </c>
      <c r="L10" s="1465">
        <v>1.57</v>
      </c>
      <c r="N10" s="1474">
        <f t="shared" si="7"/>
        <v>4.5599999999999995E-2</v>
      </c>
      <c r="O10" s="1475">
        <f t="shared" si="32"/>
        <v>2.1499999999999998E-2</v>
      </c>
      <c r="P10" s="1475">
        <f t="shared" si="32"/>
        <v>5.3200000000000004E-2</v>
      </c>
      <c r="Q10" s="1475">
        <f t="shared" si="32"/>
        <v>1.5700000000000002E-2</v>
      </c>
      <c r="R10" s="1476"/>
      <c r="S10" s="1477"/>
      <c r="T10" s="1478"/>
      <c r="U10" s="1478"/>
      <c r="V10" s="1478"/>
      <c r="X10" s="1461">
        <f>ROUND(SUMPRODUCT(PRODUCT(1+N10:N$20)),4)</f>
        <v>1.274</v>
      </c>
      <c r="Y10" s="1461">
        <f>ROUND(SUMPRODUCT(PRODUCT(1+O10:O$20)),4)</f>
        <v>1.1740999999999999</v>
      </c>
      <c r="Z10" s="1461">
        <f t="shared" si="0"/>
        <v>1.1740999999999999</v>
      </c>
      <c r="AA10" s="1461">
        <f>ROUND(SUMPRODUCT(PRODUCT(1+P10:P$20)),4)</f>
        <v>1.3087</v>
      </c>
      <c r="AB10" s="1461">
        <f>ROUND(SUMPRODUCT(PRODUCT(1+Q10:Q$20)),4)</f>
        <v>1.1551</v>
      </c>
      <c r="AD10" s="1462">
        <f>ROUND(AVERAGE(I10:I$21)/100,4)</f>
        <v>2.3E-2</v>
      </c>
      <c r="AE10" s="1462">
        <f>ROUND(AVERAGE(J10:J$21)/100,4)</f>
        <v>1.55E-2</v>
      </c>
      <c r="AF10" s="1462">
        <f t="shared" si="1"/>
        <v>1.55E-2</v>
      </c>
      <c r="AG10" s="1462">
        <f>ROUND(AVERAGE(K10:K$21)/100,4)</f>
        <v>2.5600000000000001E-2</v>
      </c>
      <c r="AH10" s="1462">
        <f>ROUND(AVERAGE(L10:L$21)/100,4)</f>
        <v>1.32E-2</v>
      </c>
    </row>
    <row r="11" spans="1:34">
      <c r="A11" s="1463" t="s">
        <v>153</v>
      </c>
      <c r="B11" s="1479">
        <f t="shared" ref="B11:C13" si="34">B10/(1+N10)</f>
        <v>374.90436113236416</v>
      </c>
      <c r="C11" s="1479">
        <f t="shared" si="34"/>
        <v>295.64366128242779</v>
      </c>
      <c r="D11" s="1479">
        <f t="shared" ref="D11:D70" si="35">C11</f>
        <v>295.64366128242779</v>
      </c>
      <c r="E11" s="1479">
        <f t="shared" ref="E11:F13" si="36">E10/(1+P10)</f>
        <v>525.06646410938095</v>
      </c>
      <c r="F11" s="1479">
        <f t="shared" si="36"/>
        <v>261.88835286009646</v>
      </c>
      <c r="G11" s="3268"/>
      <c r="H11" s="1466">
        <v>3</v>
      </c>
      <c r="I11" s="1466">
        <v>4.12</v>
      </c>
      <c r="J11" s="1466">
        <v>2</v>
      </c>
      <c r="K11" s="1466">
        <v>4.79</v>
      </c>
      <c r="L11" s="1480">
        <v>1.97</v>
      </c>
      <c r="N11" s="1474">
        <f t="shared" ref="N11:Q45" si="37">I11/100</f>
        <v>4.1200000000000001E-2</v>
      </c>
      <c r="O11" s="1475">
        <f t="shared" si="32"/>
        <v>0.02</v>
      </c>
      <c r="P11" s="1475">
        <f t="shared" si="32"/>
        <v>4.7899999999999998E-2</v>
      </c>
      <c r="Q11" s="1475">
        <f t="shared" si="32"/>
        <v>1.9699999999999999E-2</v>
      </c>
      <c r="R11" s="1476"/>
      <c r="S11" s="1474"/>
      <c r="T11" s="1475"/>
      <c r="U11" s="1475"/>
      <c r="V11" s="1475"/>
      <c r="X11" s="1461">
        <f>ROUND(SUMPRODUCT(PRODUCT(1+N11:N$20)),4)</f>
        <v>1.2184999999999999</v>
      </c>
      <c r="Y11" s="1461">
        <f>ROUND(SUMPRODUCT(PRODUCT(1+O11:O$20)),4)</f>
        <v>1.1494</v>
      </c>
      <c r="Z11" s="1461">
        <f t="shared" si="0"/>
        <v>1.1494</v>
      </c>
      <c r="AA11" s="1461">
        <f>ROUND(SUMPRODUCT(PRODUCT(1+P11:P$20)),4)</f>
        <v>1.2425999999999999</v>
      </c>
      <c r="AB11" s="1461">
        <f>ROUND(SUMPRODUCT(PRODUCT(1+Q11:Q$20)),4)</f>
        <v>1.1372</v>
      </c>
      <c r="AD11" s="1462">
        <f>ROUND(AVERAGE(I11:I$21)/100,4)</f>
        <v>2.0899999999999998E-2</v>
      </c>
      <c r="AE11" s="1462">
        <f>ROUND(AVERAGE(J11:J$21)/100,4)</f>
        <v>1.49E-2</v>
      </c>
      <c r="AF11" s="1462">
        <f t="shared" si="1"/>
        <v>1.49E-2</v>
      </c>
      <c r="AG11" s="1462">
        <f>ROUND(AVERAGE(K11:K$21)/100,4)</f>
        <v>2.3099999999999999E-2</v>
      </c>
      <c r="AH11" s="1462">
        <f>ROUND(AVERAGE(L11:L$21)/100,4)</f>
        <v>1.2999999999999999E-2</v>
      </c>
    </row>
    <row r="12" spans="1:34">
      <c r="A12" s="1463" t="s">
        <v>143</v>
      </c>
      <c r="B12" s="1479">
        <f t="shared" si="34"/>
        <v>360.06949782209392</v>
      </c>
      <c r="C12" s="1479">
        <f t="shared" si="34"/>
        <v>289.84672674747821</v>
      </c>
      <c r="D12" s="1479">
        <f t="shared" si="35"/>
        <v>289.84672674747821</v>
      </c>
      <c r="E12" s="1479">
        <f t="shared" si="36"/>
        <v>501.06543001181495</v>
      </c>
      <c r="F12" s="1479">
        <f t="shared" si="36"/>
        <v>256.82882500744967</v>
      </c>
      <c r="G12" s="3268"/>
      <c r="H12" s="1467">
        <v>2</v>
      </c>
      <c r="I12" s="1467">
        <v>3.85</v>
      </c>
      <c r="J12" s="1467">
        <v>1.95</v>
      </c>
      <c r="K12" s="1467">
        <v>4.4800000000000004</v>
      </c>
      <c r="L12" s="1481">
        <v>1.41</v>
      </c>
      <c r="N12" s="1474">
        <f t="shared" si="37"/>
        <v>3.85E-2</v>
      </c>
      <c r="O12" s="1475">
        <f t="shared" si="32"/>
        <v>1.95E-2</v>
      </c>
      <c r="P12" s="1475">
        <f t="shared" si="32"/>
        <v>4.4800000000000006E-2</v>
      </c>
      <c r="Q12" s="1475">
        <f t="shared" si="32"/>
        <v>1.41E-2</v>
      </c>
      <c r="R12" s="1476"/>
      <c r="S12" s="1474"/>
      <c r="T12" s="1475"/>
      <c r="U12" s="1475"/>
      <c r="V12" s="1475"/>
      <c r="X12" s="1461">
        <f>ROUND(SUMPRODUCT(PRODUCT(1+N12:N$20)),4)</f>
        <v>1.1702999999999999</v>
      </c>
      <c r="Y12" s="1461">
        <f>ROUND(SUMPRODUCT(PRODUCT(1+O12:O$20)),4)</f>
        <v>1.1269</v>
      </c>
      <c r="Z12" s="1461">
        <f t="shared" si="0"/>
        <v>1.1269</v>
      </c>
      <c r="AA12" s="1461">
        <f>ROUND(SUMPRODUCT(PRODUCT(1+P12:P$20)),4)</f>
        <v>1.1858</v>
      </c>
      <c r="AB12" s="1461">
        <f>ROUND(SUMPRODUCT(PRODUCT(1+Q12:Q$20)),4)</f>
        <v>1.1152</v>
      </c>
      <c r="AD12" s="1462">
        <f>ROUND(AVERAGE(I12:I$21)/100,4)</f>
        <v>1.89E-2</v>
      </c>
      <c r="AE12" s="1462">
        <f>ROUND(AVERAGE(J12:J$21)/100,4)</f>
        <v>1.44E-2</v>
      </c>
      <c r="AF12" s="1462">
        <f t="shared" si="1"/>
        <v>1.44E-2</v>
      </c>
      <c r="AG12" s="1462">
        <f>ROUND(AVERAGE(K12:K$21)/100,4)</f>
        <v>2.06E-2</v>
      </c>
      <c r="AH12" s="1462">
        <f>ROUND(AVERAGE(L12:L$21)/100,4)</f>
        <v>1.23E-2</v>
      </c>
    </row>
    <row r="13" spans="1:34" ht="13.5" thickBot="1">
      <c r="A13" s="1463" t="s">
        <v>152</v>
      </c>
      <c r="B13" s="1479">
        <f t="shared" si="34"/>
        <v>346.720748986128</v>
      </c>
      <c r="C13" s="1479">
        <f t="shared" si="34"/>
        <v>284.30282172386285</v>
      </c>
      <c r="D13" s="1479">
        <f t="shared" si="35"/>
        <v>284.30282172386285</v>
      </c>
      <c r="E13" s="1479">
        <f t="shared" si="36"/>
        <v>479.58023546306947</v>
      </c>
      <c r="F13" s="1479">
        <f t="shared" si="36"/>
        <v>253.25788877571213</v>
      </c>
      <c r="G13" s="3269"/>
      <c r="H13" s="1466">
        <v>1</v>
      </c>
      <c r="I13" s="1466">
        <v>4.09</v>
      </c>
      <c r="J13" s="1466">
        <v>2.93</v>
      </c>
      <c r="K13" s="1466">
        <v>4.54</v>
      </c>
      <c r="L13" s="1480">
        <v>1.48</v>
      </c>
      <c r="N13" s="1474">
        <f t="shared" si="37"/>
        <v>4.0899999999999999E-2</v>
      </c>
      <c r="O13" s="1475">
        <f t="shared" si="32"/>
        <v>2.9300000000000003E-2</v>
      </c>
      <c r="P13" s="1475">
        <f t="shared" si="32"/>
        <v>4.5400000000000003E-2</v>
      </c>
      <c r="Q13" s="1475">
        <f t="shared" si="32"/>
        <v>1.4800000000000001E-2</v>
      </c>
      <c r="R13" s="1476"/>
      <c r="S13" s="1482">
        <f>B13/B14-1</f>
        <v>4.1203450408792808E-2</v>
      </c>
      <c r="T13" s="1483">
        <f>C13/C14-1</f>
        <v>2.6363977342465095E-2</v>
      </c>
      <c r="U13" s="1483">
        <f>E13/E14-1</f>
        <v>4.4837114298626357E-2</v>
      </c>
      <c r="V13" s="1483">
        <f>F13/F14-1</f>
        <v>1.7099954922538574E-2</v>
      </c>
      <c r="X13" s="1461">
        <f>ROUND(SUMPRODUCT(PRODUCT(1+N13:N$20)),4)</f>
        <v>1.1269</v>
      </c>
      <c r="Y13" s="1461">
        <f>ROUND(SUMPRODUCT(PRODUCT(1+O13:O$20)),4)</f>
        <v>1.1052999999999999</v>
      </c>
      <c r="Z13" s="1461">
        <f t="shared" si="0"/>
        <v>1.1052999999999999</v>
      </c>
      <c r="AA13" s="1461">
        <f>ROUND(SUMPRODUCT(PRODUCT(1+P13:P$20)),4)</f>
        <v>1.1349</v>
      </c>
      <c r="AB13" s="1461">
        <f>ROUND(SUMPRODUCT(PRODUCT(1+Q13:Q$20)),4)</f>
        <v>1.0996999999999999</v>
      </c>
      <c r="AD13" s="1462">
        <f>ROUND(AVERAGE(I13:I$21)/100,4)</f>
        <v>1.67E-2</v>
      </c>
      <c r="AE13" s="1462">
        <f>ROUND(AVERAGE(J13:J$21)/100,4)</f>
        <v>1.38E-2</v>
      </c>
      <c r="AF13" s="1462">
        <f t="shared" si="1"/>
        <v>1.38E-2</v>
      </c>
      <c r="AG13" s="1462">
        <f>ROUND(AVERAGE(K13:K$21)/100,4)</f>
        <v>1.7899999999999999E-2</v>
      </c>
      <c r="AH13" s="1462">
        <f>ROUND(AVERAGE(L13:L$21)/100,4)</f>
        <v>1.21E-2</v>
      </c>
    </row>
    <row r="14" spans="1:34" ht="13.5" thickBot="1">
      <c r="A14" s="1463" t="s">
        <v>151</v>
      </c>
      <c r="B14" s="1471">
        <v>333</v>
      </c>
      <c r="C14" s="1471">
        <v>277</v>
      </c>
      <c r="D14" s="1471">
        <f t="shared" si="35"/>
        <v>277</v>
      </c>
      <c r="E14" s="1471">
        <v>459</v>
      </c>
      <c r="F14" s="1472">
        <v>249</v>
      </c>
      <c r="G14" s="3267">
        <v>2015</v>
      </c>
      <c r="H14" s="1484">
        <v>4</v>
      </c>
      <c r="I14" s="1484">
        <v>1.63</v>
      </c>
      <c r="J14" s="1484">
        <v>1.1100000000000001</v>
      </c>
      <c r="K14" s="1484">
        <v>1.77</v>
      </c>
      <c r="L14" s="1485">
        <v>1.89</v>
      </c>
      <c r="N14" s="1486">
        <f t="shared" si="37"/>
        <v>1.6299999999999999E-2</v>
      </c>
      <c r="O14" s="1487">
        <f t="shared" si="32"/>
        <v>1.11E-2</v>
      </c>
      <c r="P14" s="1487">
        <f t="shared" si="32"/>
        <v>1.77E-2</v>
      </c>
      <c r="Q14" s="1487">
        <f t="shared" si="32"/>
        <v>1.89E-2</v>
      </c>
      <c r="R14" s="1476"/>
      <c r="X14" s="1461">
        <f>ROUND(SUMPRODUCT(PRODUCT(1+N14:N$20)),4)</f>
        <v>1.0826</v>
      </c>
      <c r="Y14" s="1461">
        <f>ROUND(SUMPRODUCT(PRODUCT(1+O14:O$20)),4)</f>
        <v>1.0738000000000001</v>
      </c>
      <c r="Z14" s="1461">
        <f t="shared" si="0"/>
        <v>1.0738000000000001</v>
      </c>
      <c r="AA14" s="1461">
        <f>ROUND(SUMPRODUCT(PRODUCT(1+P14:P$20)),4)</f>
        <v>1.0855999999999999</v>
      </c>
      <c r="AB14" s="1461">
        <f>ROUND(SUMPRODUCT(PRODUCT(1+Q14:Q$20)),4)</f>
        <v>1.0837000000000001</v>
      </c>
      <c r="AD14" s="1462">
        <f>ROUND(AVERAGE(I14:I$21)/100,4)</f>
        <v>1.37E-2</v>
      </c>
      <c r="AE14" s="1462">
        <f>ROUND(AVERAGE(J14:J$21)/100,4)</f>
        <v>1.1900000000000001E-2</v>
      </c>
      <c r="AF14" s="1462">
        <f t="shared" si="1"/>
        <v>1.1900000000000001E-2</v>
      </c>
      <c r="AG14" s="1462">
        <f>ROUND(AVERAGE(K14:K$21)/100,4)</f>
        <v>1.4500000000000001E-2</v>
      </c>
      <c r="AH14" s="1462">
        <f>ROUND(AVERAGE(L14:L$21)/100,4)</f>
        <v>1.18E-2</v>
      </c>
    </row>
    <row r="15" spans="1:34">
      <c r="A15" s="1463" t="s">
        <v>150</v>
      </c>
      <c r="B15" s="1479">
        <f t="shared" ref="B15:C17" si="38">B14/(1+N14)</f>
        <v>327.65915576109415</v>
      </c>
      <c r="C15" s="1479">
        <f t="shared" si="38"/>
        <v>273.95905449510434</v>
      </c>
      <c r="D15" s="1479">
        <f t="shared" si="35"/>
        <v>273.95905449510434</v>
      </c>
      <c r="E15" s="1479">
        <f t="shared" ref="E15:F17" si="39">E14/(1+P14)</f>
        <v>451.01699911565294</v>
      </c>
      <c r="F15" s="1479">
        <f t="shared" si="39"/>
        <v>244.38119540681129</v>
      </c>
      <c r="G15" s="3268"/>
      <c r="H15" s="1489">
        <v>3</v>
      </c>
      <c r="I15" s="1489">
        <v>1.65</v>
      </c>
      <c r="J15" s="1489">
        <v>0.92</v>
      </c>
      <c r="K15" s="1489">
        <v>1.88</v>
      </c>
      <c r="L15" s="1490">
        <v>1.26</v>
      </c>
      <c r="N15" s="1474">
        <f t="shared" si="37"/>
        <v>1.6500000000000001E-2</v>
      </c>
      <c r="O15" s="1491">
        <f t="shared" si="32"/>
        <v>9.1999999999999998E-3</v>
      </c>
      <c r="P15" s="1491">
        <f t="shared" si="32"/>
        <v>1.8799999999999997E-2</v>
      </c>
      <c r="Q15" s="1491">
        <f t="shared" si="32"/>
        <v>1.26E-2</v>
      </c>
      <c r="R15" s="1476"/>
      <c r="S15" s="1474"/>
      <c r="T15" s="1475"/>
      <c r="U15" s="1475"/>
      <c r="V15" s="1475"/>
      <c r="X15" s="1461">
        <f>ROUND(SUMPRODUCT(PRODUCT(1+N15:N$20)),4)</f>
        <v>1.0651999999999999</v>
      </c>
      <c r="Y15" s="1461">
        <f>ROUND(SUMPRODUCT(PRODUCT(1+O15:O$20)),4)</f>
        <v>1.0621</v>
      </c>
      <c r="Z15" s="1461">
        <f t="shared" si="0"/>
        <v>1.0621</v>
      </c>
      <c r="AA15" s="1461">
        <f>ROUND(SUMPRODUCT(PRODUCT(1+P15:P$20)),4)</f>
        <v>1.0668</v>
      </c>
      <c r="AB15" s="1461">
        <f>ROUND(SUMPRODUCT(PRODUCT(1+Q15:Q$20)),4)</f>
        <v>1.0636000000000001</v>
      </c>
      <c r="AD15" s="1462">
        <f>ROUND(AVERAGE(I15:I$21)/100,4)</f>
        <v>1.3299999999999999E-2</v>
      </c>
      <c r="AE15" s="1462">
        <f>ROUND(AVERAGE(J15:J$21)/100,4)</f>
        <v>1.2E-2</v>
      </c>
      <c r="AF15" s="1462">
        <f t="shared" si="1"/>
        <v>1.2E-2</v>
      </c>
      <c r="AG15" s="1462">
        <f>ROUND(AVERAGE(K15:K$21)/100,4)</f>
        <v>1.4E-2</v>
      </c>
      <c r="AH15" s="1462">
        <f>ROUND(AVERAGE(L15:L$21)/100,4)</f>
        <v>1.0800000000000001E-2</v>
      </c>
    </row>
    <row r="16" spans="1:34">
      <c r="A16" s="1463" t="s">
        <v>149</v>
      </c>
      <c r="B16" s="1479">
        <f t="shared" si="38"/>
        <v>322.34053690220776</v>
      </c>
      <c r="C16" s="1479">
        <f t="shared" si="38"/>
        <v>271.46160770422546</v>
      </c>
      <c r="D16" s="1479">
        <f t="shared" si="35"/>
        <v>271.46160770422546</v>
      </c>
      <c r="E16" s="1479">
        <f t="shared" si="39"/>
        <v>442.69434542172456</v>
      </c>
      <c r="F16" s="1479">
        <f t="shared" si="39"/>
        <v>241.34030753190925</v>
      </c>
      <c r="G16" s="3268"/>
      <c r="H16" s="1467">
        <v>2</v>
      </c>
      <c r="I16" s="1467">
        <v>0.77</v>
      </c>
      <c r="J16" s="1467">
        <v>0.69</v>
      </c>
      <c r="K16" s="1467">
        <v>0.8</v>
      </c>
      <c r="L16" s="1481">
        <v>0.88</v>
      </c>
      <c r="N16" s="1474">
        <f t="shared" si="37"/>
        <v>7.7000000000000002E-3</v>
      </c>
      <c r="O16" s="1491">
        <f t="shared" si="32"/>
        <v>6.8999999999999999E-3</v>
      </c>
      <c r="P16" s="1491">
        <f t="shared" si="32"/>
        <v>8.0000000000000002E-3</v>
      </c>
      <c r="Q16" s="1491">
        <f t="shared" si="32"/>
        <v>8.8000000000000005E-3</v>
      </c>
      <c r="R16" s="1476"/>
      <c r="S16" s="1474"/>
      <c r="T16" s="1475"/>
      <c r="U16" s="1475"/>
      <c r="V16" s="1475"/>
      <c r="X16" s="1461">
        <f>ROUND(SUMPRODUCT(PRODUCT(1+N16:N$20)),4)</f>
        <v>1.048</v>
      </c>
      <c r="Y16" s="1461">
        <f>ROUND(SUMPRODUCT(PRODUCT(1+O16:O$20)),4)</f>
        <v>1.0524</v>
      </c>
      <c r="Z16" s="1461">
        <f t="shared" si="0"/>
        <v>1.0524</v>
      </c>
      <c r="AA16" s="1461">
        <f>ROUND(SUMPRODUCT(PRODUCT(1+P16:P$20)),4)</f>
        <v>1.0470999999999999</v>
      </c>
      <c r="AB16" s="1461">
        <f>ROUND(SUMPRODUCT(PRODUCT(1+Q16:Q$20)),4)</f>
        <v>1.0504</v>
      </c>
      <c r="AD16" s="1462">
        <f>ROUND(AVERAGE(I16:I$21)/100,4)</f>
        <v>1.2800000000000001E-2</v>
      </c>
      <c r="AE16" s="1462">
        <f>ROUND(AVERAGE(J16:J$21)/100,4)</f>
        <v>1.2500000000000001E-2</v>
      </c>
      <c r="AF16" s="1462">
        <f t="shared" si="1"/>
        <v>1.2500000000000001E-2</v>
      </c>
      <c r="AG16" s="1462">
        <f>ROUND(AVERAGE(K16:K$21)/100,4)</f>
        <v>1.32E-2</v>
      </c>
      <c r="AH16" s="1462">
        <f>ROUND(AVERAGE(L16:L$21)/100,4)</f>
        <v>1.0500000000000001E-2</v>
      </c>
    </row>
    <row r="17" spans="1:34">
      <c r="A17" s="1463" t="s">
        <v>148</v>
      </c>
      <c r="B17" s="1479">
        <f t="shared" si="38"/>
        <v>319.87748030386797</v>
      </c>
      <c r="C17" s="1479">
        <f t="shared" si="38"/>
        <v>269.60135833173649</v>
      </c>
      <c r="D17" s="1479">
        <f t="shared" si="35"/>
        <v>269.60135833173649</v>
      </c>
      <c r="E17" s="1479">
        <f t="shared" si="39"/>
        <v>439.18089823583784</v>
      </c>
      <c r="F17" s="1479">
        <f t="shared" si="39"/>
        <v>239.23503918706311</v>
      </c>
      <c r="G17" s="3269"/>
      <c r="H17" s="1466">
        <v>1</v>
      </c>
      <c r="I17" s="1466">
        <v>0.51</v>
      </c>
      <c r="J17" s="1466">
        <v>0.54</v>
      </c>
      <c r="K17" s="1466">
        <v>0.48</v>
      </c>
      <c r="L17" s="1480">
        <v>0.93</v>
      </c>
      <c r="N17" s="1482">
        <f t="shared" si="37"/>
        <v>5.1000000000000004E-3</v>
      </c>
      <c r="O17" s="1483">
        <f t="shared" si="32"/>
        <v>5.4000000000000003E-3</v>
      </c>
      <c r="P17" s="1483">
        <f t="shared" si="32"/>
        <v>4.7999999999999996E-3</v>
      </c>
      <c r="Q17" s="1483">
        <f t="shared" si="32"/>
        <v>9.300000000000001E-3</v>
      </c>
      <c r="R17" s="1476"/>
      <c r="S17" s="1482">
        <f>B17/B18-1</f>
        <v>5.9040261127922822E-3</v>
      </c>
      <c r="T17" s="1483">
        <f>C17/C18-1</f>
        <v>5.9752176557332781E-3</v>
      </c>
      <c r="U17" s="1483">
        <f>E17/E18-1</f>
        <v>4.9906138119859556E-3</v>
      </c>
      <c r="V17" s="1483">
        <f>F17/F18-1</f>
        <v>9.4305450930933787E-3</v>
      </c>
      <c r="X17" s="1461">
        <f>ROUND(SUMPRODUCT(PRODUCT(1+N17:N$20)),4)</f>
        <v>1.0399</v>
      </c>
      <c r="Y17" s="1461">
        <f>ROUND(SUMPRODUCT(PRODUCT(1+O17:O$20)),4)</f>
        <v>1.0451999999999999</v>
      </c>
      <c r="Z17" s="1461">
        <f t="shared" si="0"/>
        <v>1.0451999999999999</v>
      </c>
      <c r="AA17" s="1461">
        <f>ROUND(SUMPRODUCT(PRODUCT(1+P17:P$20)),4)</f>
        <v>1.0387999999999999</v>
      </c>
      <c r="AB17" s="1461">
        <f>ROUND(SUMPRODUCT(PRODUCT(1+Q17:Q$20)),4)</f>
        <v>1.0411999999999999</v>
      </c>
      <c r="AD17" s="1462">
        <f>ROUND(AVERAGE(I17:I$21)/100,4)</f>
        <v>1.38E-2</v>
      </c>
      <c r="AE17" s="1462">
        <f>ROUND(AVERAGE(J17:J$21)/100,4)</f>
        <v>1.3599999999999999E-2</v>
      </c>
      <c r="AF17" s="1462">
        <f t="shared" si="1"/>
        <v>1.3599999999999999E-2</v>
      </c>
      <c r="AG17" s="1462">
        <f>ROUND(AVERAGE(K17:K$21)/100,4)</f>
        <v>1.4200000000000001E-2</v>
      </c>
      <c r="AH17" s="1462">
        <f>ROUND(AVERAGE(L17:L$21)/100,4)</f>
        <v>1.0800000000000001E-2</v>
      </c>
    </row>
    <row r="18" spans="1:34" ht="13.5" thickBot="1">
      <c r="A18" s="1463" t="s">
        <v>147</v>
      </c>
      <c r="B18" s="1492">
        <v>318</v>
      </c>
      <c r="C18" s="1492">
        <v>268</v>
      </c>
      <c r="D18" s="1492">
        <f t="shared" si="35"/>
        <v>268</v>
      </c>
      <c r="E18" s="1492">
        <v>437</v>
      </c>
      <c r="F18" s="1493">
        <v>237</v>
      </c>
      <c r="G18" s="3267">
        <v>2014</v>
      </c>
      <c r="H18" s="1484">
        <v>4</v>
      </c>
      <c r="I18" s="1484">
        <v>0.21</v>
      </c>
      <c r="J18" s="1484">
        <v>0.41</v>
      </c>
      <c r="K18" s="1484">
        <v>0.12</v>
      </c>
      <c r="L18" s="1485">
        <v>0.89</v>
      </c>
      <c r="N18" s="1474">
        <f t="shared" si="37"/>
        <v>2.0999999999999999E-3</v>
      </c>
      <c r="O18" s="1475">
        <f t="shared" si="32"/>
        <v>4.0999999999999995E-3</v>
      </c>
      <c r="P18" s="1475">
        <f t="shared" si="32"/>
        <v>1.1999999999999999E-3</v>
      </c>
      <c r="Q18" s="1475">
        <f t="shared" si="32"/>
        <v>8.8999999999999999E-3</v>
      </c>
      <c r="R18" s="1476"/>
      <c r="S18" s="1477"/>
      <c r="T18" s="1478"/>
      <c r="U18" s="1478"/>
      <c r="V18" s="1478"/>
      <c r="X18" s="1461">
        <f>ROUND(SUMPRODUCT(PRODUCT(1+N18:N$20)),4)</f>
        <v>1.0347</v>
      </c>
      <c r="Y18" s="1461">
        <f>ROUND(SUMPRODUCT(PRODUCT(1+O18:O$20)),4)</f>
        <v>1.0395000000000001</v>
      </c>
      <c r="Z18" s="1461">
        <f t="shared" si="0"/>
        <v>1.0395000000000001</v>
      </c>
      <c r="AA18" s="1461">
        <f>ROUND(SUMPRODUCT(PRODUCT(1+P18:P$20)),4)</f>
        <v>1.0338000000000001</v>
      </c>
      <c r="AB18" s="1461">
        <f>ROUND(SUMPRODUCT(PRODUCT(1+Q18:Q$20)),4)</f>
        <v>1.0316000000000001</v>
      </c>
      <c r="AD18" s="1462">
        <f>ROUND(AVERAGE(I18:I$21)/100,4)</f>
        <v>1.6E-2</v>
      </c>
      <c r="AE18" s="1462">
        <f>ROUND(AVERAGE(J18:J$21)/100,4)</f>
        <v>1.5599999999999999E-2</v>
      </c>
      <c r="AF18" s="1462">
        <f t="shared" si="1"/>
        <v>1.5599999999999999E-2</v>
      </c>
      <c r="AG18" s="1462">
        <f>ROUND(AVERAGE(K18:K$21)/100,4)</f>
        <v>1.66E-2</v>
      </c>
      <c r="AH18" s="1462">
        <f>ROUND(AVERAGE(L18:L$21)/100,4)</f>
        <v>1.12E-2</v>
      </c>
    </row>
    <row r="19" spans="1:34">
      <c r="A19" s="1463" t="s">
        <v>146</v>
      </c>
      <c r="B19" s="1479">
        <f t="shared" ref="B19:C21" si="40">B18/(1+N18)</f>
        <v>317.33359944117353</v>
      </c>
      <c r="C19" s="1479">
        <f t="shared" si="40"/>
        <v>266.90568668459315</v>
      </c>
      <c r="D19" s="1479">
        <f t="shared" si="35"/>
        <v>266.90568668459315</v>
      </c>
      <c r="E19" s="1479">
        <f t="shared" ref="E19:F21" si="41">E18/(1+P18)</f>
        <v>436.47622852576905</v>
      </c>
      <c r="F19" s="1479">
        <f t="shared" si="41"/>
        <v>234.90930716622066</v>
      </c>
      <c r="G19" s="3268"/>
      <c r="H19" s="1494">
        <v>3</v>
      </c>
      <c r="I19" s="1494">
        <v>0.83</v>
      </c>
      <c r="J19" s="1494">
        <v>1.47</v>
      </c>
      <c r="K19" s="1494">
        <v>0.65</v>
      </c>
      <c r="L19" s="1495">
        <v>0.72</v>
      </c>
      <c r="N19" s="1474">
        <f t="shared" si="37"/>
        <v>8.3000000000000001E-3</v>
      </c>
      <c r="O19" s="1475">
        <f t="shared" si="32"/>
        <v>1.47E-2</v>
      </c>
      <c r="P19" s="1475">
        <f t="shared" si="32"/>
        <v>6.5000000000000006E-3</v>
      </c>
      <c r="Q19" s="1475">
        <f t="shared" si="32"/>
        <v>7.1999999999999998E-3</v>
      </c>
      <c r="R19" s="1476"/>
      <c r="S19" s="1474"/>
      <c r="T19" s="1475"/>
      <c r="U19" s="1475"/>
      <c r="V19" s="1475"/>
      <c r="X19" s="1461">
        <f>ROUND(SUMPRODUCT(PRODUCT(1+N19:N$20)),4)</f>
        <v>1.0325</v>
      </c>
      <c r="Y19" s="1461">
        <f>ROUND(SUMPRODUCT(PRODUCT(1+O19:O$20)),4)</f>
        <v>1.0353000000000001</v>
      </c>
      <c r="Z19" s="1461">
        <f t="shared" ref="Z19:Z20" si="42">Y19</f>
        <v>1.0353000000000001</v>
      </c>
      <c r="AA19" s="1461">
        <f>ROUND(SUMPRODUCT(PRODUCT(1+P19:P$20)),4)</f>
        <v>1.0326</v>
      </c>
      <c r="AB19" s="1461">
        <f>ROUND(SUMPRODUCT(PRODUCT(1+Q19:Q$20)),4)</f>
        <v>1.0225</v>
      </c>
      <c r="AD19" s="1462">
        <f>ROUND(AVERAGE(I19:I$21)/100,4)</f>
        <v>2.07E-2</v>
      </c>
      <c r="AE19" s="1462">
        <f>ROUND(AVERAGE(J19:J$21)/100,4)</f>
        <v>1.95E-2</v>
      </c>
      <c r="AF19" s="1462">
        <f t="shared" si="1"/>
        <v>1.95E-2</v>
      </c>
      <c r="AG19" s="1462">
        <f>ROUND(AVERAGE(K19:K$21)/100,4)</f>
        <v>2.1700000000000001E-2</v>
      </c>
      <c r="AH19" s="1462">
        <f>ROUND(AVERAGE(L19:L$21)/100,4)</f>
        <v>1.2E-2</v>
      </c>
    </row>
    <row r="20" spans="1:34" ht="13.5" thickBot="1">
      <c r="A20" s="1463" t="s">
        <v>145</v>
      </c>
      <c r="B20" s="1479">
        <f t="shared" si="40"/>
        <v>314.72141172386546</v>
      </c>
      <c r="C20" s="1479">
        <f t="shared" si="40"/>
        <v>263.03901319069001</v>
      </c>
      <c r="D20" s="1479">
        <f t="shared" si="35"/>
        <v>263.03901319069001</v>
      </c>
      <c r="E20" s="1479">
        <f t="shared" si="41"/>
        <v>433.65745506782821</v>
      </c>
      <c r="F20" s="1479">
        <f t="shared" si="41"/>
        <v>233.23005080045735</v>
      </c>
      <c r="G20" s="3268"/>
      <c r="H20" s="1484">
        <v>2</v>
      </c>
      <c r="I20" s="1484">
        <v>2.4</v>
      </c>
      <c r="J20" s="1484">
        <v>2.0299999999999998</v>
      </c>
      <c r="K20" s="1484">
        <v>2.59</v>
      </c>
      <c r="L20" s="1485">
        <v>1.52</v>
      </c>
      <c r="N20" s="1474">
        <f t="shared" si="37"/>
        <v>2.4E-2</v>
      </c>
      <c r="O20" s="1475">
        <f t="shared" si="32"/>
        <v>2.0299999999999999E-2</v>
      </c>
      <c r="P20" s="1475">
        <f t="shared" si="32"/>
        <v>2.5899999999999999E-2</v>
      </c>
      <c r="Q20" s="1475">
        <f t="shared" si="32"/>
        <v>1.52E-2</v>
      </c>
      <c r="R20" s="1476"/>
      <c r="S20" s="1474"/>
      <c r="T20" s="1475"/>
      <c r="U20" s="1475"/>
      <c r="V20" s="1475"/>
      <c r="X20" s="1461">
        <f>1+N20</f>
        <v>1.024</v>
      </c>
      <c r="Y20" s="1461">
        <f>1+O20</f>
        <v>1.0203</v>
      </c>
      <c r="Z20" s="1461">
        <f t="shared" si="42"/>
        <v>1.0203</v>
      </c>
      <c r="AA20" s="1461">
        <f>1+P20</f>
        <v>1.0259</v>
      </c>
      <c r="AB20" s="1461">
        <f>1+Q20</f>
        <v>1.0152000000000001</v>
      </c>
      <c r="AD20" s="1462">
        <f>ROUND(AVERAGE(I20:I$21)/100,4)</f>
        <v>2.69E-2</v>
      </c>
      <c r="AE20" s="1462">
        <f>ROUND(AVERAGE(J20:J$21)/100,4)</f>
        <v>2.1899999999999999E-2</v>
      </c>
      <c r="AF20" s="1462">
        <f t="shared" ref="AF20" si="43">AE20</f>
        <v>2.1899999999999999E-2</v>
      </c>
      <c r="AG20" s="1462">
        <f>ROUND(AVERAGE(K20:K$21)/100,4)</f>
        <v>2.9399999999999999E-2</v>
      </c>
      <c r="AH20" s="1462">
        <f>ROUND(AVERAGE(L20:L$21)/100,4)</f>
        <v>1.44E-2</v>
      </c>
    </row>
    <row r="21" spans="1:34" s="1500" customFormat="1" ht="13.5" thickBot="1">
      <c r="A21" s="1496" t="s">
        <v>144</v>
      </c>
      <c r="B21" s="1497">
        <f t="shared" si="40"/>
        <v>307.34512863658733</v>
      </c>
      <c r="C21" s="1497">
        <f t="shared" si="40"/>
        <v>257.80556031626975</v>
      </c>
      <c r="D21" s="1497">
        <f t="shared" si="35"/>
        <v>257.80556031626975</v>
      </c>
      <c r="E21" s="1497">
        <f t="shared" si="41"/>
        <v>422.70928459677179</v>
      </c>
      <c r="F21" s="1497">
        <f t="shared" si="41"/>
        <v>229.73803270336617</v>
      </c>
      <c r="G21" s="3269"/>
      <c r="H21" s="1498">
        <v>1</v>
      </c>
      <c r="I21" s="1498">
        <v>2.97</v>
      </c>
      <c r="J21" s="1498">
        <v>2.34</v>
      </c>
      <c r="K21" s="1498">
        <v>3.28</v>
      </c>
      <c r="L21" s="1499">
        <v>1.36</v>
      </c>
      <c r="N21" s="1501">
        <f t="shared" si="37"/>
        <v>2.9700000000000001E-2</v>
      </c>
      <c r="O21" s="1502">
        <f t="shared" si="32"/>
        <v>2.3399999999999997E-2</v>
      </c>
      <c r="P21" s="1502">
        <f t="shared" si="32"/>
        <v>3.2799999999999996E-2</v>
      </c>
      <c r="Q21" s="1502">
        <f t="shared" si="32"/>
        <v>1.3600000000000001E-2</v>
      </c>
      <c r="R21" s="1503"/>
      <c r="S21" s="1504">
        <f>B21/B22-1</f>
        <v>2.7910129219355539E-2</v>
      </c>
      <c r="T21" s="1505">
        <f>C21/C22-1</f>
        <v>2.3037937762975247E-2</v>
      </c>
      <c r="U21" s="1505">
        <f>E21/E22-1</f>
        <v>3.3519033243940788E-2</v>
      </c>
      <c r="V21" s="1505">
        <f>F21/F22-1</f>
        <v>1.2061818076502862E-2</v>
      </c>
      <c r="W21" s="1506" t="s">
        <v>1162</v>
      </c>
      <c r="X21" s="1507">
        <v>1</v>
      </c>
      <c r="Y21" s="1507">
        <v>1</v>
      </c>
      <c r="Z21" s="1507">
        <v>1</v>
      </c>
      <c r="AA21" s="1507">
        <v>1</v>
      </c>
      <c r="AB21" s="1507">
        <v>1</v>
      </c>
      <c r="AD21" s="1729">
        <f>I21/100</f>
        <v>2.9700000000000001E-2</v>
      </c>
      <c r="AE21" s="1729">
        <f>J21/100</f>
        <v>2.3399999999999997E-2</v>
      </c>
      <c r="AF21" s="1729">
        <f>AE21</f>
        <v>2.3399999999999997E-2</v>
      </c>
      <c r="AG21" s="1729">
        <f>K21/100</f>
        <v>3.2799999999999996E-2</v>
      </c>
      <c r="AH21" s="1729">
        <f>L21/100</f>
        <v>1.3600000000000001E-2</v>
      </c>
    </row>
    <row r="22" spans="1:34" ht="13.5" thickBot="1">
      <c r="A22" s="1463" t="s">
        <v>1163</v>
      </c>
      <c r="B22" s="1471">
        <v>299</v>
      </c>
      <c r="C22" s="1471">
        <v>252</v>
      </c>
      <c r="D22" s="1471">
        <f t="shared" si="35"/>
        <v>252</v>
      </c>
      <c r="E22" s="1471">
        <v>409</v>
      </c>
      <c r="F22" s="1472">
        <v>227</v>
      </c>
      <c r="G22" s="3272">
        <v>2013</v>
      </c>
      <c r="H22" s="1508">
        <v>4</v>
      </c>
      <c r="I22" s="1508">
        <v>1.83</v>
      </c>
      <c r="J22" s="1508">
        <v>1.68</v>
      </c>
      <c r="K22" s="1508">
        <v>1.97</v>
      </c>
      <c r="L22" s="1509">
        <v>0.87</v>
      </c>
      <c r="N22" s="1486">
        <f t="shared" si="37"/>
        <v>1.83E-2</v>
      </c>
      <c r="O22" s="1487">
        <f t="shared" si="32"/>
        <v>1.6799999999999999E-2</v>
      </c>
      <c r="P22" s="1487">
        <f t="shared" si="32"/>
        <v>1.9699999999999999E-2</v>
      </c>
      <c r="Q22" s="1487">
        <f t="shared" si="32"/>
        <v>8.6999999999999994E-3</v>
      </c>
      <c r="R22" s="1476"/>
      <c r="S22" s="1477"/>
      <c r="T22" s="1478"/>
      <c r="U22" s="1478"/>
      <c r="V22" s="1478"/>
      <c r="X22" s="1478"/>
      <c r="Y22" s="1478"/>
      <c r="Z22" s="1478"/>
    </row>
    <row r="23" spans="1:34">
      <c r="A23" s="1463" t="s">
        <v>1164</v>
      </c>
      <c r="B23" s="1479">
        <f t="shared" ref="B23:C25" si="44">B22/(1+N22)</f>
        <v>293.62663262299913</v>
      </c>
      <c r="C23" s="1479">
        <f t="shared" si="44"/>
        <v>247.83634933123525</v>
      </c>
      <c r="D23" s="1479">
        <f t="shared" si="35"/>
        <v>247.83634933123525</v>
      </c>
      <c r="E23" s="1479">
        <f t="shared" ref="E23:F25" si="45">E22/(1+P22)</f>
        <v>401.09836226341076</v>
      </c>
      <c r="F23" s="1479">
        <f t="shared" si="45"/>
        <v>225.04213343908003</v>
      </c>
      <c r="G23" s="3273"/>
      <c r="H23" s="1489">
        <v>3</v>
      </c>
      <c r="I23" s="1489">
        <v>1.86</v>
      </c>
      <c r="J23" s="1489">
        <v>1.72</v>
      </c>
      <c r="K23" s="1489">
        <v>1.98</v>
      </c>
      <c r="L23" s="1490">
        <v>0.88</v>
      </c>
      <c r="N23" s="1474">
        <f t="shared" si="37"/>
        <v>1.8600000000000002E-2</v>
      </c>
      <c r="O23" s="1491">
        <f t="shared" si="32"/>
        <v>1.72E-2</v>
      </c>
      <c r="P23" s="1491">
        <f t="shared" si="32"/>
        <v>1.9799999999999998E-2</v>
      </c>
      <c r="Q23" s="1491">
        <f t="shared" si="32"/>
        <v>8.8000000000000005E-3</v>
      </c>
      <c r="R23" s="1476"/>
      <c r="S23" s="1474"/>
      <c r="T23" s="1475"/>
      <c r="U23" s="1475"/>
      <c r="V23" s="1475"/>
    </row>
    <row r="24" spans="1:34">
      <c r="A24" s="1463" t="s">
        <v>1165</v>
      </c>
      <c r="B24" s="1479">
        <f t="shared" si="44"/>
        <v>288.2649053828776</v>
      </c>
      <c r="C24" s="1479">
        <f t="shared" si="44"/>
        <v>243.64564425013293</v>
      </c>
      <c r="D24" s="1479">
        <f t="shared" si="35"/>
        <v>243.64564425013293</v>
      </c>
      <c r="E24" s="1479">
        <f t="shared" si="45"/>
        <v>393.31080825986544</v>
      </c>
      <c r="F24" s="1479">
        <f t="shared" si="45"/>
        <v>223.07903790551154</v>
      </c>
      <c r="G24" s="3273"/>
      <c r="H24" s="1467">
        <v>2</v>
      </c>
      <c r="I24" s="1467">
        <v>2.04</v>
      </c>
      <c r="J24" s="1467">
        <v>2.33</v>
      </c>
      <c r="K24" s="1467">
        <v>2.0699999999999998</v>
      </c>
      <c r="L24" s="1481">
        <v>0.69</v>
      </c>
      <c r="N24" s="1474">
        <f t="shared" si="37"/>
        <v>2.0400000000000001E-2</v>
      </c>
      <c r="O24" s="1491">
        <f t="shared" si="32"/>
        <v>2.3300000000000001E-2</v>
      </c>
      <c r="P24" s="1491">
        <f t="shared" si="32"/>
        <v>2.07E-2</v>
      </c>
      <c r="Q24" s="1491">
        <f t="shared" si="32"/>
        <v>6.8999999999999999E-3</v>
      </c>
      <c r="R24" s="1476"/>
      <c r="S24" s="1474"/>
      <c r="T24" s="1475"/>
      <c r="U24" s="1475"/>
      <c r="V24" s="1475"/>
      <c r="X24" s="1510"/>
      <c r="Y24" s="1511"/>
    </row>
    <row r="25" spans="1:34">
      <c r="A25" s="1463" t="s">
        <v>1166</v>
      </c>
      <c r="B25" s="1479">
        <f t="shared" si="44"/>
        <v>282.50186729015837</v>
      </c>
      <c r="C25" s="1479">
        <f t="shared" si="44"/>
        <v>238.09796174155468</v>
      </c>
      <c r="D25" s="1479">
        <f t="shared" si="35"/>
        <v>238.09796174155468</v>
      </c>
      <c r="E25" s="1479">
        <f t="shared" si="45"/>
        <v>385.33438646014054</v>
      </c>
      <c r="F25" s="1479">
        <f t="shared" si="45"/>
        <v>221.55034055567739</v>
      </c>
      <c r="G25" s="3274"/>
      <c r="H25" s="1466">
        <v>1</v>
      </c>
      <c r="I25" s="1466">
        <v>1.67</v>
      </c>
      <c r="J25" s="1466">
        <v>1.31</v>
      </c>
      <c r="K25" s="1466">
        <v>1.85</v>
      </c>
      <c r="L25" s="1480">
        <v>0.96</v>
      </c>
      <c r="N25" s="1482">
        <f t="shared" si="37"/>
        <v>1.67E-2</v>
      </c>
      <c r="O25" s="1483">
        <f t="shared" si="37"/>
        <v>1.3100000000000001E-2</v>
      </c>
      <c r="P25" s="1483">
        <f t="shared" si="37"/>
        <v>1.8500000000000003E-2</v>
      </c>
      <c r="Q25" s="1483">
        <f t="shared" si="37"/>
        <v>9.5999999999999992E-3</v>
      </c>
      <c r="R25" s="1476"/>
      <c r="S25" s="1482">
        <f>B25/B26-1</f>
        <v>1.6193767230785472E-2</v>
      </c>
      <c r="T25" s="1483">
        <f>C25/C26-1</f>
        <v>1.7512657015190891E-2</v>
      </c>
      <c r="U25" s="1483">
        <f>E25/E26-1</f>
        <v>1.6713420739157048E-2</v>
      </c>
      <c r="V25" s="1483">
        <f>F25/F26-1</f>
        <v>7.0470025258062563E-3</v>
      </c>
      <c r="X25" s="1512"/>
      <c r="Y25" s="1462"/>
      <c r="Z25" s="1462"/>
    </row>
    <row r="26" spans="1:34" ht="13.5" thickBot="1">
      <c r="A26" s="1463" t="s">
        <v>1167</v>
      </c>
      <c r="B26" s="1513">
        <v>278</v>
      </c>
      <c r="C26" s="1513">
        <v>234</v>
      </c>
      <c r="D26" s="1513">
        <f t="shared" si="35"/>
        <v>234</v>
      </c>
      <c r="E26" s="1513">
        <v>379</v>
      </c>
      <c r="F26" s="1514">
        <v>220</v>
      </c>
      <c r="G26" s="3267">
        <v>2012</v>
      </c>
      <c r="H26" s="1484">
        <v>4</v>
      </c>
      <c r="I26" s="1484">
        <v>0.91</v>
      </c>
      <c r="J26" s="1484">
        <v>0.68</v>
      </c>
      <c r="K26" s="1484">
        <v>0.98</v>
      </c>
      <c r="L26" s="1485">
        <v>0.9</v>
      </c>
      <c r="N26" s="1474">
        <f t="shared" si="37"/>
        <v>9.1000000000000004E-3</v>
      </c>
      <c r="O26" s="1475">
        <f t="shared" si="37"/>
        <v>6.8000000000000005E-3</v>
      </c>
      <c r="P26" s="1475">
        <f t="shared" si="37"/>
        <v>9.7999999999999997E-3</v>
      </c>
      <c r="Q26" s="1475">
        <f t="shared" si="37"/>
        <v>9.0000000000000011E-3</v>
      </c>
      <c r="R26" s="1476"/>
      <c r="S26" s="1477"/>
      <c r="T26" s="1478"/>
      <c r="U26" s="1478"/>
      <c r="V26" s="1478"/>
      <c r="X26" s="1478"/>
      <c r="Y26" s="1478"/>
      <c r="Z26" s="1478"/>
    </row>
    <row r="27" spans="1:34">
      <c r="A27" s="1463" t="s">
        <v>1168</v>
      </c>
      <c r="B27" s="1479">
        <f>B26/(1+N26)</f>
        <v>275.49301357645425</v>
      </c>
      <c r="C27" s="1479">
        <f>C26/(1+O26)</f>
        <v>232.41954707985698</v>
      </c>
      <c r="D27" s="1479">
        <f t="shared" si="35"/>
        <v>232.41954707985698</v>
      </c>
      <c r="E27" s="1479">
        <f t="shared" ref="E27:F29" si="46">E26/(1+P26)</f>
        <v>375.32184591008121</v>
      </c>
      <c r="F27" s="1479">
        <f t="shared" si="46"/>
        <v>218.03766105054513</v>
      </c>
      <c r="G27" s="3268"/>
      <c r="H27" s="1489">
        <v>3</v>
      </c>
      <c r="I27" s="1489">
        <v>0.09</v>
      </c>
      <c r="J27" s="1489">
        <v>0.28999999999999998</v>
      </c>
      <c r="K27" s="1489">
        <v>-0.01</v>
      </c>
      <c r="L27" s="1490">
        <v>0.57999999999999996</v>
      </c>
      <c r="N27" s="1474">
        <f t="shared" si="37"/>
        <v>8.9999999999999998E-4</v>
      </c>
      <c r="O27" s="1475">
        <f t="shared" si="37"/>
        <v>2.8999999999999998E-3</v>
      </c>
      <c r="P27" s="1475">
        <f t="shared" si="37"/>
        <v>-1E-4</v>
      </c>
      <c r="Q27" s="1475">
        <f t="shared" si="37"/>
        <v>5.7999999999999996E-3</v>
      </c>
      <c r="R27" s="1476"/>
      <c r="S27" s="1474"/>
      <c r="T27" s="1475"/>
      <c r="U27" s="1475"/>
      <c r="V27" s="1475"/>
    </row>
    <row r="28" spans="1:34">
      <c r="A28" s="1463" t="s">
        <v>1169</v>
      </c>
      <c r="B28" s="1479">
        <f>B27/(1+N27)</f>
        <v>275.24529281292263</v>
      </c>
      <c r="C28" s="1479">
        <f>C27/(1+O27)</f>
        <v>231.74747938962707</v>
      </c>
      <c r="D28" s="1479">
        <f t="shared" si="35"/>
        <v>231.74747938962707</v>
      </c>
      <c r="E28" s="1479">
        <f t="shared" si="46"/>
        <v>375.35938184826603</v>
      </c>
      <c r="F28" s="1479">
        <f t="shared" si="46"/>
        <v>216.78033510692495</v>
      </c>
      <c r="G28" s="3268"/>
      <c r="H28" s="1467">
        <v>2</v>
      </c>
      <c r="I28" s="1467">
        <v>0.02</v>
      </c>
      <c r="J28" s="1467">
        <v>0.12</v>
      </c>
      <c r="K28" s="1467">
        <v>-0.08</v>
      </c>
      <c r="L28" s="1481">
        <v>1.24</v>
      </c>
      <c r="N28" s="1474">
        <f t="shared" si="37"/>
        <v>2.0000000000000001E-4</v>
      </c>
      <c r="O28" s="1475">
        <f t="shared" si="37"/>
        <v>1.1999999999999999E-3</v>
      </c>
      <c r="P28" s="1475">
        <f t="shared" si="37"/>
        <v>-8.0000000000000004E-4</v>
      </c>
      <c r="Q28" s="1475">
        <f t="shared" si="37"/>
        <v>1.24E-2</v>
      </c>
      <c r="R28" s="1476"/>
      <c r="S28" s="1474"/>
      <c r="T28" s="1475"/>
      <c r="U28" s="1475"/>
      <c r="V28" s="1475"/>
    </row>
    <row r="29" spans="1:34" ht="13.5" thickBot="1">
      <c r="A29" s="1463" t="s">
        <v>1170</v>
      </c>
      <c r="B29" s="1479">
        <f>B28/(1+N28)</f>
        <v>275.19025476197027</v>
      </c>
      <c r="C29" s="1515">
        <v>232</v>
      </c>
      <c r="D29" s="1515">
        <f t="shared" si="35"/>
        <v>232</v>
      </c>
      <c r="E29" s="1479">
        <f t="shared" si="46"/>
        <v>375.65990977608692</v>
      </c>
      <c r="F29" s="1479">
        <f t="shared" si="46"/>
        <v>214.12518283971252</v>
      </c>
      <c r="G29" s="3269"/>
      <c r="H29" s="1466">
        <v>1</v>
      </c>
      <c r="I29" s="1466">
        <v>0.02</v>
      </c>
      <c r="J29" s="1466">
        <v>0.13</v>
      </c>
      <c r="K29" s="1466">
        <v>-0.04</v>
      </c>
      <c r="L29" s="1480">
        <v>0.46</v>
      </c>
      <c r="N29" s="1474">
        <f t="shared" si="37"/>
        <v>2.0000000000000001E-4</v>
      </c>
      <c r="O29" s="1475">
        <f t="shared" si="37"/>
        <v>1.2999999999999999E-3</v>
      </c>
      <c r="P29" s="1475">
        <f t="shared" si="37"/>
        <v>-4.0000000000000002E-4</v>
      </c>
      <c r="Q29" s="1475">
        <f t="shared" si="37"/>
        <v>4.5999999999999999E-3</v>
      </c>
      <c r="R29" s="1476"/>
      <c r="S29" s="1482">
        <f>B29/B30-1</f>
        <v>6.9183549807361189E-4</v>
      </c>
      <c r="T29" s="1483">
        <f>C29/C30-1</f>
        <v>0</v>
      </c>
      <c r="U29" s="1483">
        <f>E29/E30-1</f>
        <v>-9.0449527636460303E-4</v>
      </c>
      <c r="V29" s="1483">
        <f>F29/F30-1</f>
        <v>5.2825485432512753E-3</v>
      </c>
      <c r="X29" s="1462"/>
      <c r="Y29" s="1462"/>
      <c r="Z29" s="1462"/>
    </row>
    <row r="30" spans="1:34" ht="13.5" thickBot="1">
      <c r="A30" s="1463" t="s">
        <v>1171</v>
      </c>
      <c r="B30" s="1471">
        <v>275</v>
      </c>
      <c r="C30" s="1471">
        <v>232</v>
      </c>
      <c r="D30" s="1471">
        <f t="shared" si="35"/>
        <v>232</v>
      </c>
      <c r="E30" s="1471">
        <v>376</v>
      </c>
      <c r="F30" s="1472">
        <v>213</v>
      </c>
      <c r="G30" s="3267">
        <v>2011</v>
      </c>
      <c r="H30" s="1484">
        <v>4</v>
      </c>
      <c r="I30" s="1484">
        <v>-0.2</v>
      </c>
      <c r="J30" s="1484">
        <v>0.04</v>
      </c>
      <c r="K30" s="1484">
        <v>-0.34</v>
      </c>
      <c r="L30" s="1485">
        <v>0.46</v>
      </c>
      <c r="N30" s="1486">
        <f t="shared" si="37"/>
        <v>-2E-3</v>
      </c>
      <c r="O30" s="1487">
        <f t="shared" si="37"/>
        <v>4.0000000000000002E-4</v>
      </c>
      <c r="P30" s="1487">
        <f t="shared" si="37"/>
        <v>-3.4000000000000002E-3</v>
      </c>
      <c r="Q30" s="1487">
        <f t="shared" si="37"/>
        <v>4.5999999999999999E-3</v>
      </c>
      <c r="R30" s="1476"/>
      <c r="S30" s="1477"/>
      <c r="T30" s="1478"/>
      <c r="U30" s="1478"/>
      <c r="V30" s="1478"/>
      <c r="X30" s="1478"/>
      <c r="Y30" s="1478"/>
      <c r="Z30" s="1478"/>
    </row>
    <row r="31" spans="1:34">
      <c r="A31" s="1463" t="s">
        <v>1172</v>
      </c>
      <c r="B31" s="1479">
        <f t="shared" ref="B31:C33" si="47">B30/(1+N30)</f>
        <v>275.55110220440883</v>
      </c>
      <c r="C31" s="1479">
        <f t="shared" si="47"/>
        <v>231.90723710515795</v>
      </c>
      <c r="D31" s="1479">
        <f t="shared" si="35"/>
        <v>231.90723710515795</v>
      </c>
      <c r="E31" s="1479">
        <f t="shared" ref="E31:F33" si="48">E30/(1+P30)</f>
        <v>377.28276138872161</v>
      </c>
      <c r="F31" s="1479">
        <f t="shared" si="48"/>
        <v>212.02468644236512</v>
      </c>
      <c r="G31" s="3268">
        <v>2011</v>
      </c>
      <c r="H31" s="1489">
        <v>3</v>
      </c>
      <c r="I31" s="1489">
        <v>0.13</v>
      </c>
      <c r="J31" s="1489">
        <v>0.75</v>
      </c>
      <c r="K31" s="1489">
        <v>-0.08</v>
      </c>
      <c r="L31" s="1490">
        <v>0.53</v>
      </c>
      <c r="N31" s="1474">
        <f t="shared" si="37"/>
        <v>1.2999999999999999E-3</v>
      </c>
      <c r="O31" s="1491">
        <f t="shared" si="37"/>
        <v>7.4999999999999997E-3</v>
      </c>
      <c r="P31" s="1491">
        <f t="shared" si="37"/>
        <v>-8.0000000000000004E-4</v>
      </c>
      <c r="Q31" s="1491">
        <f t="shared" si="37"/>
        <v>5.3E-3</v>
      </c>
      <c r="R31" s="1476"/>
      <c r="S31" s="1474"/>
      <c r="T31" s="1475"/>
      <c r="U31" s="1475"/>
      <c r="V31" s="1475"/>
    </row>
    <row r="32" spans="1:34">
      <c r="A32" s="1463" t="s">
        <v>1173</v>
      </c>
      <c r="B32" s="1479">
        <f t="shared" si="47"/>
        <v>275.19335084830601</v>
      </c>
      <c r="C32" s="1479">
        <f t="shared" si="47"/>
        <v>230.18088050139744</v>
      </c>
      <c r="D32" s="1479">
        <f t="shared" si="35"/>
        <v>230.18088050139744</v>
      </c>
      <c r="E32" s="1479">
        <f t="shared" si="48"/>
        <v>377.58482925212331</v>
      </c>
      <c r="F32" s="1479">
        <f t="shared" si="48"/>
        <v>210.90687997847917</v>
      </c>
      <c r="G32" s="3268">
        <v>2011</v>
      </c>
      <c r="H32" s="1467">
        <v>2</v>
      </c>
      <c r="I32" s="1467">
        <v>-0.4</v>
      </c>
      <c r="J32" s="1467">
        <v>0.17</v>
      </c>
      <c r="K32" s="1467">
        <v>-0.57999999999999996</v>
      </c>
      <c r="L32" s="1481">
        <v>-0.2</v>
      </c>
      <c r="N32" s="1474">
        <f t="shared" si="37"/>
        <v>-4.0000000000000001E-3</v>
      </c>
      <c r="O32" s="1491">
        <f t="shared" si="37"/>
        <v>1.7000000000000001E-3</v>
      </c>
      <c r="P32" s="1491">
        <f t="shared" si="37"/>
        <v>-5.7999999999999996E-3</v>
      </c>
      <c r="Q32" s="1491">
        <f t="shared" si="37"/>
        <v>-2E-3</v>
      </c>
      <c r="R32" s="1476"/>
      <c r="S32" s="1474"/>
      <c r="T32" s="1475"/>
      <c r="U32" s="1475"/>
      <c r="V32" s="1475"/>
    </row>
    <row r="33" spans="1:26" ht="13.5" thickBot="1">
      <c r="A33" s="1463" t="s">
        <v>1174</v>
      </c>
      <c r="B33" s="1479">
        <f t="shared" si="47"/>
        <v>276.29854502841971</v>
      </c>
      <c r="C33" s="1479">
        <f t="shared" si="47"/>
        <v>229.79023709833027</v>
      </c>
      <c r="D33" s="1479">
        <f t="shared" si="35"/>
        <v>229.79023709833027</v>
      </c>
      <c r="E33" s="1479">
        <f t="shared" si="48"/>
        <v>379.78759731655936</v>
      </c>
      <c r="F33" s="1479">
        <f t="shared" si="48"/>
        <v>211.32953905659235</v>
      </c>
      <c r="G33" s="3269">
        <v>2011</v>
      </c>
      <c r="H33" s="1466">
        <v>1</v>
      </c>
      <c r="I33" s="1466">
        <v>2.65</v>
      </c>
      <c r="J33" s="1466">
        <v>3.76</v>
      </c>
      <c r="K33" s="1466">
        <v>1.89</v>
      </c>
      <c r="L33" s="1480">
        <v>7.95</v>
      </c>
      <c r="N33" s="1482">
        <f t="shared" si="37"/>
        <v>2.6499999999999999E-2</v>
      </c>
      <c r="O33" s="1483">
        <f t="shared" si="37"/>
        <v>3.7599999999999995E-2</v>
      </c>
      <c r="P33" s="1483">
        <f t="shared" si="37"/>
        <v>1.89E-2</v>
      </c>
      <c r="Q33" s="1483">
        <f t="shared" si="37"/>
        <v>7.9500000000000001E-2</v>
      </c>
      <c r="R33" s="1476"/>
      <c r="S33" s="1482">
        <f>B33/B34-1</f>
        <v>2.713213765211786E-2</v>
      </c>
      <c r="T33" s="1483">
        <f>C33/C34-1</f>
        <v>3.9774828499231862E-2</v>
      </c>
      <c r="U33" s="1483">
        <f>E33/E34-1</f>
        <v>1.8197311840641772E-2</v>
      </c>
      <c r="V33" s="1483">
        <f>F33/F34-1</f>
        <v>7.8211933962205826E-2</v>
      </c>
      <c r="X33" s="1462"/>
      <c r="Y33" s="1462"/>
      <c r="Z33" s="1462"/>
    </row>
    <row r="34" spans="1:26" ht="13.5" thickBot="1">
      <c r="A34" s="1463" t="s">
        <v>1175</v>
      </c>
      <c r="B34" s="1471">
        <v>269</v>
      </c>
      <c r="C34" s="1471">
        <v>221</v>
      </c>
      <c r="D34" s="1471">
        <f t="shared" si="35"/>
        <v>221</v>
      </c>
      <c r="E34" s="1471">
        <v>373</v>
      </c>
      <c r="F34" s="1472">
        <v>196</v>
      </c>
      <c r="G34" s="3267">
        <v>2010</v>
      </c>
      <c r="H34" s="1484">
        <v>4</v>
      </c>
      <c r="I34" s="1484">
        <v>5.72</v>
      </c>
      <c r="J34" s="1484">
        <v>6.57</v>
      </c>
      <c r="K34" s="1484">
        <v>5.72</v>
      </c>
      <c r="L34" s="1485">
        <v>2.72</v>
      </c>
      <c r="N34" s="1474">
        <f t="shared" si="37"/>
        <v>5.7200000000000001E-2</v>
      </c>
      <c r="O34" s="1475">
        <f t="shared" si="37"/>
        <v>6.5700000000000008E-2</v>
      </c>
      <c r="P34" s="1475">
        <f t="shared" si="37"/>
        <v>5.7200000000000001E-2</v>
      </c>
      <c r="Q34" s="1475">
        <f t="shared" si="37"/>
        <v>2.7200000000000002E-2</v>
      </c>
      <c r="R34" s="1476"/>
      <c r="S34" s="1477"/>
      <c r="T34" s="1478"/>
      <c r="U34" s="1478"/>
      <c r="V34" s="1478"/>
      <c r="X34" s="1478"/>
      <c r="Y34" s="1478"/>
      <c r="Z34" s="1478"/>
    </row>
    <row r="35" spans="1:26">
      <c r="A35" s="1463" t="s">
        <v>1176</v>
      </c>
      <c r="B35" s="1479">
        <f t="shared" ref="B35:C37" si="49">B34/(1+N34)</f>
        <v>254.44570563753314</v>
      </c>
      <c r="C35" s="1479">
        <f t="shared" si="49"/>
        <v>207.37543398705074</v>
      </c>
      <c r="D35" s="1479">
        <f t="shared" si="35"/>
        <v>207.37543398705074</v>
      </c>
      <c r="E35" s="1479">
        <f t="shared" ref="E35:F37" si="50">E34/(1+P34)</f>
        <v>352.81876655315932</v>
      </c>
      <c r="F35" s="1479">
        <f t="shared" si="50"/>
        <v>190.809968847352</v>
      </c>
      <c r="G35" s="3268">
        <v>2010</v>
      </c>
      <c r="H35" s="1489">
        <v>3</v>
      </c>
      <c r="I35" s="1489">
        <v>4.7300000000000004</v>
      </c>
      <c r="J35" s="1489">
        <v>3.9</v>
      </c>
      <c r="K35" s="1489">
        <v>5.03</v>
      </c>
      <c r="L35" s="1490">
        <v>4.21</v>
      </c>
      <c r="N35" s="1474">
        <f t="shared" si="37"/>
        <v>4.7300000000000002E-2</v>
      </c>
      <c r="O35" s="1475">
        <f t="shared" si="37"/>
        <v>3.9E-2</v>
      </c>
      <c r="P35" s="1475">
        <f t="shared" si="37"/>
        <v>5.0300000000000004E-2</v>
      </c>
      <c r="Q35" s="1475">
        <f t="shared" si="37"/>
        <v>4.2099999999999999E-2</v>
      </c>
      <c r="R35" s="1476"/>
      <c r="S35" s="1474"/>
      <c r="T35" s="1475"/>
      <c r="U35" s="1475"/>
      <c r="V35" s="1475"/>
    </row>
    <row r="36" spans="1:26">
      <c r="A36" s="1463" t="s">
        <v>1177</v>
      </c>
      <c r="B36" s="1479">
        <f t="shared" si="49"/>
        <v>242.95398227588385</v>
      </c>
      <c r="C36" s="1479">
        <f t="shared" si="49"/>
        <v>199.59137053614126</v>
      </c>
      <c r="D36" s="1479">
        <f t="shared" si="35"/>
        <v>199.59137053614126</v>
      </c>
      <c r="E36" s="1479">
        <f t="shared" si="50"/>
        <v>335.92189522342125</v>
      </c>
      <c r="F36" s="1479">
        <f t="shared" si="50"/>
        <v>183.10139991109489</v>
      </c>
      <c r="G36" s="3268">
        <v>2010</v>
      </c>
      <c r="H36" s="1467">
        <v>2</v>
      </c>
      <c r="I36" s="1467">
        <v>4.6900000000000004</v>
      </c>
      <c r="J36" s="1467">
        <v>3.55</v>
      </c>
      <c r="K36" s="1467">
        <v>5.07</v>
      </c>
      <c r="L36" s="1481">
        <v>4.2300000000000004</v>
      </c>
      <c r="N36" s="1474">
        <f t="shared" si="37"/>
        <v>4.6900000000000004E-2</v>
      </c>
      <c r="O36" s="1475">
        <f t="shared" si="37"/>
        <v>3.5499999999999997E-2</v>
      </c>
      <c r="P36" s="1475">
        <f t="shared" si="37"/>
        <v>5.0700000000000002E-2</v>
      </c>
      <c r="Q36" s="1475">
        <f t="shared" si="37"/>
        <v>4.2300000000000004E-2</v>
      </c>
      <c r="R36" s="1476"/>
      <c r="S36" s="1474"/>
      <c r="T36" s="1475"/>
      <c r="U36" s="1475"/>
      <c r="V36" s="1475"/>
    </row>
    <row r="37" spans="1:26" ht="13.5" thickBot="1">
      <c r="A37" s="1463" t="s">
        <v>1178</v>
      </c>
      <c r="B37" s="1479">
        <f t="shared" si="49"/>
        <v>232.06990378821649</v>
      </c>
      <c r="C37" s="1479">
        <f t="shared" si="49"/>
        <v>192.74878854286936</v>
      </c>
      <c r="D37" s="1479">
        <f t="shared" si="35"/>
        <v>192.74878854286936</v>
      </c>
      <c r="E37" s="1479">
        <f t="shared" si="50"/>
        <v>319.71247284992984</v>
      </c>
      <c r="F37" s="1479">
        <f t="shared" si="50"/>
        <v>175.67053622862409</v>
      </c>
      <c r="G37" s="3269">
        <v>2010</v>
      </c>
      <c r="H37" s="1466">
        <v>1</v>
      </c>
      <c r="I37" s="1466">
        <v>5.4</v>
      </c>
      <c r="J37" s="1466">
        <v>3.2</v>
      </c>
      <c r="K37" s="1466">
        <v>6.16</v>
      </c>
      <c r="L37" s="1480">
        <v>4.51</v>
      </c>
      <c r="N37" s="1474">
        <f t="shared" si="37"/>
        <v>5.4000000000000006E-2</v>
      </c>
      <c r="O37" s="1475">
        <f t="shared" si="37"/>
        <v>3.2000000000000001E-2</v>
      </c>
      <c r="P37" s="1475">
        <f t="shared" si="37"/>
        <v>6.1600000000000002E-2</v>
      </c>
      <c r="Q37" s="1475">
        <f t="shared" si="37"/>
        <v>4.5100000000000001E-2</v>
      </c>
      <c r="R37" s="1476"/>
      <c r="S37" s="1482">
        <f>B37/B38-1</f>
        <v>5.4863199037347599E-2</v>
      </c>
      <c r="T37" s="1483">
        <f>C37/C38-1</f>
        <v>3.0742184721226584E-2</v>
      </c>
      <c r="U37" s="1483">
        <f>E37/E38-1</f>
        <v>6.2167683886810154E-2</v>
      </c>
      <c r="V37" s="1483">
        <f>F37/F38-1</f>
        <v>4.5657953741810031E-2</v>
      </c>
      <c r="X37" s="1462"/>
      <c r="Y37" s="1462"/>
      <c r="Z37" s="1462"/>
    </row>
    <row r="38" spans="1:26" ht="13.5" thickBot="1">
      <c r="A38" s="1463" t="s">
        <v>1179</v>
      </c>
      <c r="B38" s="1471">
        <v>220</v>
      </c>
      <c r="C38" s="1471">
        <v>187</v>
      </c>
      <c r="D38" s="1471">
        <f t="shared" si="35"/>
        <v>187</v>
      </c>
      <c r="E38" s="1471">
        <v>301</v>
      </c>
      <c r="F38" s="1472">
        <v>168</v>
      </c>
      <c r="G38" s="3267">
        <v>2009</v>
      </c>
      <c r="H38" s="1484">
        <v>4</v>
      </c>
      <c r="I38" s="1484">
        <v>2.2999999999999998</v>
      </c>
      <c r="J38" s="1484">
        <v>1.04</v>
      </c>
      <c r="K38" s="1484">
        <v>2.84</v>
      </c>
      <c r="L38" s="1485">
        <v>0.67</v>
      </c>
      <c r="N38" s="1486">
        <f t="shared" si="37"/>
        <v>2.3E-2</v>
      </c>
      <c r="O38" s="1487">
        <f t="shared" si="37"/>
        <v>1.04E-2</v>
      </c>
      <c r="P38" s="1487">
        <f t="shared" si="37"/>
        <v>2.8399999999999998E-2</v>
      </c>
      <c r="Q38" s="1487">
        <f t="shared" si="37"/>
        <v>6.7000000000000002E-3</v>
      </c>
      <c r="R38" s="1476"/>
      <c r="S38" s="1477"/>
      <c r="T38" s="1478"/>
      <c r="U38" s="1478"/>
      <c r="V38" s="1478"/>
      <c r="X38" s="1478"/>
      <c r="Y38" s="1478"/>
      <c r="Z38" s="1478"/>
    </row>
    <row r="39" spans="1:26">
      <c r="A39" s="1463" t="s">
        <v>1180</v>
      </c>
      <c r="B39" s="1479">
        <f t="shared" ref="B39:C41" si="51">B38/(1+N38)</f>
        <v>215.05376344086022</v>
      </c>
      <c r="C39" s="1479">
        <f t="shared" si="51"/>
        <v>185.0752177355503</v>
      </c>
      <c r="D39" s="1479">
        <f t="shared" si="35"/>
        <v>185.0752177355503</v>
      </c>
      <c r="E39" s="1479">
        <f t="shared" ref="E39:F41" si="52">E38/(1+P38)</f>
        <v>292.68767016725008</v>
      </c>
      <c r="F39" s="1479">
        <f t="shared" si="52"/>
        <v>166.88189132810174</v>
      </c>
      <c r="G39" s="3268">
        <v>2009</v>
      </c>
      <c r="H39" s="1489">
        <v>3</v>
      </c>
      <c r="I39" s="1489">
        <v>2.1</v>
      </c>
      <c r="J39" s="1489">
        <v>1.86</v>
      </c>
      <c r="K39" s="1489">
        <v>2.29</v>
      </c>
      <c r="L39" s="1490">
        <v>0.85</v>
      </c>
      <c r="N39" s="1474">
        <f t="shared" si="37"/>
        <v>2.1000000000000001E-2</v>
      </c>
      <c r="O39" s="1491">
        <f t="shared" si="37"/>
        <v>1.8600000000000002E-2</v>
      </c>
      <c r="P39" s="1491">
        <f t="shared" si="37"/>
        <v>2.29E-2</v>
      </c>
      <c r="Q39" s="1491">
        <f t="shared" si="37"/>
        <v>8.5000000000000006E-3</v>
      </c>
      <c r="R39" s="1476"/>
      <c r="S39" s="1474"/>
      <c r="T39" s="1475"/>
      <c r="U39" s="1475"/>
      <c r="V39" s="1475"/>
    </row>
    <row r="40" spans="1:26">
      <c r="A40" s="1463" t="s">
        <v>1181</v>
      </c>
      <c r="B40" s="1479">
        <f t="shared" si="51"/>
        <v>210.630522469011</v>
      </c>
      <c r="C40" s="1479">
        <f t="shared" si="51"/>
        <v>181.69567812247232</v>
      </c>
      <c r="D40" s="1479">
        <f t="shared" si="35"/>
        <v>181.69567812247232</v>
      </c>
      <c r="E40" s="1479">
        <f t="shared" si="52"/>
        <v>286.13517466736738</v>
      </c>
      <c r="F40" s="1479">
        <f t="shared" si="52"/>
        <v>165.47535084591149</v>
      </c>
      <c r="G40" s="3268">
        <v>2009</v>
      </c>
      <c r="H40" s="1467">
        <v>2</v>
      </c>
      <c r="I40" s="1467">
        <v>0.86</v>
      </c>
      <c r="J40" s="1467">
        <v>-1.1299999999999999</v>
      </c>
      <c r="K40" s="1467">
        <v>1.79</v>
      </c>
      <c r="L40" s="1481">
        <v>-2.0699999999999998</v>
      </c>
      <c r="N40" s="1474">
        <f t="shared" si="37"/>
        <v>8.6E-3</v>
      </c>
      <c r="O40" s="1491">
        <f t="shared" si="37"/>
        <v>-1.1299999999999999E-2</v>
      </c>
      <c r="P40" s="1491">
        <f t="shared" si="37"/>
        <v>1.7899999999999999E-2</v>
      </c>
      <c r="Q40" s="1491">
        <f t="shared" si="37"/>
        <v>-2.07E-2</v>
      </c>
      <c r="R40" s="1476"/>
      <c r="S40" s="1474"/>
      <c r="T40" s="1475"/>
      <c r="U40" s="1475"/>
      <c r="V40" s="1475"/>
    </row>
    <row r="41" spans="1:26">
      <c r="A41" s="1463" t="s">
        <v>1182</v>
      </c>
      <c r="B41" s="1479">
        <f t="shared" si="51"/>
        <v>208.83454537875372</v>
      </c>
      <c r="C41" s="1479">
        <f t="shared" si="51"/>
        <v>183.77230517090351</v>
      </c>
      <c r="D41" s="1479">
        <f t="shared" si="35"/>
        <v>183.77230517090351</v>
      </c>
      <c r="E41" s="1479">
        <f t="shared" si="52"/>
        <v>281.10342338870947</v>
      </c>
      <c r="F41" s="1479">
        <f t="shared" si="52"/>
        <v>168.97309388942256</v>
      </c>
      <c r="G41" s="3269">
        <v>2009</v>
      </c>
      <c r="H41" s="1466">
        <v>1</v>
      </c>
      <c r="I41" s="1466">
        <v>-2.64</v>
      </c>
      <c r="J41" s="1466">
        <v>-2.5299999999999998</v>
      </c>
      <c r="K41" s="1466">
        <v>-3.02</v>
      </c>
      <c r="L41" s="1480">
        <v>1.52</v>
      </c>
      <c r="N41" s="1482">
        <f t="shared" si="37"/>
        <v>-2.64E-2</v>
      </c>
      <c r="O41" s="1483">
        <f t="shared" si="37"/>
        <v>-2.53E-2</v>
      </c>
      <c r="P41" s="1483">
        <f t="shared" si="37"/>
        <v>-3.0200000000000001E-2</v>
      </c>
      <c r="Q41" s="1483">
        <f t="shared" si="37"/>
        <v>1.52E-2</v>
      </c>
      <c r="R41" s="1476"/>
      <c r="S41" s="1482">
        <f>B41/B42-1</f>
        <v>-2.4137638417038754E-2</v>
      </c>
      <c r="T41" s="1483">
        <f>C41/C42-1</f>
        <v>-2.248773845264096E-2</v>
      </c>
      <c r="U41" s="1483">
        <f>E41/E42-1</f>
        <v>-2.7323794502735366E-2</v>
      </c>
      <c r="V41" s="1483">
        <f>F41/F42-1</f>
        <v>1.7910204153148035E-2</v>
      </c>
      <c r="X41" s="1462"/>
      <c r="Y41" s="1462"/>
      <c r="Z41" s="1462"/>
    </row>
    <row r="42" spans="1:26" ht="13.5" thickBot="1">
      <c r="A42" s="1463" t="s">
        <v>1183</v>
      </c>
      <c r="B42" s="1513">
        <v>214</v>
      </c>
      <c r="C42" s="1513">
        <v>188</v>
      </c>
      <c r="D42" s="1513">
        <f t="shared" si="35"/>
        <v>188</v>
      </c>
      <c r="E42" s="1513">
        <v>289</v>
      </c>
      <c r="F42" s="1514">
        <v>166</v>
      </c>
      <c r="G42" s="3267">
        <v>2008</v>
      </c>
      <c r="H42" s="1484">
        <v>4</v>
      </c>
      <c r="I42" s="1484">
        <v>1.73</v>
      </c>
      <c r="J42" s="1484">
        <v>0.03</v>
      </c>
      <c r="K42" s="1484">
        <v>2.59</v>
      </c>
      <c r="L42" s="1485">
        <v>-1.66</v>
      </c>
      <c r="N42" s="1474">
        <f t="shared" si="37"/>
        <v>1.7299999999999999E-2</v>
      </c>
      <c r="O42" s="1475">
        <f t="shared" si="37"/>
        <v>2.9999999999999997E-4</v>
      </c>
      <c r="P42" s="1475">
        <f t="shared" si="37"/>
        <v>2.5899999999999999E-2</v>
      </c>
      <c r="Q42" s="1475">
        <f t="shared" si="37"/>
        <v>-1.66E-2</v>
      </c>
      <c r="R42" s="1476"/>
      <c r="S42" s="1477"/>
      <c r="T42" s="1478"/>
      <c r="U42" s="1478"/>
      <c r="V42" s="1478"/>
      <c r="X42" s="1478"/>
      <c r="Y42" s="1478"/>
      <c r="Z42" s="1478"/>
    </row>
    <row r="43" spans="1:26">
      <c r="A43" s="1463" t="s">
        <v>1184</v>
      </c>
      <c r="B43" s="1479">
        <f t="shared" ref="B43:C45" si="53">B42/(1+N42)</f>
        <v>210.36075887152265</v>
      </c>
      <c r="C43" s="1479">
        <f t="shared" si="53"/>
        <v>187.94361691492554</v>
      </c>
      <c r="D43" s="1479">
        <f t="shared" si="35"/>
        <v>187.94361691492554</v>
      </c>
      <c r="E43" s="1479">
        <f t="shared" ref="E43:F45" si="54">E42/(1+P42)</f>
        <v>281.70386977288234</v>
      </c>
      <c r="F43" s="1479">
        <f t="shared" si="54"/>
        <v>168.80211511083994</v>
      </c>
      <c r="G43" s="3268">
        <v>2008</v>
      </c>
      <c r="H43" s="1489">
        <v>3</v>
      </c>
      <c r="I43" s="1489">
        <v>1.96</v>
      </c>
      <c r="J43" s="1489">
        <v>2.36</v>
      </c>
      <c r="K43" s="1489">
        <v>1.82</v>
      </c>
      <c r="L43" s="1490">
        <v>2.2200000000000002</v>
      </c>
      <c r="N43" s="1474">
        <f t="shared" si="37"/>
        <v>1.9599999999999999E-2</v>
      </c>
      <c r="O43" s="1475">
        <f t="shared" si="37"/>
        <v>2.3599999999999999E-2</v>
      </c>
      <c r="P43" s="1475">
        <f t="shared" si="37"/>
        <v>1.8200000000000001E-2</v>
      </c>
      <c r="Q43" s="1475">
        <f t="shared" si="37"/>
        <v>2.2200000000000001E-2</v>
      </c>
      <c r="R43" s="1476"/>
      <c r="S43" s="1474"/>
      <c r="T43" s="1475"/>
      <c r="U43" s="1475"/>
      <c r="V43" s="1475"/>
    </row>
    <row r="44" spans="1:26">
      <c r="A44" s="1463" t="s">
        <v>1185</v>
      </c>
      <c r="B44" s="1479">
        <f t="shared" si="53"/>
        <v>206.31694671589116</v>
      </c>
      <c r="C44" s="1479">
        <f t="shared" si="53"/>
        <v>183.61041121036101</v>
      </c>
      <c r="D44" s="1479">
        <f t="shared" si="35"/>
        <v>183.61041121036101</v>
      </c>
      <c r="E44" s="1479">
        <f t="shared" si="54"/>
        <v>276.66850301795557</v>
      </c>
      <c r="F44" s="1479">
        <f t="shared" si="54"/>
        <v>165.1360938278614</v>
      </c>
      <c r="G44" s="3268">
        <v>2008</v>
      </c>
      <c r="H44" s="1467">
        <v>2</v>
      </c>
      <c r="I44" s="1467">
        <v>4.93</v>
      </c>
      <c r="J44" s="1467">
        <v>7.38</v>
      </c>
      <c r="K44" s="1467">
        <v>3.98</v>
      </c>
      <c r="L44" s="1481">
        <v>6.86</v>
      </c>
      <c r="N44" s="1474">
        <f t="shared" si="37"/>
        <v>4.9299999999999997E-2</v>
      </c>
      <c r="O44" s="1475">
        <f t="shared" si="37"/>
        <v>7.3800000000000004E-2</v>
      </c>
      <c r="P44" s="1475">
        <f t="shared" si="37"/>
        <v>3.9800000000000002E-2</v>
      </c>
      <c r="Q44" s="1475">
        <f t="shared" si="37"/>
        <v>6.8600000000000008E-2</v>
      </c>
      <c r="R44" s="1476"/>
      <c r="S44" s="1474"/>
      <c r="T44" s="1475"/>
      <c r="U44" s="1475"/>
      <c r="V44" s="1475"/>
    </row>
    <row r="45" spans="1:26" s="1519" customFormat="1" ht="13.5" thickBot="1">
      <c r="A45" s="1463" t="s">
        <v>1186</v>
      </c>
      <c r="B45" s="1516">
        <f t="shared" si="53"/>
        <v>196.62341248059772</v>
      </c>
      <c r="C45" s="1516">
        <f t="shared" si="53"/>
        <v>170.99125648199012</v>
      </c>
      <c r="D45" s="1516">
        <f t="shared" si="35"/>
        <v>170.99125648199012</v>
      </c>
      <c r="E45" s="1516">
        <f t="shared" si="54"/>
        <v>266.07857570490052</v>
      </c>
      <c r="F45" s="1516">
        <f t="shared" si="54"/>
        <v>154.53499328828505</v>
      </c>
      <c r="G45" s="3269">
        <v>2008</v>
      </c>
      <c r="H45" s="1517">
        <v>1</v>
      </c>
      <c r="I45" s="1517">
        <v>4.1399999999999997</v>
      </c>
      <c r="J45" s="1517">
        <v>3.45</v>
      </c>
      <c r="K45" s="1517">
        <v>4.95</v>
      </c>
      <c r="L45" s="1518">
        <v>4.82</v>
      </c>
      <c r="N45" s="1520">
        <f t="shared" si="37"/>
        <v>4.1399999999999999E-2</v>
      </c>
      <c r="O45" s="1521">
        <f t="shared" si="37"/>
        <v>3.4500000000000003E-2</v>
      </c>
      <c r="P45" s="1521">
        <f t="shared" si="37"/>
        <v>4.9500000000000002E-2</v>
      </c>
      <c r="Q45" s="1521">
        <f t="shared" si="37"/>
        <v>4.82E-2</v>
      </c>
      <c r="R45" s="1522"/>
      <c r="S45" s="1520">
        <f>B45/B46-1</f>
        <v>4.5869215322328349E-2</v>
      </c>
      <c r="T45" s="1521">
        <f>C45/C46-1</f>
        <v>3.6310645345394743E-2</v>
      </c>
      <c r="U45" s="1521">
        <f>E45/E46-1</f>
        <v>4.7553447657088688E-2</v>
      </c>
      <c r="V45" s="1521">
        <f>F45/F46-1</f>
        <v>4.4155360055980086E-2</v>
      </c>
      <c r="X45" s="1523"/>
      <c r="Y45" s="1523"/>
      <c r="Z45" s="1523"/>
    </row>
    <row r="46" spans="1:26" ht="13.5" thickBot="1">
      <c r="A46" s="1463" t="s">
        <v>1187</v>
      </c>
      <c r="B46" s="1471">
        <v>188</v>
      </c>
      <c r="C46" s="1471">
        <v>165</v>
      </c>
      <c r="D46" s="1471">
        <f t="shared" si="35"/>
        <v>165</v>
      </c>
      <c r="E46" s="1471">
        <v>254</v>
      </c>
      <c r="F46" s="1472">
        <v>148</v>
      </c>
      <c r="G46" s="3267">
        <v>2007</v>
      </c>
      <c r="H46" s="1524">
        <v>4</v>
      </c>
      <c r="I46" s="1524">
        <v>5.51</v>
      </c>
      <c r="J46" s="1524">
        <v>4.8899999999999997</v>
      </c>
      <c r="K46" s="1524">
        <v>6.43</v>
      </c>
      <c r="L46" s="1525">
        <v>5.36</v>
      </c>
      <c r="N46" s="1526">
        <f t="shared" ref="N46:O49" si="55">B46/B47-1</f>
        <v>4.1339718365245526E-2</v>
      </c>
      <c r="O46" s="1527">
        <f t="shared" si="55"/>
        <v>4.0324492593776018E-2</v>
      </c>
      <c r="P46" s="1527">
        <f t="shared" ref="P46:Q49" si="56">E46/E47-1</f>
        <v>6.1625555347990968E-2</v>
      </c>
      <c r="Q46" s="1527">
        <f t="shared" si="56"/>
        <v>4.6757569250590603E-2</v>
      </c>
      <c r="R46" s="1476"/>
      <c r="S46" s="1477"/>
      <c r="T46" s="1478"/>
      <c r="U46" s="1478"/>
      <c r="V46" s="1478"/>
      <c r="X46" s="1478"/>
      <c r="Y46" s="1478"/>
      <c r="Z46" s="1478"/>
    </row>
    <row r="47" spans="1:26">
      <c r="A47" s="1463" t="s">
        <v>1188</v>
      </c>
      <c r="B47" s="1479">
        <f t="shared" ref="B47:C49" si="57">B48+(B$46-B$50)*I47/SUM(I$46:I$49)</f>
        <v>180.5366651097618</v>
      </c>
      <c r="C47" s="1479">
        <f t="shared" si="57"/>
        <v>158.60435967302453</v>
      </c>
      <c r="D47" s="1479">
        <f t="shared" si="35"/>
        <v>158.60435967302453</v>
      </c>
      <c r="E47" s="1479">
        <f t="shared" ref="E47:F49" si="58">E48+(E$46-E$50)*K47/SUM(K$46:K$49)</f>
        <v>239.25573260785075</v>
      </c>
      <c r="F47" s="1479">
        <f t="shared" si="58"/>
        <v>141.38899430740037</v>
      </c>
      <c r="G47" s="3268">
        <v>2007</v>
      </c>
      <c r="H47" s="1489">
        <v>3</v>
      </c>
      <c r="I47" s="1489">
        <v>8.65</v>
      </c>
      <c r="J47" s="1489">
        <v>8.06</v>
      </c>
      <c r="K47" s="1489">
        <v>9.94</v>
      </c>
      <c r="L47" s="1490">
        <v>5.8</v>
      </c>
      <c r="N47" s="1526">
        <f t="shared" si="55"/>
        <v>6.940217571740015E-2</v>
      </c>
      <c r="O47" s="1527">
        <f t="shared" si="55"/>
        <v>7.1197482471153428E-2</v>
      </c>
      <c r="P47" s="1527">
        <f t="shared" si="56"/>
        <v>0.10529679922579582</v>
      </c>
      <c r="Q47" s="1527">
        <f t="shared" si="56"/>
        <v>5.3292245059512133E-2</v>
      </c>
      <c r="R47" s="1476"/>
      <c r="S47" s="1474"/>
      <c r="T47" s="1475"/>
      <c r="U47" s="1475"/>
      <c r="V47" s="1475"/>
      <c r="X47" s="1528"/>
      <c r="Y47" s="1528"/>
      <c r="Z47" s="1528"/>
    </row>
    <row r="48" spans="1:26">
      <c r="A48" s="1463" t="s">
        <v>1189</v>
      </c>
      <c r="B48" s="1479">
        <f t="shared" si="57"/>
        <v>168.82017748715555</v>
      </c>
      <c r="C48" s="1479">
        <f t="shared" si="57"/>
        <v>148.06267029972753</v>
      </c>
      <c r="D48" s="1479">
        <f t="shared" si="35"/>
        <v>148.06267029972753</v>
      </c>
      <c r="E48" s="1479">
        <f t="shared" si="58"/>
        <v>216.46288379323747</v>
      </c>
      <c r="F48" s="1479">
        <f t="shared" si="58"/>
        <v>134.23529411764704</v>
      </c>
      <c r="G48" s="3268">
        <v>2007</v>
      </c>
      <c r="H48" s="1467">
        <v>2</v>
      </c>
      <c r="I48" s="1467">
        <v>3.67</v>
      </c>
      <c r="J48" s="1467">
        <v>2.3199999999999998</v>
      </c>
      <c r="K48" s="1467">
        <v>5.0199999999999996</v>
      </c>
      <c r="L48" s="1481">
        <v>6.71</v>
      </c>
      <c r="N48" s="1526">
        <f t="shared" si="55"/>
        <v>3.0339138143848032E-2</v>
      </c>
      <c r="O48" s="1527">
        <f t="shared" si="55"/>
        <v>2.0922341588790472E-2</v>
      </c>
      <c r="P48" s="1527">
        <f t="shared" si="56"/>
        <v>5.6164796592717003E-2</v>
      </c>
      <c r="Q48" s="1527">
        <f t="shared" si="56"/>
        <v>6.5704536723887319E-2</v>
      </c>
      <c r="R48" s="1476"/>
      <c r="S48" s="1474"/>
      <c r="T48" s="1475"/>
      <c r="U48" s="1475"/>
      <c r="V48" s="1475"/>
      <c r="X48" s="1528"/>
      <c r="Y48" s="1528"/>
      <c r="Z48" s="1528"/>
    </row>
    <row r="49" spans="1:26">
      <c r="A49" s="1463" t="s">
        <v>1190</v>
      </c>
      <c r="B49" s="1479">
        <f t="shared" si="57"/>
        <v>163.84913591779542</v>
      </c>
      <c r="C49" s="1479">
        <f t="shared" si="57"/>
        <v>145.0283378746594</v>
      </c>
      <c r="D49" s="1479">
        <f t="shared" si="35"/>
        <v>145.0283378746594</v>
      </c>
      <c r="E49" s="1479">
        <f t="shared" si="58"/>
        <v>204.95180722891567</v>
      </c>
      <c r="F49" s="1479">
        <f t="shared" si="58"/>
        <v>125.95920303605313</v>
      </c>
      <c r="G49" s="3269">
        <v>2007</v>
      </c>
      <c r="H49" s="1466">
        <v>1</v>
      </c>
      <c r="I49" s="1466">
        <v>3.58</v>
      </c>
      <c r="J49" s="1466">
        <v>3.08</v>
      </c>
      <c r="K49" s="1466">
        <v>4.34</v>
      </c>
      <c r="L49" s="1480">
        <v>3.21</v>
      </c>
      <c r="N49" s="1529">
        <f t="shared" si="55"/>
        <v>3.0497710174814063E-2</v>
      </c>
      <c r="O49" s="1530">
        <f t="shared" si="55"/>
        <v>2.8569772160704998E-2</v>
      </c>
      <c r="P49" s="1530">
        <f t="shared" si="56"/>
        <v>5.1034908866234296E-2</v>
      </c>
      <c r="Q49" s="1530">
        <f t="shared" si="56"/>
        <v>3.245248390207478E-2</v>
      </c>
      <c r="R49" s="1476"/>
      <c r="S49" s="1482">
        <f>B49/B50-1</f>
        <v>3.0497710174814063E-2</v>
      </c>
      <c r="T49" s="1483">
        <f>C49/C50-1</f>
        <v>2.8569772160704998E-2</v>
      </c>
      <c r="U49" s="1483">
        <f>E49/E50-1</f>
        <v>5.1034908866234296E-2</v>
      </c>
      <c r="V49" s="1483">
        <f>F49/F50-1</f>
        <v>3.245248390207478E-2</v>
      </c>
      <c r="X49" s="1528"/>
      <c r="Y49" s="1528"/>
      <c r="Z49" s="1528"/>
    </row>
    <row r="50" spans="1:26" ht="13.5" thickBot="1">
      <c r="A50" s="1463" t="s">
        <v>1191</v>
      </c>
      <c r="B50" s="1492">
        <v>159</v>
      </c>
      <c r="C50" s="1492">
        <v>141</v>
      </c>
      <c r="D50" s="1492">
        <f t="shared" si="35"/>
        <v>141</v>
      </c>
      <c r="E50" s="1492">
        <v>195</v>
      </c>
      <c r="F50" s="1493">
        <v>122</v>
      </c>
      <c r="G50" s="3267">
        <v>2006</v>
      </c>
      <c r="H50" s="1484">
        <v>4</v>
      </c>
      <c r="I50" s="1484">
        <v>3.79</v>
      </c>
      <c r="J50" s="1484">
        <v>2.21</v>
      </c>
      <c r="K50" s="1484">
        <v>5.65</v>
      </c>
      <c r="L50" s="1485">
        <v>5.41</v>
      </c>
      <c r="N50" s="1526">
        <f t="shared" ref="N50:O53" si="59">I50/SUM(I$50:I$53)*(B$50/B$54-1)</f>
        <v>7.245466462748526E-2</v>
      </c>
      <c r="O50" s="1527">
        <f t="shared" si="59"/>
        <v>2.3237230038062766E-2</v>
      </c>
      <c r="P50" s="1527">
        <f t="shared" ref="P50:Q53" si="60">K50/SUM(K$50:K$53)*(E$50/E$54-1)</f>
        <v>0.16146893866323722</v>
      </c>
      <c r="Q50" s="1527">
        <f t="shared" si="60"/>
        <v>5.0755230321793784E-2</v>
      </c>
      <c r="R50" s="1476"/>
      <c r="S50" s="1477"/>
      <c r="T50" s="1478"/>
      <c r="U50" s="1478"/>
      <c r="V50" s="1478"/>
      <c r="X50" s="1528"/>
      <c r="Y50" s="1528"/>
      <c r="Z50" s="1528"/>
    </row>
    <row r="51" spans="1:26">
      <c r="A51" s="1463" t="s">
        <v>1192</v>
      </c>
      <c r="B51" s="1479">
        <f t="shared" ref="B51:C53" si="61">B52+(B$50-B$54)*I51/SUM(I$50:I$53)</f>
        <v>149.00125628140702</v>
      </c>
      <c r="C51" s="1479">
        <f t="shared" si="61"/>
        <v>137.95592286501378</v>
      </c>
      <c r="D51" s="1479">
        <f t="shared" si="35"/>
        <v>137.95592286501378</v>
      </c>
      <c r="E51" s="1479">
        <f t="shared" ref="E51:F53" si="62">E52+(E$50-E$54)*K51/SUM(K$50:K$53)</f>
        <v>169.97231450719823</v>
      </c>
      <c r="F51" s="1479">
        <f t="shared" si="62"/>
        <v>116.21390374331551</v>
      </c>
      <c r="G51" s="3268">
        <v>2006</v>
      </c>
      <c r="H51" s="1489">
        <v>3</v>
      </c>
      <c r="I51" s="1489">
        <v>0.92</v>
      </c>
      <c r="J51" s="1489">
        <v>1.08</v>
      </c>
      <c r="K51" s="1489">
        <v>0.73</v>
      </c>
      <c r="L51" s="1490">
        <v>1.08</v>
      </c>
      <c r="N51" s="1526">
        <f t="shared" si="59"/>
        <v>1.7587939698492462E-2</v>
      </c>
      <c r="O51" s="1527">
        <f t="shared" si="59"/>
        <v>1.1355750425840628E-2</v>
      </c>
      <c r="P51" s="1527">
        <f t="shared" si="60"/>
        <v>2.0862358446754544E-2</v>
      </c>
      <c r="Q51" s="1527">
        <f t="shared" si="60"/>
        <v>1.0132282578103011E-2</v>
      </c>
      <c r="R51" s="1476"/>
      <c r="S51" s="1474"/>
      <c r="T51" s="1475"/>
      <c r="U51" s="1475"/>
      <c r="V51" s="1475"/>
      <c r="X51" s="1528"/>
      <c r="Y51" s="1528"/>
      <c r="Z51" s="1528"/>
    </row>
    <row r="52" spans="1:26">
      <c r="A52" s="1463" t="s">
        <v>1193</v>
      </c>
      <c r="B52" s="1479">
        <f t="shared" si="61"/>
        <v>146.57412060301507</v>
      </c>
      <c r="C52" s="1479">
        <f t="shared" si="61"/>
        <v>136.46831955922866</v>
      </c>
      <c r="D52" s="1479">
        <f t="shared" si="35"/>
        <v>136.46831955922866</v>
      </c>
      <c r="E52" s="1479">
        <f t="shared" si="62"/>
        <v>166.73864894795128</v>
      </c>
      <c r="F52" s="1479">
        <f t="shared" si="62"/>
        <v>115.05882352941177</v>
      </c>
      <c r="G52" s="3268">
        <v>2006</v>
      </c>
      <c r="H52" s="1467">
        <v>2</v>
      </c>
      <c r="I52" s="1467">
        <v>0.96</v>
      </c>
      <c r="J52" s="1467">
        <v>0.25</v>
      </c>
      <c r="K52" s="1467">
        <v>1.9</v>
      </c>
      <c r="L52" s="1481">
        <v>0.95</v>
      </c>
      <c r="N52" s="1526">
        <f t="shared" si="59"/>
        <v>1.8352632728861701E-2</v>
      </c>
      <c r="O52" s="1527">
        <f t="shared" si="59"/>
        <v>2.6286459319075526E-3</v>
      </c>
      <c r="P52" s="1527">
        <f t="shared" si="60"/>
        <v>5.4299289107991269E-2</v>
      </c>
      <c r="Q52" s="1527">
        <f t="shared" si="60"/>
        <v>8.9126559714794995E-3</v>
      </c>
      <c r="R52" s="1476"/>
      <c r="S52" s="1474"/>
      <c r="T52" s="1475"/>
      <c r="U52" s="1475"/>
      <c r="V52" s="1475"/>
      <c r="X52" s="1528"/>
      <c r="Y52" s="1528"/>
      <c r="Z52" s="1528"/>
    </row>
    <row r="53" spans="1:26">
      <c r="A53" s="1463" t="s">
        <v>1194</v>
      </c>
      <c r="B53" s="1479">
        <f t="shared" si="61"/>
        <v>144.04145728643215</v>
      </c>
      <c r="C53" s="1479">
        <f t="shared" si="61"/>
        <v>136.12396694214877</v>
      </c>
      <c r="D53" s="1479">
        <f t="shared" si="35"/>
        <v>136.12396694214877</v>
      </c>
      <c r="E53" s="1479">
        <f t="shared" si="62"/>
        <v>158.32225913621264</v>
      </c>
      <c r="F53" s="1479">
        <f t="shared" si="62"/>
        <v>114.04278074866311</v>
      </c>
      <c r="G53" s="3269">
        <v>2006</v>
      </c>
      <c r="H53" s="1466">
        <v>1</v>
      </c>
      <c r="I53" s="1466">
        <v>2.29</v>
      </c>
      <c r="J53" s="1466">
        <v>3.72</v>
      </c>
      <c r="K53" s="1466">
        <v>0.75</v>
      </c>
      <c r="L53" s="1480">
        <v>0.04</v>
      </c>
      <c r="N53" s="1529">
        <f t="shared" si="59"/>
        <v>4.3778675988638847E-2</v>
      </c>
      <c r="O53" s="1530">
        <f t="shared" si="59"/>
        <v>3.9114251466784385E-2</v>
      </c>
      <c r="P53" s="1530">
        <f t="shared" si="60"/>
        <v>2.1433929911049188E-2</v>
      </c>
      <c r="Q53" s="1530">
        <f t="shared" si="60"/>
        <v>3.7526972511492629E-4</v>
      </c>
      <c r="R53" s="1476"/>
      <c r="S53" s="1482">
        <f>B53/B54-1</f>
        <v>4.3778675988638716E-2</v>
      </c>
      <c r="T53" s="1483">
        <f>C53/C54-1</f>
        <v>3.91142514667846E-2</v>
      </c>
      <c r="U53" s="1483">
        <f>E53/E54-1</f>
        <v>2.143392991104931E-2</v>
      </c>
      <c r="V53" s="1483">
        <f>F53/F54-1</f>
        <v>3.7526972511492396E-4</v>
      </c>
      <c r="X53" s="1528"/>
      <c r="Y53" s="1528"/>
      <c r="Z53" s="1528"/>
    </row>
    <row r="54" spans="1:26" ht="13.5" thickBot="1">
      <c r="A54" s="1463" t="s">
        <v>1195</v>
      </c>
      <c r="B54" s="1492">
        <v>138</v>
      </c>
      <c r="C54" s="1492">
        <v>131</v>
      </c>
      <c r="D54" s="1492">
        <f t="shared" si="35"/>
        <v>131</v>
      </c>
      <c r="E54" s="1492">
        <v>155</v>
      </c>
      <c r="F54" s="1493">
        <v>114</v>
      </c>
      <c r="G54" s="3267">
        <v>2005</v>
      </c>
      <c r="H54" s="1484">
        <v>4</v>
      </c>
      <c r="I54" s="1484">
        <v>3.29</v>
      </c>
      <c r="J54" s="1484">
        <v>1.44</v>
      </c>
      <c r="K54" s="1484">
        <v>0.66</v>
      </c>
      <c r="L54" s="1485">
        <v>7.78</v>
      </c>
      <c r="N54" s="1526">
        <f t="shared" ref="N54:O57" si="63">I54/SUM(I$54:I$57)*(B$54/B$58-1)</f>
        <v>9.9404603216919935E-2</v>
      </c>
      <c r="O54" s="1527">
        <f t="shared" si="63"/>
        <v>4.7636550760861554E-2</v>
      </c>
      <c r="P54" s="1527">
        <f t="shared" ref="P54:Q57" si="64">K54/SUM(K$54:K$57)*(E$54/E$58-1)</f>
        <v>8.3756345177664976E-2</v>
      </c>
      <c r="Q54" s="1527">
        <f t="shared" si="64"/>
        <v>5.2148766661559584E-2</v>
      </c>
      <c r="R54" s="1476"/>
      <c r="S54" s="1477"/>
      <c r="T54" s="1478"/>
      <c r="U54" s="1478"/>
      <c r="V54" s="1478"/>
      <c r="X54" s="1528"/>
      <c r="Y54" s="1528"/>
      <c r="Z54" s="1528"/>
    </row>
    <row r="55" spans="1:26">
      <c r="A55" s="1463" t="s">
        <v>1196</v>
      </c>
      <c r="B55" s="1479">
        <f t="shared" ref="B55:C57" si="65">B56+(B$54-B$58)*I55/SUM(I$54:I$57)</f>
        <v>125.9720430107527</v>
      </c>
      <c r="C55" s="1479">
        <f t="shared" si="65"/>
        <v>125.1883408071749</v>
      </c>
      <c r="D55" s="1479">
        <f t="shared" si="35"/>
        <v>125.1883408071749</v>
      </c>
      <c r="E55" s="1479">
        <f t="shared" ref="E55:F57" si="66">E56+(E$54-E$58)*K55/SUM(K$54:K$57)</f>
        <v>144.61421319796952</v>
      </c>
      <c r="F55" s="1479">
        <f t="shared" si="66"/>
        <v>108.42008196721311</v>
      </c>
      <c r="G55" s="3268">
        <v>2005</v>
      </c>
      <c r="H55" s="1489">
        <v>3</v>
      </c>
      <c r="I55" s="1489">
        <v>0.46</v>
      </c>
      <c r="J55" s="1489">
        <v>0.32</v>
      </c>
      <c r="K55" s="1489">
        <v>0.42</v>
      </c>
      <c r="L55" s="1490">
        <v>0.64</v>
      </c>
      <c r="N55" s="1526">
        <f t="shared" si="63"/>
        <v>1.3898515951301874E-2</v>
      </c>
      <c r="O55" s="1527">
        <f t="shared" si="63"/>
        <v>1.0585900169080346E-2</v>
      </c>
      <c r="P55" s="1527">
        <f t="shared" si="64"/>
        <v>5.3299492385786795E-2</v>
      </c>
      <c r="Q55" s="1527">
        <f t="shared" si="64"/>
        <v>4.2898728359123568E-3</v>
      </c>
      <c r="R55" s="1476"/>
      <c r="S55" s="1474"/>
      <c r="T55" s="1475"/>
      <c r="U55" s="1475"/>
      <c r="V55" s="1475"/>
      <c r="X55" s="1528"/>
      <c r="Y55" s="1528"/>
      <c r="Z55" s="1528"/>
    </row>
    <row r="56" spans="1:26">
      <c r="A56" s="1463" t="s">
        <v>1197</v>
      </c>
      <c r="B56" s="1479">
        <f t="shared" si="65"/>
        <v>124.29032258064517</v>
      </c>
      <c r="C56" s="1479">
        <f t="shared" si="65"/>
        <v>123.8968609865471</v>
      </c>
      <c r="D56" s="1479">
        <f t="shared" si="35"/>
        <v>123.8968609865471</v>
      </c>
      <c r="E56" s="1479">
        <f t="shared" si="66"/>
        <v>138.00507614213197</v>
      </c>
      <c r="F56" s="1479">
        <f t="shared" si="66"/>
        <v>107.96106557377048</v>
      </c>
      <c r="G56" s="3268">
        <v>2005</v>
      </c>
      <c r="H56" s="1467">
        <v>2</v>
      </c>
      <c r="I56" s="1467">
        <v>0.47</v>
      </c>
      <c r="J56" s="1467">
        <v>0.1</v>
      </c>
      <c r="K56" s="1467">
        <v>0.52</v>
      </c>
      <c r="L56" s="1481">
        <v>0.79</v>
      </c>
      <c r="N56" s="1526">
        <f t="shared" si="63"/>
        <v>1.420065760241713E-2</v>
      </c>
      <c r="O56" s="1527">
        <f t="shared" si="63"/>
        <v>3.3080938028376083E-3</v>
      </c>
      <c r="P56" s="1527">
        <f t="shared" si="64"/>
        <v>6.598984771573603E-2</v>
      </c>
      <c r="Q56" s="1527">
        <f t="shared" si="64"/>
        <v>5.2953117818293153E-3</v>
      </c>
      <c r="R56" s="1476"/>
      <c r="S56" s="1474"/>
      <c r="T56" s="1475"/>
      <c r="U56" s="1475"/>
      <c r="V56" s="1475"/>
      <c r="X56" s="1528"/>
      <c r="Y56" s="1528"/>
      <c r="Z56" s="1528"/>
    </row>
    <row r="57" spans="1:26">
      <c r="A57" s="1463" t="s">
        <v>1198</v>
      </c>
      <c r="B57" s="1479">
        <f t="shared" si="65"/>
        <v>122.57204301075269</v>
      </c>
      <c r="C57" s="1479">
        <f t="shared" si="65"/>
        <v>123.4932735426009</v>
      </c>
      <c r="D57" s="1479">
        <f t="shared" si="35"/>
        <v>123.4932735426009</v>
      </c>
      <c r="E57" s="1479">
        <f t="shared" si="66"/>
        <v>129.82233502538071</v>
      </c>
      <c r="F57" s="1479">
        <f t="shared" si="66"/>
        <v>107.39446721311475</v>
      </c>
      <c r="G57" s="3269">
        <v>2005</v>
      </c>
      <c r="H57" s="1466">
        <v>1</v>
      </c>
      <c r="I57" s="1466">
        <v>0.43</v>
      </c>
      <c r="J57" s="1466">
        <v>0.37</v>
      </c>
      <c r="K57" s="1466">
        <v>0.37</v>
      </c>
      <c r="L57" s="1480">
        <v>0.55000000000000004</v>
      </c>
      <c r="N57" s="1529">
        <f t="shared" si="63"/>
        <v>1.2992090997956099E-2</v>
      </c>
      <c r="O57" s="1530">
        <f t="shared" si="63"/>
        <v>1.2239947070499151E-2</v>
      </c>
      <c r="P57" s="1530">
        <f t="shared" si="64"/>
        <v>4.6954314720812178E-2</v>
      </c>
      <c r="Q57" s="1530">
        <f t="shared" si="64"/>
        <v>3.6866094683621815E-3</v>
      </c>
      <c r="R57" s="1476"/>
      <c r="S57" s="1482">
        <f>B57/B58-1</f>
        <v>1.2992090997956174E-2</v>
      </c>
      <c r="T57" s="1483">
        <f>C57/C58-1</f>
        <v>1.2239947070499246E-2</v>
      </c>
      <c r="U57" s="1483">
        <f>E57/E58-1</f>
        <v>4.695431472081224E-2</v>
      </c>
      <c r="V57" s="1483">
        <f>F57/F58-1</f>
        <v>3.6866094683620787E-3</v>
      </c>
      <c r="X57" s="1528"/>
      <c r="Y57" s="1528"/>
      <c r="Z57" s="1528"/>
    </row>
    <row r="58" spans="1:26" ht="13.5" thickBot="1">
      <c r="A58" s="1463" t="s">
        <v>1199</v>
      </c>
      <c r="B58" s="1513">
        <v>121</v>
      </c>
      <c r="C58" s="1513">
        <v>122</v>
      </c>
      <c r="D58" s="1513">
        <f t="shared" si="35"/>
        <v>122</v>
      </c>
      <c r="E58" s="1513">
        <v>124</v>
      </c>
      <c r="F58" s="1514">
        <v>107</v>
      </c>
      <c r="G58" s="3267">
        <v>2004</v>
      </c>
      <c r="H58" s="1484">
        <v>4</v>
      </c>
      <c r="I58" s="1484">
        <v>0.33</v>
      </c>
      <c r="J58" s="1484">
        <v>0.5</v>
      </c>
      <c r="K58" s="1484">
        <v>0.5</v>
      </c>
      <c r="L58" s="1485">
        <v>0</v>
      </c>
      <c r="N58" s="1526">
        <f t="shared" ref="N58:O61" si="67">I58/SUM(I$58:I$61)*(B$58/B$62-1)</f>
        <v>1.3391770148526898E-2</v>
      </c>
      <c r="O58" s="1527">
        <f t="shared" si="67"/>
        <v>1.063264221158958E-2</v>
      </c>
      <c r="P58" s="1527">
        <f t="shared" ref="P58:Q61" si="68">K58/SUM(K$58:K$61)*(E$58/E$62-1)</f>
        <v>2.2244466688911134E-2</v>
      </c>
      <c r="Q58" s="1527">
        <f t="shared" si="68"/>
        <v>0</v>
      </c>
      <c r="R58" s="1476"/>
      <c r="S58" s="1477"/>
      <c r="T58" s="1478"/>
      <c r="U58" s="1478"/>
      <c r="V58" s="1478"/>
      <c r="X58" s="1528"/>
      <c r="Y58" s="1528"/>
      <c r="Z58" s="1528"/>
    </row>
    <row r="59" spans="1:26">
      <c r="A59" s="1463" t="s">
        <v>1200</v>
      </c>
      <c r="B59" s="1479">
        <f t="shared" ref="B59:C61" si="69">B60+(B$58-B$62)*I59/SUM(I$58:I$61)</f>
        <v>119.51351351351352</v>
      </c>
      <c r="C59" s="1479">
        <f t="shared" si="69"/>
        <v>120.7878787878788</v>
      </c>
      <c r="D59" s="1479">
        <f t="shared" si="35"/>
        <v>120.7878787878788</v>
      </c>
      <c r="E59" s="1479">
        <f t="shared" ref="E59:F61" si="70">E60+(E$58-E$62)*K59/SUM(K$58:K$61)</f>
        <v>121.5975975975976</v>
      </c>
      <c r="F59" s="1479">
        <f t="shared" si="70"/>
        <v>107</v>
      </c>
      <c r="G59" s="3268">
        <v>2004</v>
      </c>
      <c r="H59" s="1489">
        <v>3</v>
      </c>
      <c r="I59" s="1489">
        <v>0.56000000000000005</v>
      </c>
      <c r="J59" s="1489">
        <v>0.8</v>
      </c>
      <c r="K59" s="1489">
        <v>0.83</v>
      </c>
      <c r="L59" s="1490">
        <v>0.06</v>
      </c>
      <c r="N59" s="1526">
        <f t="shared" si="67"/>
        <v>2.2725428130833527E-2</v>
      </c>
      <c r="O59" s="1527">
        <f t="shared" si="67"/>
        <v>1.7012227538543329E-2</v>
      </c>
      <c r="P59" s="1527">
        <f t="shared" si="68"/>
        <v>3.6925814703592477E-2</v>
      </c>
      <c r="Q59" s="1527">
        <f t="shared" si="68"/>
        <v>2.8846153846153744E-2</v>
      </c>
      <c r="R59" s="1476"/>
      <c r="S59" s="1474"/>
      <c r="T59" s="1475"/>
      <c r="U59" s="1475"/>
      <c r="V59" s="1475"/>
      <c r="X59" s="1528"/>
      <c r="Y59" s="1528"/>
      <c r="Z59" s="1528"/>
    </row>
    <row r="60" spans="1:26">
      <c r="A60" s="1463" t="s">
        <v>1201</v>
      </c>
      <c r="B60" s="1479">
        <f t="shared" si="69"/>
        <v>116.99099099099099</v>
      </c>
      <c r="C60" s="1479">
        <f t="shared" si="69"/>
        <v>118.84848484848486</v>
      </c>
      <c r="D60" s="1479">
        <f t="shared" si="35"/>
        <v>118.84848484848486</v>
      </c>
      <c r="E60" s="1479">
        <f t="shared" si="70"/>
        <v>117.60960960960961</v>
      </c>
      <c r="F60" s="1479">
        <f t="shared" si="70"/>
        <v>104</v>
      </c>
      <c r="G60" s="3268">
        <v>2004</v>
      </c>
      <c r="H60" s="1467">
        <v>2</v>
      </c>
      <c r="I60" s="1467">
        <v>1</v>
      </c>
      <c r="J60" s="1467">
        <v>1.5</v>
      </c>
      <c r="K60" s="1467">
        <v>1.5</v>
      </c>
      <c r="L60" s="1481">
        <v>0</v>
      </c>
      <c r="N60" s="1526">
        <f t="shared" si="67"/>
        <v>4.0581121662202721E-2</v>
      </c>
      <c r="O60" s="1527">
        <f t="shared" si="67"/>
        <v>3.1897926634768738E-2</v>
      </c>
      <c r="P60" s="1527">
        <f t="shared" si="68"/>
        <v>6.6733400066733395E-2</v>
      </c>
      <c r="Q60" s="1527">
        <f t="shared" si="68"/>
        <v>0</v>
      </c>
      <c r="R60" s="1476"/>
      <c r="S60" s="1474"/>
      <c r="T60" s="1475"/>
      <c r="U60" s="1475"/>
      <c r="V60" s="1475"/>
      <c r="X60" s="1528"/>
      <c r="Y60" s="1528"/>
      <c r="Z60" s="1528"/>
    </row>
    <row r="61" spans="1:26" s="1519" customFormat="1" ht="13.5" thickBot="1">
      <c r="A61" s="1463" t="s">
        <v>1202</v>
      </c>
      <c r="B61" s="1516">
        <f t="shared" si="69"/>
        <v>112.48648648648648</v>
      </c>
      <c r="C61" s="1516">
        <f t="shared" si="69"/>
        <v>115.21212121212122</v>
      </c>
      <c r="D61" s="1516">
        <f t="shared" si="35"/>
        <v>115.21212121212122</v>
      </c>
      <c r="E61" s="1516">
        <f t="shared" si="70"/>
        <v>110.4024024024024</v>
      </c>
      <c r="F61" s="1516">
        <f t="shared" si="70"/>
        <v>104</v>
      </c>
      <c r="G61" s="3269">
        <v>2004</v>
      </c>
      <c r="H61" s="1517">
        <v>1</v>
      </c>
      <c r="I61" s="1517">
        <v>0.33</v>
      </c>
      <c r="J61" s="1517">
        <v>0.5</v>
      </c>
      <c r="K61" s="1517">
        <v>0.5</v>
      </c>
      <c r="L61" s="1518">
        <v>0</v>
      </c>
      <c r="N61" s="1531">
        <f t="shared" si="67"/>
        <v>1.3391770148526898E-2</v>
      </c>
      <c r="O61" s="1532">
        <f t="shared" si="67"/>
        <v>1.063264221158958E-2</v>
      </c>
      <c r="P61" s="1532">
        <f t="shared" si="68"/>
        <v>2.2244466688911134E-2</v>
      </c>
      <c r="Q61" s="1532">
        <f t="shared" si="68"/>
        <v>0</v>
      </c>
      <c r="R61" s="1522"/>
      <c r="S61" s="1520">
        <f>B61/B62-1</f>
        <v>1.3391770148526883E-2</v>
      </c>
      <c r="T61" s="1521">
        <f>C61/C62-1</f>
        <v>1.063264221158966E-2</v>
      </c>
      <c r="U61" s="1521">
        <f>E61/E62-1</f>
        <v>2.2244466688911224E-2</v>
      </c>
      <c r="V61" s="1521">
        <f>F61/F62-1</f>
        <v>0</v>
      </c>
      <c r="X61" s="1533"/>
      <c r="Y61" s="1533"/>
      <c r="Z61" s="1533"/>
    </row>
    <row r="62" spans="1:26" ht="13.5" thickBot="1">
      <c r="A62" s="1463" t="s">
        <v>1203</v>
      </c>
      <c r="B62" s="1534">
        <v>111</v>
      </c>
      <c r="C62" s="1534">
        <v>114</v>
      </c>
      <c r="D62" s="1534">
        <f t="shared" si="35"/>
        <v>114</v>
      </c>
      <c r="E62" s="1534">
        <v>108</v>
      </c>
      <c r="F62" s="1535">
        <v>104</v>
      </c>
      <c r="G62" s="3267">
        <v>2003</v>
      </c>
      <c r="H62" s="1524">
        <v>4</v>
      </c>
      <c r="I62" s="1536"/>
      <c r="J62" s="1536"/>
      <c r="K62" s="1536"/>
      <c r="L62" s="1536"/>
      <c r="N62" s="1537"/>
      <c r="O62" s="1536"/>
      <c r="P62" s="1536"/>
      <c r="Q62" s="1536"/>
      <c r="S62" s="1537"/>
      <c r="T62" s="1536"/>
      <c r="U62" s="1536"/>
      <c r="V62" s="1536"/>
      <c r="X62" s="1528"/>
      <c r="Y62" s="1528"/>
      <c r="Z62" s="1528"/>
    </row>
    <row r="63" spans="1:26">
      <c r="A63" s="1463" t="s">
        <v>1204</v>
      </c>
      <c r="B63" s="1538">
        <f t="shared" ref="B63:C65" si="71">B64+(B$62-B$66)/4</f>
        <v>109.75</v>
      </c>
      <c r="C63" s="1538">
        <f t="shared" si="71"/>
        <v>112.25</v>
      </c>
      <c r="D63" s="1538">
        <f t="shared" si="35"/>
        <v>112.25</v>
      </c>
      <c r="E63" s="1538">
        <f t="shared" ref="E63:F65" si="72">E64+(E$62-E$66)/4</f>
        <v>107.25</v>
      </c>
      <c r="F63" s="1538">
        <f t="shared" si="72"/>
        <v>103.5</v>
      </c>
      <c r="G63" s="3268">
        <v>2003</v>
      </c>
      <c r="H63" s="1489">
        <v>3</v>
      </c>
      <c r="I63" s="1536"/>
      <c r="J63" s="1536"/>
      <c r="K63" s="1536"/>
      <c r="L63" s="1536"/>
      <c r="X63" s="1528"/>
      <c r="Y63" s="1528"/>
      <c r="Z63" s="1528"/>
    </row>
    <row r="64" spans="1:26">
      <c r="A64" s="1463" t="s">
        <v>1205</v>
      </c>
      <c r="B64" s="1538">
        <f t="shared" si="71"/>
        <v>108.5</v>
      </c>
      <c r="C64" s="1538">
        <f t="shared" si="71"/>
        <v>110.5</v>
      </c>
      <c r="D64" s="1538">
        <f t="shared" si="35"/>
        <v>110.5</v>
      </c>
      <c r="E64" s="1538">
        <f t="shared" si="72"/>
        <v>106.5</v>
      </c>
      <c r="F64" s="1538">
        <f t="shared" si="72"/>
        <v>103</v>
      </c>
      <c r="G64" s="3268">
        <v>2003</v>
      </c>
      <c r="H64" s="1467">
        <v>2</v>
      </c>
      <c r="I64" s="1536"/>
      <c r="J64" s="1536"/>
      <c r="K64" s="1536"/>
      <c r="L64" s="1536"/>
      <c r="X64" s="1528"/>
      <c r="Y64" s="1528"/>
      <c r="Z64" s="1528"/>
    </row>
    <row r="65" spans="1:26" ht="13.5" thickBot="1">
      <c r="A65" s="1463" t="s">
        <v>1206</v>
      </c>
      <c r="B65" s="1538">
        <f t="shared" si="71"/>
        <v>107.25</v>
      </c>
      <c r="C65" s="1538">
        <f t="shared" si="71"/>
        <v>108.75</v>
      </c>
      <c r="D65" s="1538">
        <f t="shared" si="35"/>
        <v>108.75</v>
      </c>
      <c r="E65" s="1538">
        <f t="shared" si="72"/>
        <v>105.75</v>
      </c>
      <c r="F65" s="1538">
        <f t="shared" si="72"/>
        <v>102.5</v>
      </c>
      <c r="G65" s="3269">
        <v>2003</v>
      </c>
      <c r="H65" s="1539">
        <v>1</v>
      </c>
      <c r="I65" s="1536"/>
      <c r="J65" s="1536"/>
      <c r="K65" s="1536"/>
      <c r="L65" s="1536"/>
      <c r="S65" s="1474"/>
      <c r="T65" s="1475"/>
      <c r="U65" s="1475"/>
      <c r="X65" s="1528"/>
      <c r="Y65" s="1528"/>
      <c r="Z65" s="1528"/>
    </row>
    <row r="66" spans="1:26" ht="13.5" thickBot="1">
      <c r="A66" s="1463" t="s">
        <v>1207</v>
      </c>
      <c r="B66" s="1540">
        <v>106</v>
      </c>
      <c r="C66" s="1540">
        <v>107</v>
      </c>
      <c r="D66" s="1540">
        <f t="shared" si="35"/>
        <v>107</v>
      </c>
      <c r="E66" s="1540">
        <v>105</v>
      </c>
      <c r="F66" s="1541">
        <v>102</v>
      </c>
      <c r="G66" s="3267">
        <v>2002</v>
      </c>
      <c r="H66" s="1484">
        <v>4</v>
      </c>
      <c r="I66" s="1536"/>
      <c r="J66" s="1536"/>
      <c r="K66" s="1536"/>
      <c r="L66" s="1536"/>
      <c r="N66" s="1537"/>
      <c r="O66" s="1536"/>
      <c r="P66" s="1536"/>
      <c r="Q66" s="1536"/>
      <c r="S66" s="1537"/>
      <c r="T66" s="1536"/>
      <c r="U66" s="1536"/>
      <c r="V66" s="1536"/>
      <c r="X66" s="1528"/>
      <c r="Y66" s="1528"/>
      <c r="Z66" s="1528"/>
    </row>
    <row r="67" spans="1:26">
      <c r="A67" s="1463" t="s">
        <v>1208</v>
      </c>
      <c r="B67" s="1538">
        <f t="shared" ref="B67:C69" si="73">B68+(B$66-B$70)/4</f>
        <v>105</v>
      </c>
      <c r="C67" s="1538">
        <f t="shared" si="73"/>
        <v>106</v>
      </c>
      <c r="D67" s="1538">
        <f t="shared" si="35"/>
        <v>106</v>
      </c>
      <c r="E67" s="1538">
        <f t="shared" ref="E67:F69" si="74">E68+(E$66-E$70)/4</f>
        <v>104.5</v>
      </c>
      <c r="F67" s="1538">
        <f t="shared" si="74"/>
        <v>101.5</v>
      </c>
      <c r="G67" s="3268">
        <v>2002</v>
      </c>
      <c r="H67" s="1489">
        <v>3</v>
      </c>
      <c r="I67" s="1536"/>
      <c r="J67" s="1536"/>
      <c r="K67" s="1536"/>
      <c r="L67" s="1536"/>
      <c r="X67" s="1528"/>
      <c r="Y67" s="1528"/>
      <c r="Z67" s="1528"/>
    </row>
    <row r="68" spans="1:26">
      <c r="A68" s="1463" t="s">
        <v>1209</v>
      </c>
      <c r="B68" s="1538">
        <f t="shared" si="73"/>
        <v>104</v>
      </c>
      <c r="C68" s="1538">
        <f t="shared" si="73"/>
        <v>105</v>
      </c>
      <c r="D68" s="1538">
        <f t="shared" si="35"/>
        <v>105</v>
      </c>
      <c r="E68" s="1538">
        <f t="shared" si="74"/>
        <v>104</v>
      </c>
      <c r="F68" s="1538">
        <f t="shared" si="74"/>
        <v>101</v>
      </c>
      <c r="G68" s="3268">
        <v>2002</v>
      </c>
      <c r="H68" s="1467">
        <v>2</v>
      </c>
      <c r="I68" s="1536"/>
      <c r="J68" s="1536"/>
      <c r="K68" s="1536"/>
      <c r="L68" s="1536"/>
      <c r="X68" s="1528"/>
      <c r="Y68" s="1528"/>
      <c r="Z68" s="1528"/>
    </row>
    <row r="69" spans="1:26" s="1500" customFormat="1" ht="13.5" thickBot="1">
      <c r="A69" s="1496" t="s">
        <v>1210</v>
      </c>
      <c r="B69" s="1542">
        <f t="shared" si="73"/>
        <v>103</v>
      </c>
      <c r="C69" s="1542">
        <f t="shared" si="73"/>
        <v>104</v>
      </c>
      <c r="D69" s="1542">
        <f t="shared" si="35"/>
        <v>104</v>
      </c>
      <c r="E69" s="1542">
        <f t="shared" si="74"/>
        <v>103.5</v>
      </c>
      <c r="F69" s="1542">
        <f t="shared" si="74"/>
        <v>100.5</v>
      </c>
      <c r="G69" s="3269">
        <v>2002</v>
      </c>
      <c r="H69" s="1543">
        <v>1</v>
      </c>
      <c r="I69" s="1544"/>
      <c r="J69" s="1544"/>
      <c r="K69" s="1544"/>
      <c r="L69" s="1544"/>
      <c r="N69" s="1545"/>
      <c r="S69" s="1545"/>
      <c r="X69" s="1546"/>
      <c r="Y69" s="1546"/>
      <c r="Z69" s="1546"/>
    </row>
    <row r="70" spans="1:26" ht="13.5" thickBot="1">
      <c r="B70" s="1547">
        <v>102</v>
      </c>
      <c r="C70" s="1548">
        <v>103</v>
      </c>
      <c r="D70" s="1548">
        <f t="shared" si="35"/>
        <v>103</v>
      </c>
      <c r="E70" s="1548">
        <v>103</v>
      </c>
      <c r="F70" s="1549">
        <v>100</v>
      </c>
      <c r="I70" s="1536"/>
      <c r="J70" s="1536"/>
      <c r="K70" s="1536"/>
      <c r="L70" s="1536"/>
      <c r="N70" s="1537"/>
      <c r="O70" s="1536"/>
      <c r="P70" s="1536"/>
      <c r="Q70" s="1536"/>
      <c r="S70" s="1537"/>
      <c r="T70" s="1536"/>
      <c r="U70" s="1536"/>
      <c r="V70" s="1536"/>
      <c r="X70" s="1478"/>
      <c r="Y70" s="1478"/>
      <c r="Z70" s="1478"/>
    </row>
    <row r="72" spans="1:26" s="1551" customFormat="1">
      <c r="A72" s="1550" t="s">
        <v>1211</v>
      </c>
      <c r="G72" s="1552"/>
      <c r="N72" s="1552"/>
      <c r="S72" s="1552"/>
    </row>
    <row r="73" spans="1:26" s="1551" customFormat="1">
      <c r="A73" s="1551" t="s">
        <v>1212</v>
      </c>
      <c r="G73" s="1552"/>
      <c r="N73" s="1552"/>
      <c r="S73" s="1552"/>
    </row>
    <row r="74" spans="1:26" s="1551" customFormat="1">
      <c r="A74" s="1551" t="s">
        <v>1213</v>
      </c>
      <c r="G74" s="1552"/>
      <c r="I74" s="1553"/>
      <c r="J74" s="1553"/>
      <c r="K74" s="1553"/>
      <c r="L74" s="1553"/>
      <c r="N74" s="1554"/>
      <c r="O74" s="1553"/>
      <c r="P74" s="1553"/>
      <c r="Q74" s="1553"/>
      <c r="S74" s="1554"/>
      <c r="T74" s="1553"/>
      <c r="U74" s="1553"/>
      <c r="V74" s="1553"/>
    </row>
    <row r="75" spans="1:26" s="1551" customFormat="1">
      <c r="A75" s="1551" t="s">
        <v>1214</v>
      </c>
      <c r="G75" s="1552"/>
      <c r="N75" s="1552"/>
      <c r="S75" s="1552"/>
    </row>
    <row r="82" spans="7:22" ht="13.5" thickBot="1"/>
    <row r="83" spans="7:22">
      <c r="G83" s="1473"/>
      <c r="S83" s="1555" t="s">
        <v>1215</v>
      </c>
      <c r="T83" s="1556" t="s">
        <v>1216</v>
      </c>
      <c r="U83" s="1556" t="s">
        <v>1217</v>
      </c>
      <c r="V83" s="1556" t="s">
        <v>1218</v>
      </c>
    </row>
    <row r="84" spans="7:22">
      <c r="G84" s="1473"/>
      <c r="N84" s="1477"/>
      <c r="O84" s="1478"/>
      <c r="P84" s="1478"/>
      <c r="Q84" s="1478"/>
      <c r="S84" s="1557">
        <v>2006</v>
      </c>
      <c r="T84" s="1558">
        <v>15.1</v>
      </c>
      <c r="U84" s="1558">
        <v>7.43</v>
      </c>
      <c r="V84" s="1558">
        <v>26.26</v>
      </c>
    </row>
    <row r="85" spans="7:22">
      <c r="G85" s="1473"/>
      <c r="N85" s="1477"/>
      <c r="O85" s="1478"/>
      <c r="P85" s="1478"/>
      <c r="Q85" s="1478"/>
      <c r="S85" s="1559">
        <v>2005</v>
      </c>
      <c r="T85" s="1560">
        <v>13.9</v>
      </c>
      <c r="U85" s="1560">
        <v>7.49</v>
      </c>
      <c r="V85" s="1560">
        <v>24.92</v>
      </c>
    </row>
    <row r="86" spans="7:22">
      <c r="G86" s="1473"/>
      <c r="N86" s="1477"/>
      <c r="O86" s="1478"/>
      <c r="P86" s="1478"/>
      <c r="Q86" s="1478"/>
      <c r="S86" s="1557">
        <v>2004</v>
      </c>
      <c r="T86" s="1558">
        <v>9.48</v>
      </c>
      <c r="U86" s="1558">
        <v>7.2</v>
      </c>
      <c r="V86" s="1558">
        <v>14.68</v>
      </c>
    </row>
    <row r="87" spans="7:22">
      <c r="G87" s="1473"/>
      <c r="N87" s="1477"/>
      <c r="O87" s="1478"/>
      <c r="P87" s="1478"/>
      <c r="Q87" s="1478"/>
      <c r="S87" s="1559">
        <v>2003</v>
      </c>
      <c r="T87" s="1560">
        <v>4.5</v>
      </c>
      <c r="U87" s="1560">
        <v>6.12</v>
      </c>
      <c r="V87" s="1560">
        <v>2.34</v>
      </c>
    </row>
    <row r="88" spans="7:22" ht="13.5" thickBot="1">
      <c r="G88" s="1473"/>
      <c r="N88" s="1477"/>
      <c r="O88" s="1478"/>
      <c r="P88" s="1478"/>
      <c r="Q88" s="1478"/>
      <c r="S88" s="1561">
        <v>2002</v>
      </c>
      <c r="T88" s="1562">
        <v>3.59</v>
      </c>
      <c r="U88" s="1562">
        <v>4.54</v>
      </c>
      <c r="V88" s="1562">
        <v>2.5499999999999998</v>
      </c>
    </row>
    <row r="89" spans="7:22">
      <c r="G89" s="1473"/>
      <c r="N89" s="1477"/>
      <c r="O89" s="1478"/>
      <c r="P89" s="1478"/>
      <c r="Q89" s="1478"/>
    </row>
    <row r="90" spans="7:22">
      <c r="G90" s="1473"/>
      <c r="N90" s="1477"/>
      <c r="O90" s="1478"/>
      <c r="P90" s="1478"/>
      <c r="Q90" s="1478"/>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c r="S99" s="1473"/>
    </row>
    <row r="100" spans="7:19">
      <c r="G100" s="1473"/>
      <c r="N100" s="1477"/>
      <c r="O100" s="1478"/>
      <c r="P100" s="1478"/>
      <c r="Q100" s="1478"/>
      <c r="S100" s="1473"/>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6" t="s">
        <v>2993</v>
      </c>
      <c r="C1" s="3276" t="s">
        <v>2994</v>
      </c>
      <c r="D1" s="3277"/>
      <c r="E1" s="3277"/>
      <c r="F1" s="3277"/>
      <c r="G1" s="3277"/>
      <c r="H1" s="3277"/>
      <c r="I1" s="3277"/>
      <c r="J1" s="3277"/>
      <c r="K1" s="3277"/>
      <c r="L1" s="3277"/>
      <c r="M1" s="3277"/>
      <c r="N1" s="3277"/>
      <c r="O1" s="3277"/>
      <c r="P1" s="3277"/>
      <c r="Q1" s="3277"/>
      <c r="R1" s="3277"/>
      <c r="S1" s="3278"/>
      <c r="T1" s="1206" t="s">
        <v>2995</v>
      </c>
    </row>
    <row r="2" spans="1:45" s="707" customFormat="1">
      <c r="A2" s="1207"/>
      <c r="B2" s="703" t="s">
        <v>2996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8"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9"/>
      <c r="B3" s="708"/>
      <c r="C3" s="709"/>
      <c r="D3" s="710"/>
      <c r="E3" s="710"/>
      <c r="F3" s="1706"/>
      <c r="G3" s="1706"/>
      <c r="H3" s="1706"/>
      <c r="I3" s="1706"/>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7"/>
      <c r="B5" s="1771" t="s">
        <v>2997</v>
      </c>
      <c r="C5" s="1218"/>
      <c r="D5" s="1219"/>
      <c r="E5" s="1219"/>
      <c r="F5" s="1713"/>
      <c r="G5" s="1713"/>
      <c r="H5" s="1713"/>
      <c r="I5" s="1713"/>
      <c r="J5" s="1713"/>
      <c r="K5" s="1713"/>
      <c r="L5" s="1714"/>
      <c r="M5" s="1715"/>
      <c r="N5" s="1715"/>
      <c r="O5" s="1713"/>
      <c r="P5" s="1713"/>
      <c r="Q5" s="1713"/>
      <c r="R5" s="1713"/>
      <c r="S5" s="1716"/>
      <c r="T5" s="1221"/>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7"/>
      <c r="B7" s="1772" t="s">
        <v>2998</v>
      </c>
      <c r="C7" s="1123"/>
      <c r="D7" s="1117"/>
      <c r="E7" s="1117"/>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7"/>
      <c r="B9" s="1772" t="s">
        <v>2999</v>
      </c>
      <c r="C9" s="1123"/>
      <c r="D9" s="1117"/>
      <c r="E9" s="1117"/>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7"/>
      <c r="B11" s="1771" t="s">
        <v>3000</v>
      </c>
      <c r="C11" s="1218"/>
      <c r="D11" s="1219"/>
      <c r="E11" s="1219"/>
      <c r="F11" s="1219"/>
      <c r="G11" s="1219"/>
      <c r="H11" s="1219"/>
      <c r="I11" s="1219"/>
      <c r="J11" s="1219"/>
      <c r="K11" s="1219"/>
      <c r="L11" s="1219"/>
      <c r="M11" s="1220"/>
      <c r="N11" s="1224"/>
      <c r="O11" s="1225"/>
      <c r="P11" s="1226"/>
      <c r="Q11" s="1227"/>
      <c r="R11" s="1228"/>
      <c r="S11" s="1229"/>
      <c r="T11" s="1221"/>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7"/>
      <c r="B13" s="1771" t="s">
        <v>3001</v>
      </c>
      <c r="C13" s="1218"/>
      <c r="D13" s="1219"/>
      <c r="E13" s="1219"/>
      <c r="F13" s="1219"/>
      <c r="G13" s="1219"/>
      <c r="H13" s="1219"/>
      <c r="I13" s="1219"/>
      <c r="J13" s="1219"/>
      <c r="K13" s="1219"/>
      <c r="L13" s="1219"/>
      <c r="M13" s="1220"/>
      <c r="N13" s="1224"/>
      <c r="O13" s="1225"/>
      <c r="P13" s="1226"/>
      <c r="Q13" s="1227"/>
      <c r="R13" s="1228"/>
      <c r="S13" s="1229"/>
      <c r="T13" s="1230"/>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7"/>
      <c r="B15" s="1771" t="s">
        <v>3002</v>
      </c>
      <c r="C15" s="1218"/>
      <c r="D15" s="1219"/>
      <c r="E15" s="1219"/>
      <c r="F15" s="1219"/>
      <c r="G15" s="1219"/>
      <c r="H15" s="1219"/>
      <c r="I15" s="1219"/>
      <c r="J15" s="1219"/>
      <c r="K15" s="1219"/>
      <c r="L15" s="1219"/>
      <c r="M15" s="1220"/>
      <c r="N15" s="1224"/>
      <c r="O15" s="1225"/>
      <c r="P15" s="1226"/>
      <c r="Q15" s="1227"/>
      <c r="R15" s="1228"/>
      <c r="S15" s="1229"/>
      <c r="T15" s="1230"/>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1" t="s">
        <v>3003</v>
      </c>
      <c r="B17" s="2912" t="s">
        <v>3004</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6"/>
      <c r="AS17" s="796"/>
    </row>
    <row r="18" spans="1:45" s="707"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6"/>
      <c r="AS18" s="796"/>
    </row>
    <row r="19" spans="1:45">
      <c r="A19" s="138"/>
      <c r="B19" s="168"/>
      <c r="C19" s="168"/>
      <c r="D19" s="2913" t="s">
        <v>3005</v>
      </c>
      <c r="E19" s="1794"/>
      <c r="F19" s="1794"/>
      <c r="G19" s="1794"/>
      <c r="H19" s="1282"/>
      <c r="I19" s="168"/>
      <c r="J19" s="168"/>
      <c r="K19" s="168"/>
      <c r="L19" s="168"/>
      <c r="M19" s="168"/>
      <c r="N19" s="168"/>
      <c r="O19" s="168"/>
      <c r="P19" s="168"/>
      <c r="Q19" s="168"/>
      <c r="R19" s="788"/>
      <c r="S19" s="138"/>
    </row>
    <row r="20" spans="1:45" ht="16.5" thickBot="1">
      <c r="A20" s="715" t="s">
        <v>3006</v>
      </c>
      <c r="B20" s="338" t="e">
        <f ca="1">IF(D20="——",S22,S22-F20)</f>
        <v>#REF!</v>
      </c>
      <c r="C20" s="168"/>
      <c r="D20" s="2914" t="s">
        <v>3007</v>
      </c>
      <c r="E20" s="1795"/>
      <c r="F20" s="1206" t="e">
        <f ca="1">SUMIF(INDIRECT("'"&amp;H20&amp;"'"&amp;"!A:A"),"承租人权益价值",INDIRECT("'"&amp;H20&amp;"'"&amp;"!c:c"))</f>
        <v>#REF!</v>
      </c>
      <c r="G20" s="1206" t="s">
        <v>3008</v>
      </c>
      <c r="H20" s="2915"/>
      <c r="I20" s="168"/>
      <c r="J20" s="168"/>
      <c r="K20" s="168"/>
      <c r="L20" s="168"/>
      <c r="M20" s="168"/>
      <c r="N20" s="168"/>
      <c r="O20" s="168"/>
      <c r="P20" s="168"/>
      <c r="Q20" s="168"/>
      <c r="R20" s="788"/>
      <c r="S20" s="138"/>
    </row>
    <row r="21" spans="1:45" ht="15.75">
      <c r="A21" s="715" t="s">
        <v>3009</v>
      </c>
      <c r="B21" s="338">
        <f>R22</f>
        <v>10000</v>
      </c>
      <c r="C21" s="168"/>
      <c r="D21" s="168"/>
      <c r="E21" s="168"/>
      <c r="F21" s="168"/>
      <c r="G21" s="168"/>
      <c r="H21" s="168"/>
      <c r="I21" s="168"/>
      <c r="J21" s="168"/>
      <c r="K21" s="168"/>
      <c r="L21" s="168"/>
      <c r="M21" s="168"/>
      <c r="N21" s="168"/>
      <c r="O21" s="168"/>
      <c r="P21" s="168"/>
      <c r="Q21" s="168"/>
      <c r="R21" s="788"/>
      <c r="S21" s="138"/>
    </row>
    <row r="22" spans="1:45">
      <c r="A22" s="361" t="s">
        <v>3010</v>
      </c>
      <c r="B22" s="24">
        <f>SUM(B24:B10000)</f>
        <v>100</v>
      </c>
      <c r="C22" s="3059" t="s">
        <v>33</v>
      </c>
      <c r="D22" s="3060"/>
      <c r="E22" s="3060"/>
      <c r="F22" s="3060"/>
      <c r="G22" s="3060"/>
      <c r="H22" s="3060"/>
      <c r="I22" s="3060"/>
      <c r="J22" s="3060"/>
      <c r="K22" s="3060"/>
      <c r="L22" s="3060"/>
      <c r="M22" s="3060"/>
      <c r="N22" s="3060"/>
      <c r="O22" s="3060"/>
      <c r="P22" s="3060"/>
      <c r="Q22" s="3275"/>
      <c r="R22" s="716">
        <f>ROUND(S22*10000/B22,0)</f>
        <v>10000</v>
      </c>
      <c r="S22" s="24">
        <f>SUM(S24:S10000)</f>
        <v>100</v>
      </c>
    </row>
    <row r="23" spans="1:45" s="12" customFormat="1" ht="24">
      <c r="A23" s="11" t="s">
        <v>3011</v>
      </c>
      <c r="B23" s="11" t="s">
        <v>3012</v>
      </c>
      <c r="C23" s="11" t="s">
        <v>3013</v>
      </c>
      <c r="D23" s="11" t="str">
        <f>B5</f>
        <v>修正项2</v>
      </c>
      <c r="E23" s="11" t="s">
        <v>3013</v>
      </c>
      <c r="F23" s="11" t="str">
        <f>B7</f>
        <v>修正项3</v>
      </c>
      <c r="G23" s="11" t="s">
        <v>3013</v>
      </c>
      <c r="H23" s="11" t="str">
        <f>B9</f>
        <v>修正项4</v>
      </c>
      <c r="I23" s="11" t="s">
        <v>3013</v>
      </c>
      <c r="J23" s="11" t="str">
        <f>B11</f>
        <v>修正项5</v>
      </c>
      <c r="K23" s="11" t="s">
        <v>3013</v>
      </c>
      <c r="L23" s="11" t="str">
        <f>B13</f>
        <v>修正项6</v>
      </c>
      <c r="M23" s="11" t="s">
        <v>3013</v>
      </c>
      <c r="N23" s="11" t="str">
        <f>B15</f>
        <v>修正项7</v>
      </c>
      <c r="O23" s="11" t="s">
        <v>3013</v>
      </c>
      <c r="P23" s="11" t="str">
        <f>B17</f>
        <v>楼层</v>
      </c>
      <c r="Q23" s="11" t="s">
        <v>3013</v>
      </c>
      <c r="R23" s="717" t="s">
        <v>3014</v>
      </c>
      <c r="S23" s="11" t="s">
        <v>3015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1621</v>
      </c>
      <c r="B1" s="1961"/>
      <c r="C1" s="1961"/>
      <c r="D1" s="1961"/>
      <c r="E1" s="1961"/>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v>
      </c>
      <c r="B3" s="2967"/>
      <c r="C3" s="2967"/>
      <c r="D3" s="2967"/>
      <c r="E3" s="2967"/>
    </row>
    <row r="4" spans="1:5" ht="19.5" thickBot="1">
      <c r="A4" s="1963"/>
      <c r="B4" s="2965" t="s">
        <v>1630</v>
      </c>
      <c r="C4" s="2965"/>
      <c r="D4" s="2965"/>
      <c r="E4" s="1963"/>
    </row>
    <row r="5" spans="1:5" ht="16.5" thickTop="1">
      <c r="A5" s="1961"/>
      <c r="B5" s="2963" t="s">
        <v>1622</v>
      </c>
      <c r="C5" s="1964" t="s">
        <v>1623</v>
      </c>
      <c r="D5" s="1042">
        <f ca="1">结果表!H101</f>
        <v>2064</v>
      </c>
      <c r="E5" s="1961"/>
    </row>
    <row r="6" spans="1:5" ht="15.75">
      <c r="A6" s="1961"/>
      <c r="B6" s="2963"/>
      <c r="C6" s="1964" t="s">
        <v>1624</v>
      </c>
      <c r="D6" s="1042" t="str">
        <f ca="1">NUMBERSTRING(INT(D5*10000),2)&amp;"元整"</f>
        <v>贰仟零陆拾肆万元整</v>
      </c>
      <c r="E6" s="1961"/>
    </row>
    <row r="7" spans="1:5" ht="15.75">
      <c r="A7" s="1961"/>
      <c r="B7" s="2968"/>
      <c r="C7" s="1965" t="s">
        <v>1625</v>
      </c>
      <c r="D7" s="1043">
        <f ca="1">结果表!H102</f>
        <v>16560</v>
      </c>
      <c r="E7" s="1961"/>
    </row>
    <row r="8" spans="1:5" ht="15.75">
      <c r="A8" s="1961"/>
      <c r="B8" s="2969" t="str">
        <f>结果表!E103</f>
        <v>2.估价师知悉的法定优先受偿款</v>
      </c>
      <c r="C8" s="1966" t="s">
        <v>1626</v>
      </c>
      <c r="D8" s="1043">
        <f>结果表!H103</f>
        <v>0</v>
      </c>
      <c r="E8" s="1961"/>
    </row>
    <row r="9" spans="1:5" ht="15.75">
      <c r="A9" s="1961"/>
      <c r="B9" s="2971"/>
      <c r="C9" s="1964" t="s">
        <v>1624</v>
      </c>
      <c r="D9" s="1042" t="str">
        <f>NUMBERSTRING(INT(D8*10000),2)&amp;"元整"</f>
        <v>零元整</v>
      </c>
      <c r="E9" s="1961"/>
    </row>
    <row r="10" spans="1:5" ht="15">
      <c r="A10" s="1961"/>
      <c r="B10" s="1967" t="s">
        <v>1629</v>
      </c>
      <c r="C10" s="1968" t="s">
        <v>1627</v>
      </c>
      <c r="D10" s="1044">
        <f>结果表!H104</f>
        <v>0</v>
      </c>
      <c r="E10" s="1961"/>
    </row>
    <row r="11" spans="1:5" ht="15">
      <c r="A11" s="1961"/>
      <c r="B11" s="1967" t="s">
        <v>1631</v>
      </c>
      <c r="C11" s="1968" t="s">
        <v>1632</v>
      </c>
      <c r="D11" s="1044">
        <f>结果表!H105</f>
        <v>0</v>
      </c>
      <c r="E11" s="1961"/>
    </row>
    <row r="12" spans="1:5" ht="15">
      <c r="A12" s="1961"/>
      <c r="B12" s="1967" t="s">
        <v>1633</v>
      </c>
      <c r="C12" s="1968" t="s">
        <v>1632</v>
      </c>
      <c r="D12" s="1044">
        <f>结果表!H106</f>
        <v>0</v>
      </c>
      <c r="E12" s="1961"/>
    </row>
    <row r="13" spans="1:5" ht="15.75">
      <c r="A13" s="1961"/>
      <c r="B13" s="2962" t="str">
        <f>结果表!E107</f>
        <v>3.房地产抵押价值</v>
      </c>
      <c r="C13" s="1969" t="s">
        <v>1623</v>
      </c>
      <c r="D13" s="1045">
        <f ca="1">结果表!H107</f>
        <v>2064</v>
      </c>
      <c r="E13" s="1961"/>
    </row>
    <row r="14" spans="1:5" ht="15.75">
      <c r="A14" s="1961"/>
      <c r="B14" s="2963"/>
      <c r="C14" s="1964" t="s">
        <v>1624</v>
      </c>
      <c r="D14" s="1042" t="str">
        <f ca="1">NUMBERSTRING(INT(D13*10000),2)&amp;"元整"</f>
        <v>贰仟零陆拾肆万元整</v>
      </c>
      <c r="E14" s="1961"/>
    </row>
    <row r="15" spans="1:5" ht="15">
      <c r="A15" s="1961"/>
      <c r="B15" s="2968"/>
      <c r="C15" s="1965" t="s">
        <v>1634</v>
      </c>
      <c r="D15" s="1054">
        <f ca="1">结果表!H108</f>
        <v>16560</v>
      </c>
      <c r="E15" s="1961"/>
    </row>
    <row r="16" spans="1:5" ht="15">
      <c r="A16" s="1961"/>
      <c r="B16" s="2969" t="str">
        <f>结果表!E109</f>
        <v>——</v>
      </c>
      <c r="C16" s="1969" t="s">
        <v>1635</v>
      </c>
      <c r="D16" s="1970" t="str">
        <f>结果表!H109</f>
        <v>——</v>
      </c>
      <c r="E16" s="1961"/>
    </row>
    <row r="17" spans="1:5" ht="15.75">
      <c r="A17" s="1961"/>
      <c r="B17" s="2970"/>
      <c r="C17" s="1964" t="s">
        <v>1636</v>
      </c>
      <c r="D17" s="1042" t="e">
        <f>NUMBERSTRING(INT(D16*10000),2)&amp;"元整"</f>
        <v>#VALUE!</v>
      </c>
      <c r="E17" s="1961"/>
    </row>
    <row r="18" spans="1:5" ht="15">
      <c r="A18" s="1961"/>
      <c r="B18" s="2971"/>
      <c r="C18" s="1965" t="s">
        <v>1625</v>
      </c>
      <c r="D18" s="1054" t="str">
        <f>结果表!H110</f>
        <v>——</v>
      </c>
      <c r="E18" s="1961"/>
    </row>
    <row r="19" spans="1:5" ht="15.75">
      <c r="A19" s="1961"/>
      <c r="B19" s="2962" t="str">
        <f>结果表!E111</f>
        <v>——</v>
      </c>
      <c r="C19" s="1969" t="s">
        <v>1623</v>
      </c>
      <c r="D19" s="1043" t="str">
        <f>结果表!H111</f>
        <v>——</v>
      </c>
      <c r="E19" s="1961"/>
    </row>
    <row r="20" spans="1:5" ht="15.75">
      <c r="A20" s="1961"/>
      <c r="B20" s="2963"/>
      <c r="C20" s="1964" t="s">
        <v>1636</v>
      </c>
      <c r="D20" s="1042" t="e">
        <f>NUMBERSTRING(INT(D19*10000),2)&amp;"元整"</f>
        <v>#VALUE!</v>
      </c>
      <c r="E20" s="1961"/>
    </row>
    <row r="21" spans="1:5" ht="15.75" thickBot="1">
      <c r="A21" s="1961"/>
      <c r="B21" s="2964"/>
      <c r="C21" s="1971" t="s">
        <v>1634</v>
      </c>
      <c r="D21" s="1055" t="str">
        <f>结果表!H112</f>
        <v>——</v>
      </c>
      <c r="E21" s="1961"/>
    </row>
    <row r="22" spans="1:5" ht="15" thickTop="1">
      <c r="A22" s="1961"/>
      <c r="B22" s="1972" t="s">
        <v>1637</v>
      </c>
      <c r="C22" s="1961"/>
      <c r="D22" s="1961"/>
      <c r="E22" s="1961"/>
    </row>
    <row r="23" spans="1:5">
      <c r="A23" s="1961"/>
      <c r="B23" s="1961"/>
      <c r="C23" s="1961"/>
      <c r="D23" s="1961"/>
      <c r="E23" s="1961"/>
    </row>
    <row r="24" spans="1:5" ht="18.75">
      <c r="A24" s="1973"/>
      <c r="B24" s="1974" t="s">
        <v>1628</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27087</v>
      </c>
      <c r="C2" s="2" t="s">
        <v>133</v>
      </c>
      <c r="D2" s="243"/>
      <c r="E2" s="243"/>
      <c r="F2" s="243"/>
      <c r="G2" s="243"/>
    </row>
    <row r="3" spans="1:7" s="244" customFormat="1" ht="18" customHeight="1" thickBot="1">
      <c r="A3" s="247" t="s">
        <v>85</v>
      </c>
      <c r="B3" s="248">
        <f ca="1">ROUND(B2*10000/'数据-汇总表'!E3,0)</f>
        <v>217322</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25</v>
      </c>
      <c r="D10" s="1035">
        <f>'数据-汇总表'!E6</f>
        <v>1246.4000000000001</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25</v>
      </c>
      <c r="D19" s="1039">
        <f>'数据-汇总表'!E3</f>
        <v>1246.4000000000001</v>
      </c>
      <c r="E19" s="255">
        <f>'数据-取费表'!B31</f>
        <v>200</v>
      </c>
      <c r="F19" s="275"/>
      <c r="G19" s="1" t="s">
        <v>1074</v>
      </c>
    </row>
    <row r="20" spans="1:7" s="258" customFormat="1" ht="13.5" customHeight="1">
      <c r="A20" s="951" t="s">
        <v>1057</v>
      </c>
      <c r="B20" s="254" t="s">
        <v>104</v>
      </c>
      <c r="C20" s="276">
        <f>ROUND((C5+C19)*F20,0)</f>
        <v>619</v>
      </c>
      <c r="D20" s="276"/>
      <c r="E20" s="276"/>
      <c r="F20" s="277">
        <f>'数据-取费表'!B37</f>
        <v>0.03</v>
      </c>
      <c r="G20" s="1291"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6">
        <f ca="1">ROUND(SUM(C23:C25),0)</f>
        <v>911</v>
      </c>
      <c r="D22" s="279">
        <f ca="1">C26</f>
        <v>6.9999999999999999E-4</v>
      </c>
      <c r="E22" s="280" t="s">
        <v>126</v>
      </c>
      <c r="F22" s="281">
        <f ca="1">'数据-取费表'!B40</f>
        <v>4.3499999999999997E-2</v>
      </c>
      <c r="G22" s="1291" t="str">
        <f>IF('数据-取费表'!B22&lt;=1,"单利计息","复利计息")</f>
        <v>单利计息</v>
      </c>
    </row>
    <row r="23" spans="1:7" s="258" customFormat="1" ht="13.5" customHeight="1">
      <c r="A23" s="954" t="s">
        <v>794</v>
      </c>
      <c r="B23" s="259" t="s">
        <v>1061</v>
      </c>
      <c r="C23" s="1357">
        <f ca="1">ROUND(IF('数据-取费表'!B22&lt;=1,C5*F22*'数据-取费表'!B23,C5*(POWER((1+F22),'数据-取费表'!B23)-1)),0)</f>
        <v>897</v>
      </c>
      <c r="D23" s="282"/>
      <c r="E23" s="282"/>
      <c r="F23" s="283"/>
      <c r="G23" s="284" t="s">
        <v>108</v>
      </c>
    </row>
    <row r="24" spans="1:7" s="258" customFormat="1" ht="13.5" customHeight="1">
      <c r="A24" s="954" t="s">
        <v>792</v>
      </c>
      <c r="B24" s="259" t="s">
        <v>1056</v>
      </c>
      <c r="C24" s="1357">
        <f ca="1">ROUND(IF('数据-取费表'!B22&lt;=1,C19*F22*('数据-取费表'!B19/2+'数据-取费表'!B21),C19*(POWER((1+F22),('数据-取费表'!B19/2+'数据-取费表'!B21))-1)),0)</f>
        <v>1</v>
      </c>
      <c r="D24" s="282"/>
      <c r="E24" s="282"/>
      <c r="F24" s="283"/>
      <c r="G24" s="284" t="s">
        <v>109</v>
      </c>
    </row>
    <row r="25" spans="1:7" s="258" customFormat="1" ht="24">
      <c r="A25" s="954" t="s">
        <v>793</v>
      </c>
      <c r="B25" s="259" t="s">
        <v>1058</v>
      </c>
      <c r="C25" s="1357">
        <f ca="1">ROUND(IF('数据-取费表'!B22&lt;=1,C20*F22*'数据-取费表'!B23/2,C20*(POWER((1+F22),'数据-取费表'!B23/2)-1)),0)</f>
        <v>13</v>
      </c>
      <c r="D25" s="282"/>
      <c r="E25" s="285"/>
      <c r="F25" s="283"/>
      <c r="G25" s="286" t="s">
        <v>110</v>
      </c>
    </row>
    <row r="26" spans="1:7" s="258" customFormat="1">
      <c r="A26" s="954" t="s">
        <v>795</v>
      </c>
      <c r="B26" s="259" t="s">
        <v>1060</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2125</v>
      </c>
      <c r="D27" s="279">
        <f>C29</f>
        <v>3.0000000000000001E-3</v>
      </c>
      <c r="E27" s="280" t="s">
        <v>126</v>
      </c>
      <c r="F27" s="290">
        <f>'数据-取费表'!Q16</f>
        <v>0.1</v>
      </c>
      <c r="G27" s="291" t="s">
        <v>1069</v>
      </c>
    </row>
    <row r="28" spans="1:7" s="258" customFormat="1" ht="13.5" customHeight="1">
      <c r="A28" s="954" t="s">
        <v>794</v>
      </c>
      <c r="B28" s="292" t="s">
        <v>1062</v>
      </c>
      <c r="C28" s="293">
        <f>ROUND((C5+C19+C20)*F27*'数据-取费表'!B21/'数据-取费表'!B20,0)</f>
        <v>2125</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26578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424</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374</v>
      </c>
      <c r="D34" s="261"/>
      <c r="E34" s="264"/>
      <c r="F34" s="301">
        <f>IF('数据-取费表'!B24=0,1,'数据-取费表'!N16)</f>
        <v>1</v>
      </c>
      <c r="G34" s="263" t="s">
        <v>116</v>
      </c>
    </row>
    <row r="35" spans="1:7" ht="13.5" customHeight="1">
      <c r="A35" s="954" t="s">
        <v>796</v>
      </c>
      <c r="B35" s="259" t="s">
        <v>60</v>
      </c>
      <c r="C35" s="264">
        <f>ROUND(C34*F35,0)</f>
        <v>19</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25</v>
      </c>
      <c r="D37" s="261">
        <f>'数据-汇总表'!E3</f>
        <v>1246.4000000000001</v>
      </c>
      <c r="E37" s="293">
        <f>'数据-取费表'!B35</f>
        <v>200</v>
      </c>
      <c r="F37" s="303"/>
      <c r="G37" s="305" t="s">
        <v>119</v>
      </c>
    </row>
    <row r="38" spans="1:7" ht="13.5" customHeight="1">
      <c r="A38" s="954" t="s">
        <v>799</v>
      </c>
      <c r="B38" s="259" t="s">
        <v>63</v>
      </c>
      <c r="C38" s="264">
        <f>ROUND(C34*F38,0)</f>
        <v>6</v>
      </c>
      <c r="D38" s="264"/>
      <c r="E38" s="264"/>
      <c r="F38" s="303">
        <f>'数据-取费表'!B36</f>
        <v>1.4999999999999999E-2</v>
      </c>
      <c r="G38" s="263" t="s">
        <v>117</v>
      </c>
    </row>
    <row r="39" spans="1:7" s="258" customFormat="1" ht="13.5" customHeight="1">
      <c r="A39" s="951" t="s">
        <v>783</v>
      </c>
      <c r="B39" s="254" t="s">
        <v>104</v>
      </c>
      <c r="C39" s="276">
        <f>ROUND(C33*F20,0)</f>
        <v>13</v>
      </c>
      <c r="D39" s="276"/>
      <c r="E39" s="276"/>
      <c r="F39" s="277"/>
      <c r="G39" s="1291"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9</v>
      </c>
      <c r="D41" s="279">
        <f ca="1">C44</f>
        <v>6.9999999999999999E-4</v>
      </c>
      <c r="E41" s="280" t="s">
        <v>129</v>
      </c>
      <c r="F41" s="281"/>
      <c r="G41" s="1291" t="str">
        <f>IF('数据-取费表'!B22&lt;=1,"单利计息","复利计息")</f>
        <v>单利计息</v>
      </c>
    </row>
    <row r="42" spans="1:7" ht="13.5" customHeight="1">
      <c r="A42" s="954" t="s">
        <v>794</v>
      </c>
      <c r="B42" s="259" t="s">
        <v>1061</v>
      </c>
      <c r="C42" s="282">
        <f ca="1">ROUND(IF('数据-取费表'!B22&lt;=1,C33*F22*'数据-取费表'!B21/2,C33*(POWER((1+F22),'数据-取费表'!B21/2)-1)),0)</f>
        <v>9</v>
      </c>
      <c r="D42" s="282"/>
      <c r="E42" s="282"/>
      <c r="F42" s="283"/>
      <c r="G42" s="3164" t="s">
        <v>121</v>
      </c>
    </row>
    <row r="43" spans="1:7" ht="13.5" customHeight="1">
      <c r="A43" s="954" t="s">
        <v>792</v>
      </c>
      <c r="B43" s="259" t="s">
        <v>1064</v>
      </c>
      <c r="C43" s="282">
        <f ca="1">ROUND(IF('数据-取费表'!B22&lt;=1,C39*F22*'数据-取费表'!B21/2,C39*(POWER((1+F22),'数据-取费表'!B21/2)-1)),0)</f>
        <v>0</v>
      </c>
      <c r="D43" s="282"/>
      <c r="E43" s="282"/>
      <c r="F43" s="283"/>
      <c r="G43" s="3165"/>
    </row>
    <row r="44" spans="1:7" ht="13.5" customHeight="1">
      <c r="A44" s="954" t="s">
        <v>793</v>
      </c>
      <c r="B44" s="259" t="s">
        <v>1066</v>
      </c>
      <c r="C44" s="282">
        <f ca="1">ROUND(IF('数据-取费表'!B22&lt;=1,C40*F22*'数据-取费表'!B21/2,C40*(POWER((1+F22),'数据-取费表'!B21/2)-1)),4)</f>
        <v>6.9999999999999999E-4</v>
      </c>
      <c r="D44" s="282"/>
      <c r="E44" s="282"/>
      <c r="F44" s="283"/>
      <c r="G44" s="3166"/>
    </row>
    <row r="45" spans="1:7" s="258" customFormat="1" ht="13.5" customHeight="1">
      <c r="A45" s="951" t="s">
        <v>786</v>
      </c>
      <c r="B45" s="288" t="s">
        <v>112</v>
      </c>
      <c r="C45" s="289">
        <f>C46</f>
        <v>44</v>
      </c>
      <c r="D45" s="279">
        <f>C47</f>
        <v>3.0000000000000001E-3</v>
      </c>
      <c r="E45" s="280" t="s">
        <v>129</v>
      </c>
      <c r="F45" s="290"/>
      <c r="G45" s="291" t="s">
        <v>1072</v>
      </c>
    </row>
    <row r="46" spans="1:7" s="258" customFormat="1" ht="13.5" customHeight="1">
      <c r="A46" s="954" t="s">
        <v>794</v>
      </c>
      <c r="B46" s="292" t="s">
        <v>1065</v>
      </c>
      <c r="C46" s="293">
        <f>ROUND((C33+C39)*F27,0)</f>
        <v>44</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536</v>
      </c>
      <c r="D49" s="276"/>
      <c r="E49" s="276"/>
      <c r="F49" s="308"/>
      <c r="G49" s="278" t="s">
        <v>1073</v>
      </c>
    </row>
    <row r="50" spans="1:7" s="302" customFormat="1" ht="24">
      <c r="A50" s="951" t="s">
        <v>789</v>
      </c>
      <c r="B50" s="254" t="s">
        <v>124</v>
      </c>
      <c r="C50" s="276"/>
      <c r="D50" s="276"/>
      <c r="E50" s="276"/>
      <c r="F50" s="308">
        <f>IF('数据-取费表'!B24=0,'数据-取费表'!N16,1)</f>
        <v>0.95</v>
      </c>
      <c r="G50" s="291" t="s">
        <v>125</v>
      </c>
    </row>
    <row r="51" spans="1:7" ht="16.5" customHeight="1">
      <c r="A51" s="951" t="s">
        <v>790</v>
      </c>
      <c r="B51" s="254" t="s">
        <v>132</v>
      </c>
      <c r="C51" s="276">
        <f ca="1">ROUND(C49*F50,0)</f>
        <v>509</v>
      </c>
      <c r="D51" s="276"/>
      <c r="E51" s="276"/>
      <c r="F51" s="308"/>
      <c r="G51" s="278" t="s">
        <v>64</v>
      </c>
    </row>
    <row r="52" spans="1:7" s="252" customFormat="1" ht="16.5" thickBot="1">
      <c r="A52" s="309" t="s">
        <v>65</v>
      </c>
      <c r="B52" s="310"/>
      <c r="C52" s="311">
        <f ca="1">C31+C51</f>
        <v>27087</v>
      </c>
      <c r="D52" s="310"/>
      <c r="E52" s="310"/>
      <c r="F52" s="310"/>
      <c r="G52" s="312"/>
    </row>
    <row r="55" spans="1:7" ht="15">
      <c r="B55" s="314" t="s">
        <v>66</v>
      </c>
      <c r="C55" s="315"/>
    </row>
    <row r="56" spans="1:7">
      <c r="B56" s="317" t="s">
        <v>67</v>
      </c>
      <c r="C56" s="318">
        <f ca="1">ROUND(C51/C52,3)</f>
        <v>1.9E-2</v>
      </c>
    </row>
    <row r="57" spans="1:7">
      <c r="B57" s="317" t="s">
        <v>68</v>
      </c>
      <c r="C57" s="319">
        <f ca="1">1-C56</f>
        <v>0.98099999999999998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79" t="s">
        <v>156</v>
      </c>
      <c r="B1" s="3279"/>
      <c r="C1" s="3279"/>
      <c r="D1" s="3279"/>
      <c r="E1" s="3279"/>
      <c r="F1" s="327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0" t="s">
        <v>169</v>
      </c>
      <c r="B2" s="3280"/>
      <c r="C2" s="3280"/>
      <c r="D2" s="3280"/>
      <c r="E2" s="3280"/>
      <c r="F2" s="328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9" t="s">
        <v>871</v>
      </c>
      <c r="B1" s="3279"/>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40" t="s">
        <v>878</v>
      </c>
      <c r="B5" s="841" t="s">
        <v>879</v>
      </c>
      <c r="C5" s="1064">
        <v>8.8999999999999996E-2</v>
      </c>
      <c r="D5" s="1064">
        <v>7.3999999999999996E-2</v>
      </c>
      <c r="E5" s="1064">
        <v>7.4999999999999997E-2</v>
      </c>
      <c r="F5" s="1065">
        <v>0.1</v>
      </c>
    </row>
    <row r="6" spans="1:6" ht="14.25" thickBot="1">
      <c r="A6" s="840" t="s">
        <v>212</v>
      </c>
      <c r="B6" s="834" t="s">
        <v>880</v>
      </c>
      <c r="C6" s="1066">
        <v>0.1</v>
      </c>
      <c r="D6" s="1066">
        <v>9.0999999999999998E-2</v>
      </c>
      <c r="E6" s="1066">
        <v>9.0999999999999998E-2</v>
      </c>
      <c r="F6" s="1067">
        <v>0.1</v>
      </c>
    </row>
    <row r="7" spans="1:6" ht="14.25" thickBot="1">
      <c r="A7" s="840" t="s">
        <v>212</v>
      </c>
      <c r="B7" s="844" t="s">
        <v>201</v>
      </c>
      <c r="C7" s="1066">
        <v>8.5999999999999993E-2</v>
      </c>
      <c r="D7" s="1066">
        <v>9.6000000000000002E-2</v>
      </c>
      <c r="E7" s="1066">
        <v>7.5999999999999998E-2</v>
      </c>
      <c r="F7" s="1067">
        <v>0.1</v>
      </c>
    </row>
    <row r="8" spans="1:6" ht="14.25" thickBot="1">
      <c r="A8" s="840" t="s">
        <v>212</v>
      </c>
      <c r="B8" s="834" t="s">
        <v>213</v>
      </c>
      <c r="C8" s="1066">
        <v>9.9000000000000005E-2</v>
      </c>
      <c r="D8" s="1066">
        <v>9.8000000000000004E-2</v>
      </c>
      <c r="E8" s="1066">
        <v>9.8000000000000004E-2</v>
      </c>
      <c r="F8" s="1067">
        <v>0.1</v>
      </c>
    </row>
    <row r="9" spans="1:6" ht="14.25" thickBot="1">
      <c r="A9" s="850" t="s">
        <v>212</v>
      </c>
      <c r="B9" s="845" t="s">
        <v>225</v>
      </c>
      <c r="C9" s="1068">
        <v>0.05</v>
      </c>
      <c r="D9" s="1076"/>
      <c r="E9" s="1076"/>
      <c r="F9" s="1077"/>
    </row>
    <row r="10" spans="1:6" ht="14.25" thickBot="1">
      <c r="A10" s="840" t="s">
        <v>269</v>
      </c>
      <c r="B10" s="841" t="s">
        <v>881</v>
      </c>
      <c r="C10" s="1064">
        <v>8.8999999999999996E-2</v>
      </c>
      <c r="D10" s="1064">
        <v>7.2999999999999995E-2</v>
      </c>
      <c r="E10" s="1064">
        <v>8.2000000000000003E-2</v>
      </c>
      <c r="F10" s="1065">
        <v>0.1</v>
      </c>
    </row>
    <row r="11" spans="1:6" ht="14.25" thickBot="1">
      <c r="A11" s="840" t="s">
        <v>269</v>
      </c>
      <c r="B11" s="844" t="s">
        <v>188</v>
      </c>
      <c r="C11" s="1066">
        <v>8.8999999999999996E-2</v>
      </c>
      <c r="D11" s="1066">
        <v>7.2999999999999995E-2</v>
      </c>
      <c r="E11" s="1066">
        <v>8.2000000000000003E-2</v>
      </c>
      <c r="F11" s="1067">
        <v>0.1</v>
      </c>
    </row>
    <row r="12" spans="1:6" ht="14.25" thickBot="1">
      <c r="A12" s="840" t="s">
        <v>269</v>
      </c>
      <c r="B12" s="844" t="s">
        <v>138</v>
      </c>
      <c r="C12" s="1066">
        <v>6.0999999999999999E-2</v>
      </c>
      <c r="D12" s="1066">
        <v>7.0999999999999994E-2</v>
      </c>
      <c r="E12" s="1066">
        <v>9.6000000000000002E-2</v>
      </c>
      <c r="F12" s="1067">
        <v>0.1</v>
      </c>
    </row>
    <row r="13" spans="1:6" ht="14.25" thickBot="1">
      <c r="A13" s="840" t="s">
        <v>269</v>
      </c>
      <c r="B13" s="844" t="s">
        <v>214</v>
      </c>
      <c r="C13" s="1066">
        <v>6.9000000000000006E-2</v>
      </c>
      <c r="D13" s="1066">
        <v>6.5000000000000002E-2</v>
      </c>
      <c r="E13" s="1066">
        <v>6.6000000000000003E-2</v>
      </c>
      <c r="F13" s="1067">
        <v>0.1</v>
      </c>
    </row>
    <row r="14" spans="1:6" ht="14.25" thickBot="1">
      <c r="A14" s="840" t="s">
        <v>269</v>
      </c>
      <c r="B14" s="844" t="s">
        <v>226</v>
      </c>
      <c r="C14" s="1066">
        <v>0.1</v>
      </c>
      <c r="D14" s="1066">
        <v>6.5000000000000002E-2</v>
      </c>
      <c r="E14" s="1066">
        <v>7.0000000000000007E-2</v>
      </c>
      <c r="F14" s="1067">
        <v>0.1</v>
      </c>
    </row>
    <row r="15" spans="1:6" ht="14.25" thickBot="1">
      <c r="A15" s="840" t="s">
        <v>269</v>
      </c>
      <c r="B15" s="844" t="s">
        <v>237</v>
      </c>
      <c r="C15" s="1066">
        <v>9.8000000000000004E-2</v>
      </c>
      <c r="D15" s="1066">
        <v>8.8999999999999996E-2</v>
      </c>
      <c r="E15" s="1066">
        <v>8.8999999999999996E-2</v>
      </c>
      <c r="F15" s="1067">
        <v>0.1</v>
      </c>
    </row>
    <row r="16" spans="1:6" ht="14.25" thickBot="1">
      <c r="A16" s="840" t="s">
        <v>269</v>
      </c>
      <c r="B16" s="844" t="s">
        <v>248</v>
      </c>
      <c r="C16" s="1066">
        <v>7.0000000000000007E-2</v>
      </c>
      <c r="D16" s="1066">
        <v>9.2999999999999999E-2</v>
      </c>
      <c r="E16" s="1066">
        <v>9.6000000000000002E-2</v>
      </c>
      <c r="F16" s="1067">
        <v>0.1</v>
      </c>
    </row>
    <row r="17" spans="1:6" ht="14.25" thickBot="1">
      <c r="A17" s="840" t="s">
        <v>269</v>
      </c>
      <c r="B17" s="844" t="s">
        <v>259</v>
      </c>
      <c r="C17" s="1066">
        <v>9.5000000000000001E-2</v>
      </c>
      <c r="D17" s="1066">
        <v>0.1</v>
      </c>
      <c r="E17" s="1066">
        <v>0.1</v>
      </c>
      <c r="F17" s="1078"/>
    </row>
    <row r="18" spans="1:6" ht="14.25" thickBot="1">
      <c r="A18" s="840" t="s">
        <v>269</v>
      </c>
      <c r="B18" s="844" t="s">
        <v>271</v>
      </c>
      <c r="C18" s="1066">
        <v>7.3999999999999996E-2</v>
      </c>
      <c r="D18" s="1066">
        <v>9.9000000000000005E-2</v>
      </c>
      <c r="E18" s="1066">
        <v>0.1</v>
      </c>
      <c r="F18" s="1078"/>
    </row>
    <row r="19" spans="1:6" ht="14.25" thickBot="1">
      <c r="A19" s="840" t="s">
        <v>269</v>
      </c>
      <c r="B19" s="844" t="s">
        <v>281</v>
      </c>
      <c r="C19" s="1066">
        <v>9.9000000000000005E-2</v>
      </c>
      <c r="D19" s="1066">
        <v>7.5999999999999998E-2</v>
      </c>
      <c r="E19" s="1066">
        <v>8.6999999999999994E-2</v>
      </c>
      <c r="F19" s="1078"/>
    </row>
    <row r="20" spans="1:6" ht="14.25" thickBot="1">
      <c r="A20" s="840" t="s">
        <v>269</v>
      </c>
      <c r="B20" s="844" t="s">
        <v>291</v>
      </c>
      <c r="C20" s="1066">
        <v>9.8000000000000004E-2</v>
      </c>
      <c r="D20" s="1066">
        <v>8.5000000000000006E-2</v>
      </c>
      <c r="E20" s="1066">
        <v>8.2000000000000003E-2</v>
      </c>
      <c r="F20" s="1078"/>
    </row>
    <row r="21" spans="1:6" ht="14.25" thickBot="1">
      <c r="A21" s="840" t="s">
        <v>269</v>
      </c>
      <c r="B21" s="844" t="s">
        <v>301</v>
      </c>
      <c r="C21" s="1066">
        <v>6.6000000000000003E-2</v>
      </c>
      <c r="D21" s="1066">
        <v>6.4000000000000001E-2</v>
      </c>
      <c r="E21" s="1066">
        <v>6.5000000000000002E-2</v>
      </c>
      <c r="F21" s="1078"/>
    </row>
    <row r="22" spans="1:6" ht="14.25" thickBot="1">
      <c r="A22" s="840" t="s">
        <v>269</v>
      </c>
      <c r="B22" s="844" t="s">
        <v>882</v>
      </c>
      <c r="C22" s="1066">
        <v>0.08</v>
      </c>
      <c r="D22" s="1066">
        <v>9.8000000000000004E-2</v>
      </c>
      <c r="E22" s="1066">
        <v>9.8000000000000004E-2</v>
      </c>
      <c r="F22" s="1078"/>
    </row>
    <row r="23" spans="1:6" ht="14.25" thickBot="1">
      <c r="A23" s="840" t="s">
        <v>269</v>
      </c>
      <c r="B23" s="844" t="s">
        <v>322</v>
      </c>
      <c r="C23" s="1066">
        <v>9.9000000000000005E-2</v>
      </c>
      <c r="D23" s="1066">
        <v>9.8000000000000004E-2</v>
      </c>
      <c r="E23" s="1066">
        <v>9.0999999999999998E-2</v>
      </c>
      <c r="F23" s="1078"/>
    </row>
    <row r="24" spans="1:6" ht="14.25" thickBot="1">
      <c r="A24" s="840" t="s">
        <v>269</v>
      </c>
      <c r="B24" s="844" t="s">
        <v>333</v>
      </c>
      <c r="C24" s="1066">
        <v>8.8999999999999996E-2</v>
      </c>
      <c r="D24" s="1066">
        <v>9.7000000000000003E-2</v>
      </c>
      <c r="E24" s="1066">
        <v>7.0000000000000007E-2</v>
      </c>
      <c r="F24" s="1078"/>
    </row>
    <row r="25" spans="1:6" ht="14.25" thickBot="1">
      <c r="A25" s="840" t="s">
        <v>269</v>
      </c>
      <c r="B25" s="844" t="s">
        <v>343</v>
      </c>
      <c r="C25" s="1066">
        <v>8.8999999999999996E-2</v>
      </c>
      <c r="D25" s="1066">
        <v>0.1</v>
      </c>
      <c r="E25" s="1066">
        <v>8.1000000000000003E-2</v>
      </c>
      <c r="F25" s="1078"/>
    </row>
    <row r="26" spans="1:6" ht="14.25" thickBot="1">
      <c r="A26" s="840" t="s">
        <v>269</v>
      </c>
      <c r="B26" s="844" t="s">
        <v>353</v>
      </c>
      <c r="C26" s="1079"/>
      <c r="D26" s="1066">
        <v>9.6000000000000002E-2</v>
      </c>
      <c r="E26" s="1066">
        <v>9.2999999999999999E-2</v>
      </c>
      <c r="F26" s="1078"/>
    </row>
    <row r="27" spans="1:6" ht="14.25" thickBot="1">
      <c r="A27" s="840" t="s">
        <v>269</v>
      </c>
      <c r="B27" s="844" t="s">
        <v>363</v>
      </c>
      <c r="C27" s="1079"/>
      <c r="D27" s="1066">
        <v>7.5999999999999998E-2</v>
      </c>
      <c r="E27" s="1066">
        <v>9.1999999999999998E-2</v>
      </c>
      <c r="F27" s="1078"/>
    </row>
    <row r="28" spans="1:6" ht="14.25" thickBot="1">
      <c r="A28" s="850" t="s">
        <v>269</v>
      </c>
      <c r="B28" s="845" t="s">
        <v>373</v>
      </c>
      <c r="C28" s="1076"/>
      <c r="D28" s="1068">
        <v>7.5999999999999998E-2</v>
      </c>
      <c r="E28" s="1068">
        <v>9.1999999999999998E-2</v>
      </c>
      <c r="F28" s="1077"/>
    </row>
    <row r="29" spans="1:6" ht="14.25" thickBot="1">
      <c r="A29" s="840" t="s">
        <v>442</v>
      </c>
      <c r="B29" s="841" t="s">
        <v>883</v>
      </c>
      <c r="C29" s="1064">
        <v>6.4000000000000001E-2</v>
      </c>
      <c r="D29" s="1064">
        <v>6.5000000000000002E-2</v>
      </c>
      <c r="E29" s="1064">
        <v>6.9000000000000006E-2</v>
      </c>
      <c r="F29" s="1065">
        <v>0.1</v>
      </c>
    </row>
    <row r="30" spans="1:6" ht="14.25" thickBot="1">
      <c r="A30" s="840" t="s">
        <v>442</v>
      </c>
      <c r="B30" s="844" t="s">
        <v>189</v>
      </c>
      <c r="C30" s="1066">
        <v>6.4000000000000001E-2</v>
      </c>
      <c r="D30" s="1066">
        <v>9.9000000000000005E-2</v>
      </c>
      <c r="E30" s="1066">
        <v>0.1</v>
      </c>
      <c r="F30" s="1067">
        <v>0.1</v>
      </c>
    </row>
    <row r="31" spans="1:6" ht="14.25" thickBot="1">
      <c r="A31" s="840" t="s">
        <v>442</v>
      </c>
      <c r="B31" s="844" t="s">
        <v>202</v>
      </c>
      <c r="C31" s="1066">
        <v>0.1</v>
      </c>
      <c r="D31" s="1066">
        <v>9.5000000000000001E-2</v>
      </c>
      <c r="E31" s="1066">
        <v>8.8999999999999996E-2</v>
      </c>
      <c r="F31" s="1067">
        <v>0.1</v>
      </c>
    </row>
    <row r="32" spans="1:6" ht="14.25" thickBot="1">
      <c r="A32" s="840" t="s">
        <v>442</v>
      </c>
      <c r="B32" s="844" t="s">
        <v>215</v>
      </c>
      <c r="C32" s="1066">
        <v>0.05</v>
      </c>
      <c r="D32" s="1066">
        <v>0.05</v>
      </c>
      <c r="E32" s="1066">
        <v>8.7999999999999995E-2</v>
      </c>
      <c r="F32" s="1067">
        <v>0.1</v>
      </c>
    </row>
    <row r="33" spans="1:6" ht="14.25" thickBot="1">
      <c r="A33" s="840" t="s">
        <v>442</v>
      </c>
      <c r="B33" s="844" t="s">
        <v>227</v>
      </c>
      <c r="C33" s="1066">
        <v>7.4999999999999997E-2</v>
      </c>
      <c r="D33" s="1066">
        <v>9.4E-2</v>
      </c>
      <c r="E33" s="1066">
        <v>9.7000000000000003E-2</v>
      </c>
      <c r="F33" s="1067">
        <v>0.1</v>
      </c>
    </row>
    <row r="34" spans="1:6" ht="14.25" thickBot="1">
      <c r="A34" s="840" t="s">
        <v>442</v>
      </c>
      <c r="B34" s="844" t="s">
        <v>238</v>
      </c>
      <c r="C34" s="1066">
        <v>9.8000000000000004E-2</v>
      </c>
      <c r="D34" s="1066">
        <v>8.5999999999999993E-2</v>
      </c>
      <c r="E34" s="1066">
        <v>9.7000000000000003E-2</v>
      </c>
      <c r="F34" s="1067">
        <v>0.1</v>
      </c>
    </row>
    <row r="35" spans="1:6" ht="14.25" thickBot="1">
      <c r="A35" s="840" t="s">
        <v>442</v>
      </c>
      <c r="B35" s="844" t="s">
        <v>249</v>
      </c>
      <c r="C35" s="1066">
        <v>5.8999999999999997E-2</v>
      </c>
      <c r="D35" s="1066">
        <v>6.5000000000000002E-2</v>
      </c>
      <c r="E35" s="1066">
        <v>7.0000000000000007E-2</v>
      </c>
      <c r="F35" s="1067">
        <v>0.1</v>
      </c>
    </row>
    <row r="36" spans="1:6" ht="14.25" thickBot="1">
      <c r="A36" s="840" t="s">
        <v>442</v>
      </c>
      <c r="B36" s="844" t="s">
        <v>260</v>
      </c>
      <c r="C36" s="1066">
        <v>6.3E-2</v>
      </c>
      <c r="D36" s="1066">
        <v>0.1</v>
      </c>
      <c r="E36" s="1066">
        <v>0.1</v>
      </c>
      <c r="F36" s="1067">
        <v>0.1</v>
      </c>
    </row>
    <row r="37" spans="1:6" ht="14.25" thickBot="1">
      <c r="A37" s="840" t="s">
        <v>442</v>
      </c>
      <c r="B37" s="844" t="s">
        <v>272</v>
      </c>
      <c r="C37" s="1066">
        <v>7.3999999999999996E-2</v>
      </c>
      <c r="D37" s="1066">
        <v>0.1</v>
      </c>
      <c r="E37" s="1066">
        <v>0.1</v>
      </c>
      <c r="F37" s="1067">
        <v>0.1</v>
      </c>
    </row>
    <row r="38" spans="1:6" ht="14.25" thickBot="1">
      <c r="A38" s="840" t="s">
        <v>442</v>
      </c>
      <c r="B38" s="844" t="s">
        <v>282</v>
      </c>
      <c r="C38" s="1066">
        <v>0.1</v>
      </c>
      <c r="D38" s="1066">
        <v>9.6000000000000002E-2</v>
      </c>
      <c r="E38" s="1066">
        <v>9.6000000000000002E-2</v>
      </c>
      <c r="F38" s="1078"/>
    </row>
    <row r="39" spans="1:6" ht="14.25" thickBot="1">
      <c r="A39" s="840" t="s">
        <v>442</v>
      </c>
      <c r="B39" s="844" t="s">
        <v>292</v>
      </c>
      <c r="C39" s="1066">
        <v>0.1</v>
      </c>
      <c r="D39" s="1066">
        <v>9.6000000000000002E-2</v>
      </c>
      <c r="E39" s="1066">
        <v>9.6000000000000002E-2</v>
      </c>
      <c r="F39" s="1078"/>
    </row>
    <row r="40" spans="1:6" ht="14.25" thickBot="1">
      <c r="A40" s="840" t="s">
        <v>442</v>
      </c>
      <c r="B40" s="844" t="s">
        <v>302</v>
      </c>
      <c r="C40" s="1066">
        <v>9.6000000000000002E-2</v>
      </c>
      <c r="D40" s="1066">
        <v>0.1</v>
      </c>
      <c r="E40" s="1066">
        <v>9.9000000000000005E-2</v>
      </c>
      <c r="F40" s="1078"/>
    </row>
    <row r="41" spans="1:6" ht="14.25" thickBot="1">
      <c r="A41" s="840" t="s">
        <v>442</v>
      </c>
      <c r="B41" s="844" t="s">
        <v>312</v>
      </c>
      <c r="C41" s="1066">
        <v>9.6000000000000002E-2</v>
      </c>
      <c r="D41" s="1066">
        <v>9.8000000000000004E-2</v>
      </c>
      <c r="E41" s="1066">
        <v>9.8000000000000004E-2</v>
      </c>
      <c r="F41" s="1078"/>
    </row>
    <row r="42" spans="1:6" ht="14.25" thickBot="1">
      <c r="A42" s="840" t="s">
        <v>442</v>
      </c>
      <c r="B42" s="844" t="s">
        <v>323</v>
      </c>
      <c r="C42" s="1066">
        <v>0.1</v>
      </c>
      <c r="D42" s="1066">
        <v>8.7999999999999995E-2</v>
      </c>
      <c r="E42" s="1066">
        <v>0.1</v>
      </c>
      <c r="F42" s="1078"/>
    </row>
    <row r="43" spans="1:6" ht="14.25" thickBot="1">
      <c r="A43" s="840" t="s">
        <v>442</v>
      </c>
      <c r="B43" s="844" t="s">
        <v>334</v>
      </c>
      <c r="C43" s="1066">
        <v>9.8000000000000004E-2</v>
      </c>
      <c r="D43" s="1066">
        <v>9.7000000000000003E-2</v>
      </c>
      <c r="E43" s="1066">
        <v>9.6000000000000002E-2</v>
      </c>
      <c r="F43" s="1078"/>
    </row>
    <row r="44" spans="1:6" ht="14.25" thickBot="1">
      <c r="A44" s="840" t="s">
        <v>442</v>
      </c>
      <c r="B44" s="844" t="s">
        <v>344</v>
      </c>
      <c r="C44" s="1066">
        <v>8.5999999999999993E-2</v>
      </c>
      <c r="D44" s="1066">
        <v>7.9000000000000001E-2</v>
      </c>
      <c r="E44" s="1066">
        <v>7.0999999999999994E-2</v>
      </c>
      <c r="F44" s="1078"/>
    </row>
    <row r="45" spans="1:6" ht="14.25" thickBot="1">
      <c r="A45" s="840" t="s">
        <v>442</v>
      </c>
      <c r="B45" s="844" t="s">
        <v>354</v>
      </c>
      <c r="C45" s="1066">
        <v>9.8000000000000004E-2</v>
      </c>
      <c r="D45" s="1066">
        <v>9.6000000000000002E-2</v>
      </c>
      <c r="E45" s="1066">
        <v>9.6000000000000002E-2</v>
      </c>
      <c r="F45" s="1078"/>
    </row>
    <row r="46" spans="1:6" ht="14.25" thickBot="1">
      <c r="A46" s="840" t="s">
        <v>442</v>
      </c>
      <c r="B46" s="844" t="s">
        <v>364</v>
      </c>
      <c r="C46" s="1066">
        <v>8.5999999999999993E-2</v>
      </c>
      <c r="D46" s="1066">
        <v>9.8000000000000004E-2</v>
      </c>
      <c r="E46" s="1066">
        <v>8.7999999999999995E-2</v>
      </c>
      <c r="F46" s="1078"/>
    </row>
    <row r="47" spans="1:6" ht="14.25" thickBot="1">
      <c r="A47" s="840" t="s">
        <v>442</v>
      </c>
      <c r="B47" s="844" t="s">
        <v>374</v>
      </c>
      <c r="C47" s="1066">
        <v>9.6000000000000002E-2</v>
      </c>
      <c r="D47" s="1079"/>
      <c r="E47" s="1066">
        <v>6.9000000000000006E-2</v>
      </c>
      <c r="F47" s="1078"/>
    </row>
    <row r="48" spans="1:6" ht="14.25" thickBot="1">
      <c r="A48" s="850" t="s">
        <v>442</v>
      </c>
      <c r="B48" s="845" t="s">
        <v>383</v>
      </c>
      <c r="C48" s="1068">
        <v>9.8000000000000004E-2</v>
      </c>
      <c r="D48" s="1076"/>
      <c r="E48" s="1068">
        <v>9.5000000000000001E-2</v>
      </c>
      <c r="F48" s="1077"/>
    </row>
    <row r="49" spans="1:6" ht="14.25" thickBot="1">
      <c r="A49" s="840" t="s">
        <v>137</v>
      </c>
      <c r="B49" s="841" t="s">
        <v>884</v>
      </c>
      <c r="C49" s="1064">
        <v>9.7000000000000003E-2</v>
      </c>
      <c r="D49" s="1064">
        <v>9.5000000000000001E-2</v>
      </c>
      <c r="E49" s="1064">
        <v>9.7000000000000003E-2</v>
      </c>
      <c r="F49" s="1065">
        <v>0.1</v>
      </c>
    </row>
    <row r="50" spans="1:6" ht="14.25" thickBot="1">
      <c r="A50" s="840" t="s">
        <v>137</v>
      </c>
      <c r="B50" s="834" t="s">
        <v>190</v>
      </c>
      <c r="C50" s="1066">
        <v>7.4999999999999997E-2</v>
      </c>
      <c r="D50" s="1066">
        <v>9.5000000000000001E-2</v>
      </c>
      <c r="E50" s="1066">
        <v>0.1</v>
      </c>
      <c r="F50" s="1067">
        <v>0.1</v>
      </c>
    </row>
    <row r="51" spans="1:6" ht="14.25" thickBot="1">
      <c r="A51" s="840" t="s">
        <v>137</v>
      </c>
      <c r="B51" s="834" t="s">
        <v>203</v>
      </c>
      <c r="C51" s="1066">
        <v>9.8000000000000004E-2</v>
      </c>
      <c r="D51" s="1066">
        <v>8.8999999999999996E-2</v>
      </c>
      <c r="E51" s="1066">
        <v>0.1</v>
      </c>
      <c r="F51" s="1067">
        <v>0.1</v>
      </c>
    </row>
    <row r="52" spans="1:6" ht="14.25" thickBot="1">
      <c r="A52" s="840" t="s">
        <v>137</v>
      </c>
      <c r="B52" s="834" t="s">
        <v>216</v>
      </c>
      <c r="C52" s="1066">
        <v>9.8000000000000004E-2</v>
      </c>
      <c r="D52" s="1066">
        <v>9.7000000000000003E-2</v>
      </c>
      <c r="E52" s="1066">
        <v>8.1000000000000003E-2</v>
      </c>
      <c r="F52" s="1067">
        <v>0.1</v>
      </c>
    </row>
    <row r="53" spans="1:6" ht="14.25" thickBot="1">
      <c r="A53" s="840" t="s">
        <v>137</v>
      </c>
      <c r="B53" s="834" t="s">
        <v>228</v>
      </c>
      <c r="C53" s="1066">
        <v>9.7000000000000003E-2</v>
      </c>
      <c r="D53" s="1066">
        <v>7.5999999999999998E-2</v>
      </c>
      <c r="E53" s="1066">
        <v>7.0999999999999994E-2</v>
      </c>
      <c r="F53" s="1067">
        <v>0.1</v>
      </c>
    </row>
    <row r="54" spans="1:6" ht="14.25" thickBot="1">
      <c r="A54" s="840" t="s">
        <v>137</v>
      </c>
      <c r="B54" s="834" t="s">
        <v>239</v>
      </c>
      <c r="C54" s="1066">
        <v>7.5999999999999998E-2</v>
      </c>
      <c r="D54" s="1066">
        <v>0.1</v>
      </c>
      <c r="E54" s="1066">
        <v>9.9000000000000005E-2</v>
      </c>
      <c r="F54" s="1067">
        <v>0.1</v>
      </c>
    </row>
    <row r="55" spans="1:6" ht="14.25" thickBot="1">
      <c r="A55" s="840" t="s">
        <v>137</v>
      </c>
      <c r="B55" s="834" t="s">
        <v>250</v>
      </c>
      <c r="C55" s="1066">
        <v>0.1</v>
      </c>
      <c r="D55" s="1066">
        <v>0.1</v>
      </c>
      <c r="E55" s="1066">
        <v>9.6000000000000002E-2</v>
      </c>
      <c r="F55" s="1067">
        <v>0.1</v>
      </c>
    </row>
    <row r="56" spans="1:6" ht="14.25" thickBot="1">
      <c r="A56" s="840" t="s">
        <v>137</v>
      </c>
      <c r="B56" s="834" t="s">
        <v>261</v>
      </c>
      <c r="C56" s="1066">
        <v>0.1</v>
      </c>
      <c r="D56" s="1066">
        <v>9.6000000000000002E-2</v>
      </c>
      <c r="E56" s="1066">
        <v>5.1999999999999998E-2</v>
      </c>
      <c r="F56" s="1067">
        <v>0.1</v>
      </c>
    </row>
    <row r="57" spans="1:6" ht="14.25" thickBot="1">
      <c r="A57" s="840" t="s">
        <v>137</v>
      </c>
      <c r="B57" s="834" t="s">
        <v>273</v>
      </c>
      <c r="C57" s="1066">
        <v>9.7000000000000003E-2</v>
      </c>
      <c r="D57" s="1066">
        <v>9.6000000000000002E-2</v>
      </c>
      <c r="E57" s="1066">
        <v>9.6000000000000002E-2</v>
      </c>
      <c r="F57" s="1067">
        <v>0.1</v>
      </c>
    </row>
    <row r="58" spans="1:6" ht="14.25" thickBot="1">
      <c r="A58" s="840" t="s">
        <v>137</v>
      </c>
      <c r="B58" s="834" t="s">
        <v>283</v>
      </c>
      <c r="C58" s="1066">
        <v>9.6000000000000002E-2</v>
      </c>
      <c r="D58" s="1066">
        <v>9.9000000000000005E-2</v>
      </c>
      <c r="E58" s="1066">
        <v>9.6000000000000002E-2</v>
      </c>
      <c r="F58" s="1067">
        <v>0.1</v>
      </c>
    </row>
    <row r="59" spans="1:6" ht="14.25" thickBot="1">
      <c r="A59" s="840" t="s">
        <v>137</v>
      </c>
      <c r="B59" s="834" t="s">
        <v>293</v>
      </c>
      <c r="C59" s="1066">
        <v>7.1999999999999995E-2</v>
      </c>
      <c r="D59" s="1066">
        <v>9.6000000000000002E-2</v>
      </c>
      <c r="E59" s="1066">
        <v>7.0999999999999994E-2</v>
      </c>
      <c r="F59" s="1067">
        <v>0.1</v>
      </c>
    </row>
    <row r="60" spans="1:6" ht="14.25" thickBot="1">
      <c r="A60" s="840" t="s">
        <v>137</v>
      </c>
      <c r="B60" s="834" t="s">
        <v>303</v>
      </c>
      <c r="C60" s="1066">
        <v>9.6000000000000002E-2</v>
      </c>
      <c r="D60" s="1066">
        <v>8.8999999999999996E-2</v>
      </c>
      <c r="E60" s="1066">
        <v>9.6000000000000002E-2</v>
      </c>
      <c r="F60" s="1067">
        <v>0.1</v>
      </c>
    </row>
    <row r="61" spans="1:6" ht="14.25" thickBot="1">
      <c r="A61" s="840" t="s">
        <v>137</v>
      </c>
      <c r="B61" s="834" t="s">
        <v>313</v>
      </c>
      <c r="C61" s="1066">
        <v>8.8999999999999996E-2</v>
      </c>
      <c r="D61" s="1066">
        <v>9.8000000000000004E-2</v>
      </c>
      <c r="E61" s="1066">
        <v>8.7999999999999995E-2</v>
      </c>
      <c r="F61" s="1078"/>
    </row>
    <row r="62" spans="1:6" ht="14.25" thickBot="1">
      <c r="A62" s="840" t="s">
        <v>137</v>
      </c>
      <c r="B62" s="834" t="s">
        <v>324</v>
      </c>
      <c r="C62" s="1066">
        <v>9.8000000000000004E-2</v>
      </c>
      <c r="D62" s="1066">
        <v>9.2999999999999999E-2</v>
      </c>
      <c r="E62" s="1066">
        <v>9.7000000000000003E-2</v>
      </c>
      <c r="F62" s="1078"/>
    </row>
    <row r="63" spans="1:6" ht="14.25" thickBot="1">
      <c r="A63" s="840" t="s">
        <v>137</v>
      </c>
      <c r="B63" s="834" t="s">
        <v>335</v>
      </c>
      <c r="C63" s="1066">
        <v>9.6000000000000002E-2</v>
      </c>
      <c r="D63" s="1066">
        <v>9.8000000000000004E-2</v>
      </c>
      <c r="E63" s="1066">
        <v>0.09</v>
      </c>
      <c r="F63" s="1078"/>
    </row>
    <row r="64" spans="1:6" ht="14.25" thickBot="1">
      <c r="A64" s="840" t="s">
        <v>137</v>
      </c>
      <c r="B64" s="834" t="s">
        <v>345</v>
      </c>
      <c r="C64" s="1066">
        <v>9.9000000000000005E-2</v>
      </c>
      <c r="D64" s="1066">
        <v>9.7000000000000003E-2</v>
      </c>
      <c r="E64" s="1066">
        <v>9.9000000000000005E-2</v>
      </c>
      <c r="F64" s="1078"/>
    </row>
    <row r="65" spans="1:6" ht="14.25" thickBot="1">
      <c r="A65" s="840" t="s">
        <v>137</v>
      </c>
      <c r="B65" s="834" t="s">
        <v>355</v>
      </c>
      <c r="C65" s="1066">
        <v>9.8000000000000004E-2</v>
      </c>
      <c r="D65" s="1066">
        <v>9.6000000000000002E-2</v>
      </c>
      <c r="E65" s="1066">
        <v>9.6000000000000002E-2</v>
      </c>
      <c r="F65" s="1078"/>
    </row>
    <row r="66" spans="1:6" ht="14.25" thickBot="1">
      <c r="A66" s="840" t="s">
        <v>137</v>
      </c>
      <c r="B66" s="834" t="s">
        <v>365</v>
      </c>
      <c r="C66" s="1066">
        <v>9.6000000000000002E-2</v>
      </c>
      <c r="D66" s="1066">
        <v>9.1999999999999998E-2</v>
      </c>
      <c r="E66" s="1066">
        <v>9.6000000000000002E-2</v>
      </c>
      <c r="F66" s="1078"/>
    </row>
    <row r="67" spans="1:6" ht="14.25" thickBot="1">
      <c r="A67" s="840" t="s">
        <v>137</v>
      </c>
      <c r="B67" s="834" t="s">
        <v>375</v>
      </c>
      <c r="C67" s="1066">
        <v>9.4E-2</v>
      </c>
      <c r="D67" s="1066">
        <v>0.1</v>
      </c>
      <c r="E67" s="1066">
        <v>8.7999999999999995E-2</v>
      </c>
      <c r="F67" s="1078"/>
    </row>
    <row r="68" spans="1:6" ht="14.25" thickBot="1">
      <c r="A68" s="840" t="s">
        <v>137</v>
      </c>
      <c r="B68" s="834" t="s">
        <v>384</v>
      </c>
      <c r="C68" s="1066">
        <v>0.1</v>
      </c>
      <c r="D68" s="1066">
        <v>8.7999999999999995E-2</v>
      </c>
      <c r="E68" s="1066">
        <v>9.7000000000000003E-2</v>
      </c>
      <c r="F68" s="1078"/>
    </row>
    <row r="69" spans="1:6" ht="14.25" thickBot="1">
      <c r="A69" s="840" t="s">
        <v>137</v>
      </c>
      <c r="B69" s="834" t="s">
        <v>393</v>
      </c>
      <c r="C69" s="1066">
        <v>6.4000000000000001E-2</v>
      </c>
      <c r="D69" s="1066">
        <v>0.1</v>
      </c>
      <c r="E69" s="1066">
        <v>0.1</v>
      </c>
      <c r="F69" s="1078"/>
    </row>
    <row r="70" spans="1:6" ht="14.25" thickBot="1">
      <c r="A70" s="840" t="s">
        <v>137</v>
      </c>
      <c r="B70" s="834" t="s">
        <v>401</v>
      </c>
      <c r="C70" s="1066">
        <v>9.0999999999999998E-2</v>
      </c>
      <c r="D70" s="1079"/>
      <c r="E70" s="1079"/>
      <c r="F70" s="1078"/>
    </row>
    <row r="71" spans="1:6" ht="14.25" thickBot="1">
      <c r="A71" s="840" t="s">
        <v>137</v>
      </c>
      <c r="B71" s="834" t="s">
        <v>408</v>
      </c>
      <c r="C71" s="1066">
        <v>0.1</v>
      </c>
      <c r="D71" s="1079"/>
      <c r="E71" s="1079"/>
      <c r="F71" s="1078"/>
    </row>
    <row r="72" spans="1:6" ht="14.25" thickBot="1">
      <c r="A72" s="840" t="s">
        <v>137</v>
      </c>
      <c r="B72" s="834" t="s">
        <v>885</v>
      </c>
      <c r="C72" s="1079"/>
      <c r="D72" s="1079"/>
      <c r="E72" s="1079"/>
      <c r="F72" s="1067">
        <v>0.05</v>
      </c>
    </row>
    <row r="73" spans="1:6" ht="14.25" thickBot="1">
      <c r="A73" s="840" t="s">
        <v>137</v>
      </c>
      <c r="B73" s="834" t="s">
        <v>886</v>
      </c>
      <c r="C73" s="1079"/>
      <c r="D73" s="1079"/>
      <c r="E73" s="1079"/>
      <c r="F73" s="1067">
        <v>0.05</v>
      </c>
    </row>
    <row r="74" spans="1:6" ht="14.25" thickBot="1">
      <c r="A74" s="840" t="s">
        <v>137</v>
      </c>
      <c r="B74" s="834" t="s">
        <v>887</v>
      </c>
      <c r="C74" s="1079"/>
      <c r="D74" s="1079"/>
      <c r="E74" s="1079"/>
      <c r="F74" s="1067">
        <v>0.05</v>
      </c>
    </row>
    <row r="75" spans="1:6" ht="14.25" thickBot="1">
      <c r="A75" s="850" t="s">
        <v>137</v>
      </c>
      <c r="B75" s="846" t="s">
        <v>888</v>
      </c>
      <c r="C75" s="1076"/>
      <c r="D75" s="1076"/>
      <c r="E75" s="1076"/>
      <c r="F75" s="1069">
        <v>0.05</v>
      </c>
    </row>
    <row r="76" spans="1:6" ht="14.25" thickBot="1">
      <c r="A76" s="840" t="s">
        <v>523</v>
      </c>
      <c r="B76" s="841" t="s">
        <v>889</v>
      </c>
      <c r="C76" s="1064">
        <v>0.1</v>
      </c>
      <c r="D76" s="1064">
        <v>0.1</v>
      </c>
      <c r="E76" s="1064">
        <v>0.1</v>
      </c>
      <c r="F76" s="1065">
        <v>0.1</v>
      </c>
    </row>
    <row r="77" spans="1:6" ht="14.25" thickBot="1">
      <c r="A77" s="840" t="s">
        <v>523</v>
      </c>
      <c r="B77" s="834" t="s">
        <v>191</v>
      </c>
      <c r="C77" s="1066">
        <v>8.7999999999999995E-2</v>
      </c>
      <c r="D77" s="1066">
        <v>8.6999999999999994E-2</v>
      </c>
      <c r="E77" s="1066">
        <v>7.9000000000000001E-2</v>
      </c>
      <c r="F77" s="1067">
        <v>0.1</v>
      </c>
    </row>
    <row r="78" spans="1:6" ht="14.25" thickBot="1">
      <c r="A78" s="840" t="s">
        <v>523</v>
      </c>
      <c r="B78" s="834" t="s">
        <v>204</v>
      </c>
      <c r="C78" s="1066">
        <v>8.6999999999999994E-2</v>
      </c>
      <c r="D78" s="1066">
        <v>8.4000000000000005E-2</v>
      </c>
      <c r="E78" s="1066">
        <v>9.6000000000000002E-2</v>
      </c>
      <c r="F78" s="1067">
        <v>0.1</v>
      </c>
    </row>
    <row r="79" spans="1:6" ht="14.25" thickBot="1">
      <c r="A79" s="840" t="s">
        <v>523</v>
      </c>
      <c r="B79" s="834" t="s">
        <v>217</v>
      </c>
      <c r="C79" s="1066">
        <v>9.8000000000000004E-2</v>
      </c>
      <c r="D79" s="1066">
        <v>9.8000000000000004E-2</v>
      </c>
      <c r="E79" s="1066">
        <v>9.0999999999999998E-2</v>
      </c>
      <c r="F79" s="1067">
        <v>0.1</v>
      </c>
    </row>
    <row r="80" spans="1:6" ht="14.25" thickBot="1">
      <c r="A80" s="840" t="s">
        <v>523</v>
      </c>
      <c r="B80" s="834" t="s">
        <v>229</v>
      </c>
      <c r="C80" s="1066">
        <v>9.6000000000000002E-2</v>
      </c>
      <c r="D80" s="1066">
        <v>9.6000000000000002E-2</v>
      </c>
      <c r="E80" s="1066">
        <v>0.1</v>
      </c>
      <c r="F80" s="1067">
        <v>0.1</v>
      </c>
    </row>
    <row r="81" spans="1:6" ht="14.25" thickBot="1">
      <c r="A81" s="840" t="s">
        <v>523</v>
      </c>
      <c r="B81" s="834" t="s">
        <v>240</v>
      </c>
      <c r="C81" s="1066">
        <v>9.9000000000000005E-2</v>
      </c>
      <c r="D81" s="1066">
        <v>9.9000000000000005E-2</v>
      </c>
      <c r="E81" s="1066">
        <v>9.8000000000000004E-2</v>
      </c>
      <c r="F81" s="1067">
        <v>0.1</v>
      </c>
    </row>
    <row r="82" spans="1:6" ht="14.25" thickBot="1">
      <c r="A82" s="840" t="s">
        <v>523</v>
      </c>
      <c r="B82" s="834" t="s">
        <v>251</v>
      </c>
      <c r="C82" s="1066">
        <v>9.9000000000000005E-2</v>
      </c>
      <c r="D82" s="1066">
        <v>9.9000000000000005E-2</v>
      </c>
      <c r="E82" s="1066">
        <v>9.7000000000000003E-2</v>
      </c>
      <c r="F82" s="1067">
        <v>0.1</v>
      </c>
    </row>
    <row r="83" spans="1:6" ht="14.25" thickBot="1">
      <c r="A83" s="840" t="s">
        <v>523</v>
      </c>
      <c r="B83" s="834" t="s">
        <v>262</v>
      </c>
      <c r="C83" s="1066">
        <v>9.8000000000000004E-2</v>
      </c>
      <c r="D83" s="1066">
        <v>9.8000000000000004E-2</v>
      </c>
      <c r="E83" s="1066">
        <v>9.8000000000000004E-2</v>
      </c>
      <c r="F83" s="1067">
        <v>0.1</v>
      </c>
    </row>
    <row r="84" spans="1:6" ht="14.25" thickBot="1">
      <c r="A84" s="840" t="s">
        <v>523</v>
      </c>
      <c r="B84" s="834" t="s">
        <v>274</v>
      </c>
      <c r="C84" s="1066">
        <v>9.9000000000000005E-2</v>
      </c>
      <c r="D84" s="1066">
        <v>9.9000000000000005E-2</v>
      </c>
      <c r="E84" s="1066">
        <v>9.9000000000000005E-2</v>
      </c>
      <c r="F84" s="1067">
        <v>0.1</v>
      </c>
    </row>
    <row r="85" spans="1:6" ht="14.25" thickBot="1">
      <c r="A85" s="840" t="s">
        <v>523</v>
      </c>
      <c r="B85" s="834" t="s">
        <v>284</v>
      </c>
      <c r="C85" s="1066">
        <v>9.9000000000000005E-2</v>
      </c>
      <c r="D85" s="1066">
        <v>9.9000000000000005E-2</v>
      </c>
      <c r="E85" s="1066">
        <v>9.9000000000000005E-2</v>
      </c>
      <c r="F85" s="1067">
        <v>0.1</v>
      </c>
    </row>
    <row r="86" spans="1:6" ht="14.25" thickBot="1">
      <c r="A86" s="840" t="s">
        <v>523</v>
      </c>
      <c r="B86" s="834" t="s">
        <v>294</v>
      </c>
      <c r="C86" s="1066">
        <v>0.1</v>
      </c>
      <c r="D86" s="1066">
        <v>0.1</v>
      </c>
      <c r="E86" s="1066">
        <v>7.6999999999999999E-2</v>
      </c>
      <c r="F86" s="1067">
        <v>0.1</v>
      </c>
    </row>
    <row r="87" spans="1:6" ht="14.25" thickBot="1">
      <c r="A87" s="840" t="s">
        <v>523</v>
      </c>
      <c r="B87" s="834" t="s">
        <v>304</v>
      </c>
      <c r="C87" s="1066">
        <v>0.1</v>
      </c>
      <c r="D87" s="1066">
        <v>0.1</v>
      </c>
      <c r="E87" s="1066">
        <v>9.8000000000000004E-2</v>
      </c>
      <c r="F87" s="1078"/>
    </row>
    <row r="88" spans="1:6" ht="14.25" thickBot="1">
      <c r="A88" s="840" t="s">
        <v>523</v>
      </c>
      <c r="B88" s="834" t="s">
        <v>314</v>
      </c>
      <c r="C88" s="1066">
        <v>9.1999999999999998E-2</v>
      </c>
      <c r="D88" s="1066">
        <v>8.5000000000000006E-2</v>
      </c>
      <c r="E88" s="1066">
        <v>9.6000000000000002E-2</v>
      </c>
      <c r="F88" s="1078"/>
    </row>
    <row r="89" spans="1:6" ht="14.25" thickBot="1">
      <c r="A89" s="840" t="s">
        <v>523</v>
      </c>
      <c r="B89" s="834" t="s">
        <v>325</v>
      </c>
      <c r="C89" s="1066">
        <v>0.1</v>
      </c>
      <c r="D89" s="1066">
        <v>0.1</v>
      </c>
      <c r="E89" s="1066">
        <v>9.7000000000000003E-2</v>
      </c>
      <c r="F89" s="1078"/>
    </row>
    <row r="90" spans="1:6" ht="14.25" thickBot="1">
      <c r="A90" s="840" t="s">
        <v>523</v>
      </c>
      <c r="B90" s="834" t="s">
        <v>336</v>
      </c>
      <c r="C90" s="1066">
        <v>9.8000000000000004E-2</v>
      </c>
      <c r="D90" s="1066">
        <v>9.8000000000000004E-2</v>
      </c>
      <c r="E90" s="1066">
        <v>8.7999999999999995E-2</v>
      </c>
      <c r="F90" s="1078"/>
    </row>
    <row r="91" spans="1:6" ht="14.25" thickBot="1">
      <c r="A91" s="840" t="s">
        <v>523</v>
      </c>
      <c r="B91" s="834" t="s">
        <v>346</v>
      </c>
      <c r="C91" s="1066">
        <v>9.9000000000000005E-2</v>
      </c>
      <c r="D91" s="1066">
        <v>9.9000000000000005E-2</v>
      </c>
      <c r="E91" s="1066">
        <v>9.0999999999999998E-2</v>
      </c>
      <c r="F91" s="1078"/>
    </row>
    <row r="92" spans="1:6" ht="14.25" thickBot="1">
      <c r="A92" s="840" t="s">
        <v>523</v>
      </c>
      <c r="B92" s="834" t="s">
        <v>356</v>
      </c>
      <c r="C92" s="1066">
        <v>9.6000000000000002E-2</v>
      </c>
      <c r="D92" s="1066">
        <v>9.6000000000000002E-2</v>
      </c>
      <c r="E92" s="1066">
        <v>7.2999999999999995E-2</v>
      </c>
      <c r="F92" s="1078"/>
    </row>
    <row r="93" spans="1:6" ht="14.25" thickBot="1">
      <c r="A93" s="840" t="s">
        <v>523</v>
      </c>
      <c r="B93" s="834" t="s">
        <v>366</v>
      </c>
      <c r="C93" s="1066">
        <v>9.6000000000000002E-2</v>
      </c>
      <c r="D93" s="1066">
        <v>9.6000000000000002E-2</v>
      </c>
      <c r="E93" s="1066">
        <v>9.9000000000000005E-2</v>
      </c>
      <c r="F93" s="1078"/>
    </row>
    <row r="94" spans="1:6" ht="14.25" thickBot="1">
      <c r="A94" s="840" t="s">
        <v>523</v>
      </c>
      <c r="B94" s="834" t="s">
        <v>376</v>
      </c>
      <c r="C94" s="1066">
        <v>7.5999999999999998E-2</v>
      </c>
      <c r="D94" s="1066">
        <v>7.3999999999999996E-2</v>
      </c>
      <c r="E94" s="1066">
        <v>9.7000000000000003E-2</v>
      </c>
      <c r="F94" s="1078"/>
    </row>
    <row r="95" spans="1:6" ht="14.25" thickBot="1">
      <c r="A95" s="840" t="s">
        <v>523</v>
      </c>
      <c r="B95" s="834" t="s">
        <v>385</v>
      </c>
      <c r="C95" s="1066">
        <v>9.9000000000000005E-2</v>
      </c>
      <c r="D95" s="1066">
        <v>9.4E-2</v>
      </c>
      <c r="E95" s="1066">
        <v>9.6000000000000002E-2</v>
      </c>
      <c r="F95" s="1078"/>
    </row>
    <row r="96" spans="1:6" ht="14.25" thickBot="1">
      <c r="A96" s="840" t="s">
        <v>523</v>
      </c>
      <c r="B96" s="834" t="s">
        <v>394</v>
      </c>
      <c r="C96" s="1066">
        <v>9.9000000000000005E-2</v>
      </c>
      <c r="D96" s="1066">
        <v>9.9000000000000005E-2</v>
      </c>
      <c r="E96" s="1066">
        <v>9.9000000000000005E-2</v>
      </c>
      <c r="F96" s="1078"/>
    </row>
    <row r="97" spans="1:6" ht="14.25" thickBot="1">
      <c r="A97" s="840" t="s">
        <v>523</v>
      </c>
      <c r="B97" s="834" t="s">
        <v>402</v>
      </c>
      <c r="C97" s="1066">
        <v>9.8000000000000004E-2</v>
      </c>
      <c r="D97" s="1066">
        <v>9.8000000000000004E-2</v>
      </c>
      <c r="E97" s="1066">
        <v>9.7000000000000003E-2</v>
      </c>
      <c r="F97" s="1078"/>
    </row>
    <row r="98" spans="1:6" ht="14.25" thickBot="1">
      <c r="A98" s="840" t="s">
        <v>523</v>
      </c>
      <c r="B98" s="834" t="s">
        <v>409</v>
      </c>
      <c r="C98" s="1066">
        <v>0.1</v>
      </c>
      <c r="D98" s="1066">
        <v>0.1</v>
      </c>
      <c r="E98" s="1066">
        <v>9.7000000000000003E-2</v>
      </c>
      <c r="F98" s="1078"/>
    </row>
    <row r="99" spans="1:6" ht="14.25" thickBot="1">
      <c r="A99" s="840" t="s">
        <v>523</v>
      </c>
      <c r="B99" s="834" t="s">
        <v>416</v>
      </c>
      <c r="C99" s="1066">
        <v>0.1</v>
      </c>
      <c r="D99" s="1066">
        <v>0.1</v>
      </c>
      <c r="E99" s="1079"/>
      <c r="F99" s="1078"/>
    </row>
    <row r="100" spans="1:6" ht="14.25" thickBot="1">
      <c r="A100" s="840" t="s">
        <v>523</v>
      </c>
      <c r="B100" s="834" t="s">
        <v>423</v>
      </c>
      <c r="C100" s="1066">
        <v>0.09</v>
      </c>
      <c r="D100" s="1066">
        <v>8.8999999999999996E-2</v>
      </c>
      <c r="E100" s="1079"/>
      <c r="F100" s="1078"/>
    </row>
    <row r="101" spans="1:6" ht="14.25" thickBot="1">
      <c r="A101" s="840" t="s">
        <v>523</v>
      </c>
      <c r="B101" s="834" t="s">
        <v>430</v>
      </c>
      <c r="C101" s="1066">
        <v>9.8000000000000004E-2</v>
      </c>
      <c r="D101" s="1066">
        <v>9.7000000000000003E-2</v>
      </c>
      <c r="E101" s="1079"/>
      <c r="F101" s="1078"/>
    </row>
    <row r="102" spans="1:6" ht="14.25" thickBot="1">
      <c r="A102" s="840" t="s">
        <v>523</v>
      </c>
      <c r="B102" s="834" t="s">
        <v>890</v>
      </c>
      <c r="C102" s="1079"/>
      <c r="D102" s="1079"/>
      <c r="E102" s="1079"/>
      <c r="F102" s="1067">
        <v>0.05</v>
      </c>
    </row>
    <row r="103" spans="1:6" ht="24.75" thickBot="1">
      <c r="A103" s="840" t="s">
        <v>523</v>
      </c>
      <c r="B103" s="834" t="s">
        <v>891</v>
      </c>
      <c r="C103" s="1079"/>
      <c r="D103" s="1079"/>
      <c r="E103" s="1079"/>
      <c r="F103" s="1067">
        <v>0.05</v>
      </c>
    </row>
    <row r="104" spans="1:6" ht="14.25" thickBot="1">
      <c r="A104" s="840" t="s">
        <v>523</v>
      </c>
      <c r="B104" s="834" t="s">
        <v>892</v>
      </c>
      <c r="C104" s="1079"/>
      <c r="D104" s="1079"/>
      <c r="E104" s="1079"/>
      <c r="F104" s="1067">
        <v>0.05</v>
      </c>
    </row>
    <row r="105" spans="1:6" ht="14.25" thickBot="1">
      <c r="A105" s="840" t="s">
        <v>523</v>
      </c>
      <c r="B105" s="834" t="s">
        <v>893</v>
      </c>
      <c r="C105" s="1079"/>
      <c r="D105" s="1079"/>
      <c r="E105" s="1079"/>
      <c r="F105" s="1067">
        <v>0.05</v>
      </c>
    </row>
    <row r="106" spans="1:6" ht="14.25" thickBot="1">
      <c r="A106" s="840" t="s">
        <v>523</v>
      </c>
      <c r="B106" s="834" t="s">
        <v>894</v>
      </c>
      <c r="C106" s="1079"/>
      <c r="D106" s="1079"/>
      <c r="E106" s="1079"/>
      <c r="F106" s="1067">
        <v>0.05</v>
      </c>
    </row>
    <row r="107" spans="1:6" ht="24.75" thickBot="1">
      <c r="A107" s="840" t="s">
        <v>523</v>
      </c>
      <c r="B107" s="834" t="s">
        <v>895</v>
      </c>
      <c r="C107" s="1079"/>
      <c r="D107" s="1079"/>
      <c r="E107" s="1079"/>
      <c r="F107" s="1067">
        <v>0.05</v>
      </c>
    </row>
    <row r="108" spans="1:6" ht="24.75" thickBot="1">
      <c r="A108" s="840" t="s">
        <v>523</v>
      </c>
      <c r="B108" s="834" t="s">
        <v>896</v>
      </c>
      <c r="C108" s="1079"/>
      <c r="D108" s="1079"/>
      <c r="E108" s="1079"/>
      <c r="F108" s="1067">
        <v>0.05</v>
      </c>
    </row>
    <row r="109" spans="1:6" ht="24.75" thickBot="1">
      <c r="A109" s="850" t="s">
        <v>523</v>
      </c>
      <c r="B109" s="846" t="s">
        <v>897</v>
      </c>
      <c r="C109" s="1076"/>
      <c r="D109" s="1076"/>
      <c r="E109" s="1076"/>
      <c r="F109" s="1069">
        <v>0.05</v>
      </c>
    </row>
    <row r="110" spans="1:6" ht="14.25" thickBot="1">
      <c r="A110" s="840" t="s">
        <v>56</v>
      </c>
      <c r="B110" s="841" t="s">
        <v>898</v>
      </c>
      <c r="C110" s="1064">
        <v>0.129</v>
      </c>
      <c r="D110" s="1064">
        <v>0.129</v>
      </c>
      <c r="E110" s="1064">
        <v>0.126</v>
      </c>
      <c r="F110" s="1065">
        <v>0.13</v>
      </c>
    </row>
    <row r="111" spans="1:6" ht="14.25" thickBot="1">
      <c r="A111" s="840" t="s">
        <v>56</v>
      </c>
      <c r="B111" s="834" t="s">
        <v>192</v>
      </c>
      <c r="C111" s="1066">
        <v>0.11</v>
      </c>
      <c r="D111" s="1066">
        <v>0.11</v>
      </c>
      <c r="E111" s="1066">
        <v>9.9000000000000005E-2</v>
      </c>
      <c r="F111" s="1067">
        <v>0.128</v>
      </c>
    </row>
    <row r="112" spans="1:6" ht="14.25" thickBot="1">
      <c r="A112" s="840" t="s">
        <v>56</v>
      </c>
      <c r="B112" s="834" t="s">
        <v>205</v>
      </c>
      <c r="C112" s="1066">
        <v>0.125</v>
      </c>
      <c r="D112" s="1066">
        <v>0.125</v>
      </c>
      <c r="E112" s="1066">
        <v>0.12</v>
      </c>
      <c r="F112" s="1067">
        <v>0.125</v>
      </c>
    </row>
    <row r="113" spans="1:6" ht="14.25" thickBot="1">
      <c r="A113" s="840" t="s">
        <v>56</v>
      </c>
      <c r="B113" s="834" t="s">
        <v>218</v>
      </c>
      <c r="C113" s="1066">
        <v>0.13</v>
      </c>
      <c r="D113" s="1066">
        <v>0.13</v>
      </c>
      <c r="E113" s="1066">
        <v>0.13</v>
      </c>
      <c r="F113" s="1067">
        <v>0.13</v>
      </c>
    </row>
    <row r="114" spans="1:6" ht="14.25" thickBot="1">
      <c r="A114" s="840" t="s">
        <v>56</v>
      </c>
      <c r="B114" s="834" t="s">
        <v>230</v>
      </c>
      <c r="C114" s="1066">
        <v>0.123</v>
      </c>
      <c r="D114" s="1066">
        <v>0.123</v>
      </c>
      <c r="E114" s="1066">
        <v>0.12</v>
      </c>
      <c r="F114" s="1067">
        <v>0.13</v>
      </c>
    </row>
    <row r="115" spans="1:6" ht="14.25" thickBot="1">
      <c r="A115" s="840" t="s">
        <v>56</v>
      </c>
      <c r="B115" s="834" t="s">
        <v>241</v>
      </c>
      <c r="C115" s="1066">
        <v>0.125</v>
      </c>
      <c r="D115" s="1066">
        <v>0.125</v>
      </c>
      <c r="E115" s="1066">
        <v>0.11700000000000001</v>
      </c>
      <c r="F115" s="1067">
        <v>0.13</v>
      </c>
    </row>
    <row r="116" spans="1:6" ht="14.25" thickBot="1">
      <c r="A116" s="840" t="s">
        <v>56</v>
      </c>
      <c r="B116" s="834" t="s">
        <v>252</v>
      </c>
      <c r="C116" s="1066">
        <v>0.11700000000000001</v>
      </c>
      <c r="D116" s="1066">
        <v>0.11700000000000001</v>
      </c>
      <c r="E116" s="1066">
        <v>8.7999999999999995E-2</v>
      </c>
      <c r="F116" s="1067">
        <v>0.13</v>
      </c>
    </row>
    <row r="117" spans="1:6" ht="14.25" thickBot="1">
      <c r="A117" s="840" t="s">
        <v>56</v>
      </c>
      <c r="B117" s="834" t="s">
        <v>263</v>
      </c>
      <c r="C117" s="1066">
        <v>0.13</v>
      </c>
      <c r="D117" s="1066">
        <v>0.13</v>
      </c>
      <c r="E117" s="1066">
        <v>0.129</v>
      </c>
      <c r="F117" s="1067">
        <v>0.13</v>
      </c>
    </row>
    <row r="118" spans="1:6" ht="14.25" thickBot="1">
      <c r="A118" s="840" t="s">
        <v>56</v>
      </c>
      <c r="B118" s="834" t="s">
        <v>275</v>
      </c>
      <c r="C118" s="1066">
        <v>0.123</v>
      </c>
      <c r="D118" s="1066">
        <v>0.123</v>
      </c>
      <c r="E118" s="1066">
        <v>0.11600000000000001</v>
      </c>
      <c r="F118" s="1067">
        <v>0.13</v>
      </c>
    </row>
    <row r="119" spans="1:6" ht="14.25" thickBot="1">
      <c r="A119" s="840" t="s">
        <v>56</v>
      </c>
      <c r="B119" s="834" t="s">
        <v>285</v>
      </c>
      <c r="C119" s="1066">
        <v>0.127</v>
      </c>
      <c r="D119" s="1066">
        <v>0.127</v>
      </c>
      <c r="E119" s="1066">
        <v>0.124</v>
      </c>
      <c r="F119" s="1067">
        <v>0.13</v>
      </c>
    </row>
    <row r="120" spans="1:6" ht="14.25" thickBot="1">
      <c r="A120" s="840" t="s">
        <v>56</v>
      </c>
      <c r="B120" s="834" t="s">
        <v>295</v>
      </c>
      <c r="C120" s="1066">
        <v>0.125</v>
      </c>
      <c r="D120" s="1066">
        <v>0.125</v>
      </c>
      <c r="E120" s="1066">
        <v>0.122</v>
      </c>
      <c r="F120" s="1067">
        <v>0.13</v>
      </c>
    </row>
    <row r="121" spans="1:6" ht="14.25" thickBot="1">
      <c r="A121" s="840" t="s">
        <v>56</v>
      </c>
      <c r="B121" s="834" t="s">
        <v>305</v>
      </c>
      <c r="C121" s="1066">
        <v>0.13</v>
      </c>
      <c r="D121" s="1066">
        <v>0.13</v>
      </c>
      <c r="E121" s="1066">
        <v>0.13</v>
      </c>
      <c r="F121" s="1067">
        <v>0.13</v>
      </c>
    </row>
    <row r="122" spans="1:6" ht="14.25" thickBot="1">
      <c r="A122" s="840" t="s">
        <v>56</v>
      </c>
      <c r="B122" s="834" t="s">
        <v>315</v>
      </c>
      <c r="C122" s="1066">
        <v>0.13</v>
      </c>
      <c r="D122" s="1066">
        <v>0.13</v>
      </c>
      <c r="E122" s="1066">
        <v>0.125</v>
      </c>
      <c r="F122" s="1067">
        <v>0.13</v>
      </c>
    </row>
    <row r="123" spans="1:6" ht="14.25" thickBot="1">
      <c r="A123" s="840" t="s">
        <v>56</v>
      </c>
      <c r="B123" s="834" t="s">
        <v>326</v>
      </c>
      <c r="C123" s="1066">
        <v>0.129</v>
      </c>
      <c r="D123" s="1066">
        <v>0.129</v>
      </c>
      <c r="E123" s="1066">
        <v>0.123</v>
      </c>
      <c r="F123" s="1067">
        <v>0.13</v>
      </c>
    </row>
    <row r="124" spans="1:6" ht="14.25" thickBot="1">
      <c r="A124" s="840" t="s">
        <v>56</v>
      </c>
      <c r="B124" s="834" t="s">
        <v>337</v>
      </c>
      <c r="C124" s="1066">
        <v>0.10199999999999999</v>
      </c>
      <c r="D124" s="1066">
        <v>0.10100000000000001</v>
      </c>
      <c r="E124" s="1066">
        <v>0.08</v>
      </c>
      <c r="F124" s="1078"/>
    </row>
    <row r="125" spans="1:6" ht="14.25" thickBot="1">
      <c r="A125" s="840" t="s">
        <v>56</v>
      </c>
      <c r="B125" s="834" t="s">
        <v>347</v>
      </c>
      <c r="C125" s="1066">
        <v>0.13</v>
      </c>
      <c r="D125" s="1066">
        <v>0.13</v>
      </c>
      <c r="E125" s="1066">
        <v>0.129</v>
      </c>
      <c r="F125" s="1078"/>
    </row>
    <row r="126" spans="1:6" ht="14.25" thickBot="1">
      <c r="A126" s="840" t="s">
        <v>56</v>
      </c>
      <c r="B126" s="834" t="s">
        <v>357</v>
      </c>
      <c r="C126" s="1066">
        <v>0.13</v>
      </c>
      <c r="D126" s="1066">
        <v>0.13</v>
      </c>
      <c r="E126" s="1066">
        <v>0.126</v>
      </c>
      <c r="F126" s="1078"/>
    </row>
    <row r="127" spans="1:6" ht="14.25" thickBot="1">
      <c r="A127" s="840" t="s">
        <v>56</v>
      </c>
      <c r="B127" s="834" t="s">
        <v>367</v>
      </c>
      <c r="C127" s="1066">
        <v>0.125</v>
      </c>
      <c r="D127" s="1066">
        <v>0.125</v>
      </c>
      <c r="E127" s="1066">
        <v>0.121</v>
      </c>
      <c r="F127" s="1078"/>
    </row>
    <row r="128" spans="1:6" ht="14.25" thickBot="1">
      <c r="A128" s="840" t="s">
        <v>56</v>
      </c>
      <c r="B128" s="834" t="s">
        <v>377</v>
      </c>
      <c r="C128" s="1066">
        <v>0.12</v>
      </c>
      <c r="D128" s="1066">
        <v>0.12</v>
      </c>
      <c r="E128" s="1066">
        <v>0.105</v>
      </c>
      <c r="F128" s="1078"/>
    </row>
    <row r="129" spans="1:6" ht="14.25" thickBot="1">
      <c r="A129" s="840" t="s">
        <v>56</v>
      </c>
      <c r="B129" s="834" t="s">
        <v>386</v>
      </c>
      <c r="C129" s="1066">
        <v>0.13</v>
      </c>
      <c r="D129" s="1066">
        <v>0.13</v>
      </c>
      <c r="E129" s="1066">
        <v>0.126</v>
      </c>
      <c r="F129" s="1078"/>
    </row>
    <row r="130" spans="1:6" ht="14.25" thickBot="1">
      <c r="A130" s="840" t="s">
        <v>56</v>
      </c>
      <c r="B130" s="834" t="s">
        <v>395</v>
      </c>
      <c r="C130" s="1066">
        <v>0.125</v>
      </c>
      <c r="D130" s="1066">
        <v>0.125</v>
      </c>
      <c r="E130" s="1066">
        <v>0.122</v>
      </c>
      <c r="F130" s="1078"/>
    </row>
    <row r="131" spans="1:6" ht="14.25" thickBot="1">
      <c r="A131" s="840" t="s">
        <v>56</v>
      </c>
      <c r="B131" s="834" t="s">
        <v>403</v>
      </c>
      <c r="C131" s="1066">
        <v>0.127</v>
      </c>
      <c r="D131" s="1066">
        <v>0.126</v>
      </c>
      <c r="E131" s="1066">
        <v>0.123</v>
      </c>
      <c r="F131" s="1078"/>
    </row>
    <row r="132" spans="1:6" ht="14.25" thickBot="1">
      <c r="A132" s="840" t="s">
        <v>56</v>
      </c>
      <c r="B132" s="834" t="s">
        <v>410</v>
      </c>
      <c r="C132" s="1066">
        <v>9.0999999999999998E-2</v>
      </c>
      <c r="D132" s="1066">
        <v>0.121</v>
      </c>
      <c r="E132" s="1066">
        <v>9.9000000000000005E-2</v>
      </c>
      <c r="F132" s="1078"/>
    </row>
    <row r="133" spans="1:6" ht="14.25" thickBot="1">
      <c r="A133" s="840" t="s">
        <v>56</v>
      </c>
      <c r="B133" s="834" t="s">
        <v>417</v>
      </c>
      <c r="C133" s="1066">
        <v>0.13</v>
      </c>
      <c r="D133" s="1066">
        <v>0.13</v>
      </c>
      <c r="E133" s="1066">
        <v>0.129</v>
      </c>
      <c r="F133" s="1078"/>
    </row>
    <row r="134" spans="1:6" ht="14.25" thickBot="1">
      <c r="A134" s="840" t="s">
        <v>56</v>
      </c>
      <c r="B134" s="834" t="s">
        <v>899</v>
      </c>
      <c r="C134" s="1066">
        <v>6.8000000000000005E-2</v>
      </c>
      <c r="D134" s="1066">
        <v>6.5000000000000002E-2</v>
      </c>
      <c r="E134" s="1066">
        <v>6.5000000000000002E-2</v>
      </c>
      <c r="F134" s="1067">
        <v>0.13</v>
      </c>
    </row>
    <row r="135" spans="1:6" ht="14.25" thickBot="1">
      <c r="A135" s="840" t="s">
        <v>56</v>
      </c>
      <c r="B135" s="834" t="s">
        <v>431</v>
      </c>
      <c r="C135" s="1066">
        <v>0.123</v>
      </c>
      <c r="D135" s="1066">
        <v>0.123</v>
      </c>
      <c r="E135" s="1066">
        <v>0.11</v>
      </c>
      <c r="F135" s="1078"/>
    </row>
    <row r="136" spans="1:6" ht="14.25" thickBot="1">
      <c r="A136" s="840" t="s">
        <v>56</v>
      </c>
      <c r="B136" s="834" t="s">
        <v>438</v>
      </c>
      <c r="C136" s="1066">
        <v>0.13</v>
      </c>
      <c r="D136" s="1066">
        <v>0.13</v>
      </c>
      <c r="E136" s="1066">
        <v>0.125</v>
      </c>
      <c r="F136" s="1078"/>
    </row>
    <row r="137" spans="1:6" ht="14.25" thickBot="1">
      <c r="A137" s="840" t="s">
        <v>56</v>
      </c>
      <c r="B137" s="834" t="s">
        <v>445</v>
      </c>
      <c r="C137" s="1066">
        <v>0.121</v>
      </c>
      <c r="D137" s="1066">
        <v>0.122</v>
      </c>
      <c r="E137" s="1066">
        <v>0.115</v>
      </c>
      <c r="F137" s="1078"/>
    </row>
    <row r="138" spans="1:6" ht="14.25" thickBot="1">
      <c r="A138" s="840" t="s">
        <v>56</v>
      </c>
      <c r="B138" s="834" t="s">
        <v>900</v>
      </c>
      <c r="C138" s="1066">
        <v>0.105</v>
      </c>
      <c r="D138" s="1066">
        <v>0.125</v>
      </c>
      <c r="E138" s="1066">
        <v>0.112</v>
      </c>
      <c r="F138" s="1078"/>
    </row>
    <row r="139" spans="1:6" ht="14.25" thickBot="1">
      <c r="A139" s="840" t="s">
        <v>56</v>
      </c>
      <c r="B139" s="834" t="s">
        <v>901</v>
      </c>
      <c r="C139" s="1066">
        <v>0.127</v>
      </c>
      <c r="D139" s="1066">
        <v>0.127</v>
      </c>
      <c r="E139" s="1066">
        <v>0.122</v>
      </c>
      <c r="F139" s="1067">
        <v>0.13</v>
      </c>
    </row>
    <row r="140" spans="1:6" ht="14.25" thickBot="1">
      <c r="A140" s="840" t="s">
        <v>56</v>
      </c>
      <c r="B140" s="834" t="s">
        <v>902</v>
      </c>
      <c r="C140" s="1066">
        <v>0.125</v>
      </c>
      <c r="D140" s="1066">
        <v>0.125</v>
      </c>
      <c r="E140" s="1066">
        <v>0.11899999999999999</v>
      </c>
      <c r="F140" s="1067">
        <v>0.13</v>
      </c>
    </row>
    <row r="141" spans="1:6" ht="14.25" thickBot="1">
      <c r="A141" s="840" t="s">
        <v>56</v>
      </c>
      <c r="B141" s="834" t="s">
        <v>464</v>
      </c>
      <c r="C141" s="1066">
        <v>0.125</v>
      </c>
      <c r="D141" s="1066">
        <v>0.125</v>
      </c>
      <c r="E141" s="1066">
        <v>0.11700000000000001</v>
      </c>
      <c r="F141" s="1078"/>
    </row>
    <row r="142" spans="1:6" ht="14.25" thickBot="1">
      <c r="A142" s="840" t="s">
        <v>56</v>
      </c>
      <c r="B142" s="834" t="s">
        <v>469</v>
      </c>
      <c r="C142" s="1066">
        <v>0.125</v>
      </c>
      <c r="D142" s="1066">
        <v>0.125</v>
      </c>
      <c r="E142" s="1066">
        <v>0.115</v>
      </c>
      <c r="F142" s="1078"/>
    </row>
    <row r="143" spans="1:6" ht="14.25" thickBot="1">
      <c r="A143" s="840" t="s">
        <v>56</v>
      </c>
      <c r="B143" s="834" t="s">
        <v>474</v>
      </c>
      <c r="C143" s="1066">
        <v>0.121</v>
      </c>
      <c r="D143" s="1066">
        <v>0.121</v>
      </c>
      <c r="E143" s="1066">
        <v>0.108</v>
      </c>
      <c r="F143" s="1078"/>
    </row>
    <row r="144" spans="1:6" ht="14.25" thickBot="1">
      <c r="A144" s="840" t="s">
        <v>56</v>
      </c>
      <c r="B144" s="1070" t="s">
        <v>903</v>
      </c>
      <c r="C144" s="1071">
        <v>0.126</v>
      </c>
      <c r="D144" s="1071">
        <v>0.126</v>
      </c>
      <c r="E144" s="1071">
        <v>0.121</v>
      </c>
      <c r="F144" s="1078"/>
    </row>
    <row r="145" spans="1:6" ht="14.25" thickBot="1">
      <c r="A145" s="850" t="s">
        <v>56</v>
      </c>
      <c r="B145" s="1072" t="s">
        <v>904</v>
      </c>
      <c r="C145" s="1080"/>
      <c r="D145" s="1080"/>
      <c r="E145" s="1080"/>
      <c r="F145" s="1073">
        <v>0.05</v>
      </c>
    </row>
    <row r="146" spans="1:6" ht="24.75" thickBot="1">
      <c r="A146" s="1074" t="s">
        <v>56</v>
      </c>
      <c r="B146" s="844" t="s">
        <v>905</v>
      </c>
      <c r="C146" s="1079"/>
      <c r="D146" s="1079"/>
      <c r="E146" s="1079"/>
      <c r="F146" s="1075">
        <v>0.05</v>
      </c>
    </row>
    <row r="147" spans="1:6" ht="24.75" thickBot="1">
      <c r="A147" s="840" t="s">
        <v>56</v>
      </c>
      <c r="B147" s="834" t="s">
        <v>906</v>
      </c>
      <c r="C147" s="1079"/>
      <c r="D147" s="1079"/>
      <c r="E147" s="1079"/>
      <c r="F147" s="1067">
        <v>0.05</v>
      </c>
    </row>
    <row r="148" spans="1:6" ht="24.75" thickBot="1">
      <c r="A148" s="840" t="s">
        <v>56</v>
      </c>
      <c r="B148" s="834" t="s">
        <v>907</v>
      </c>
      <c r="C148" s="1079"/>
      <c r="D148" s="1079"/>
      <c r="E148" s="1079"/>
      <c r="F148" s="1067">
        <v>0.05</v>
      </c>
    </row>
    <row r="149" spans="1:6" ht="24.75" thickBot="1">
      <c r="A149" s="840" t="s">
        <v>56</v>
      </c>
      <c r="B149" s="834" t="s">
        <v>908</v>
      </c>
      <c r="C149" s="1079"/>
      <c r="D149" s="1079"/>
      <c r="E149" s="1079"/>
      <c r="F149" s="1067">
        <v>0.05</v>
      </c>
    </row>
    <row r="150" spans="1:6" ht="24.75" thickBot="1">
      <c r="A150" s="840" t="s">
        <v>56</v>
      </c>
      <c r="B150" s="834" t="s">
        <v>909</v>
      </c>
      <c r="C150" s="1079"/>
      <c r="D150" s="1079"/>
      <c r="E150" s="1079"/>
      <c r="F150" s="1067">
        <v>0.05</v>
      </c>
    </row>
    <row r="151" spans="1:6" ht="24.75" thickBot="1">
      <c r="A151" s="840" t="s">
        <v>56</v>
      </c>
      <c r="B151" s="834" t="s">
        <v>910</v>
      </c>
      <c r="C151" s="1079"/>
      <c r="D151" s="1079"/>
      <c r="E151" s="1079"/>
      <c r="F151" s="1067">
        <v>0.05</v>
      </c>
    </row>
    <row r="152" spans="1:6" ht="24.75" thickBot="1">
      <c r="A152" s="840" t="s">
        <v>56</v>
      </c>
      <c r="B152" s="834" t="s">
        <v>507</v>
      </c>
      <c r="C152" s="1079"/>
      <c r="D152" s="1079"/>
      <c r="E152" s="1079"/>
      <c r="F152" s="1067">
        <v>0.05</v>
      </c>
    </row>
    <row r="153" spans="1:6" ht="14.25" thickBot="1">
      <c r="A153" s="840" t="s">
        <v>56</v>
      </c>
      <c r="B153" s="834" t="s">
        <v>911</v>
      </c>
      <c r="C153" s="1079"/>
      <c r="D153" s="1079"/>
      <c r="E153" s="1079"/>
      <c r="F153" s="1067">
        <v>0.05</v>
      </c>
    </row>
    <row r="154" spans="1:6" ht="14.25" thickBot="1">
      <c r="A154" s="840" t="s">
        <v>56</v>
      </c>
      <c r="B154" s="834" t="s">
        <v>912</v>
      </c>
      <c r="C154" s="1079"/>
      <c r="D154" s="1079"/>
      <c r="E154" s="1079"/>
      <c r="F154" s="1067">
        <v>0.05</v>
      </c>
    </row>
    <row r="155" spans="1:6" ht="24.75" thickBot="1">
      <c r="A155" s="840" t="s">
        <v>56</v>
      </c>
      <c r="B155" s="834" t="s">
        <v>913</v>
      </c>
      <c r="C155" s="1079"/>
      <c r="D155" s="1079"/>
      <c r="E155" s="1079"/>
      <c r="F155" s="1067">
        <v>0.05</v>
      </c>
    </row>
    <row r="156" spans="1:6" ht="24.75" thickBot="1">
      <c r="A156" s="840" t="s">
        <v>56</v>
      </c>
      <c r="B156" s="834" t="s">
        <v>914</v>
      </c>
      <c r="C156" s="1079"/>
      <c r="D156" s="1079"/>
      <c r="E156" s="1079"/>
      <c r="F156" s="1067">
        <v>0.05</v>
      </c>
    </row>
    <row r="157" spans="1:6" ht="14.25" thickBot="1">
      <c r="A157" s="850" t="s">
        <v>56</v>
      </c>
      <c r="B157" s="846" t="s">
        <v>915</v>
      </c>
      <c r="C157" s="1076"/>
      <c r="D157" s="1076"/>
      <c r="E157" s="1076"/>
      <c r="F157" s="1069">
        <v>0.05</v>
      </c>
    </row>
    <row r="158" spans="1:6" ht="14.25" thickBot="1">
      <c r="A158" s="840" t="s">
        <v>526</v>
      </c>
      <c r="B158" s="841" t="s">
        <v>916</v>
      </c>
      <c r="C158" s="1064">
        <v>0.13</v>
      </c>
      <c r="D158" s="1064">
        <v>0.13</v>
      </c>
      <c r="E158" s="1064">
        <v>0.13</v>
      </c>
      <c r="F158" s="1065">
        <v>0.13</v>
      </c>
    </row>
    <row r="159" spans="1:6" ht="14.25" thickBot="1">
      <c r="A159" s="840" t="s">
        <v>526</v>
      </c>
      <c r="B159" s="834" t="s">
        <v>193</v>
      </c>
      <c r="C159" s="1066">
        <v>0.13</v>
      </c>
      <c r="D159" s="1066">
        <v>0.13</v>
      </c>
      <c r="E159" s="1066">
        <v>0.13</v>
      </c>
      <c r="F159" s="1067">
        <v>0.13</v>
      </c>
    </row>
    <row r="160" spans="1:6" ht="14.25" thickBot="1">
      <c r="A160" s="840" t="s">
        <v>526</v>
      </c>
      <c r="B160" s="834" t="s">
        <v>206</v>
      </c>
      <c r="C160" s="1066">
        <v>0.13</v>
      </c>
      <c r="D160" s="1066">
        <v>0.13</v>
      </c>
      <c r="E160" s="1066">
        <v>0.129</v>
      </c>
      <c r="F160" s="1067">
        <v>0.13</v>
      </c>
    </row>
    <row r="161" spans="1:6" ht="14.25" thickBot="1">
      <c r="A161" s="840" t="s">
        <v>526</v>
      </c>
      <c r="B161" s="834" t="s">
        <v>219</v>
      </c>
      <c r="C161" s="1066">
        <v>0.128</v>
      </c>
      <c r="D161" s="1066">
        <v>0.128</v>
      </c>
      <c r="E161" s="1066">
        <v>0.125</v>
      </c>
      <c r="F161" s="1067">
        <v>0.13</v>
      </c>
    </row>
    <row r="162" spans="1:6" ht="14.25" thickBot="1">
      <c r="A162" s="840" t="s">
        <v>526</v>
      </c>
      <c r="B162" s="834" t="s">
        <v>231</v>
      </c>
      <c r="C162" s="1066">
        <v>0.122</v>
      </c>
      <c r="D162" s="1066">
        <v>0.122</v>
      </c>
      <c r="E162" s="1066">
        <v>0.126</v>
      </c>
      <c r="F162" s="1067">
        <v>0.122</v>
      </c>
    </row>
    <row r="163" spans="1:6" ht="14.25" thickBot="1">
      <c r="A163" s="840" t="s">
        <v>526</v>
      </c>
      <c r="B163" s="834" t="s">
        <v>242</v>
      </c>
      <c r="C163" s="1066">
        <v>0.13</v>
      </c>
      <c r="D163" s="1066">
        <v>0.13</v>
      </c>
      <c r="E163" s="1066">
        <v>0.125</v>
      </c>
      <c r="F163" s="1067">
        <v>0.13</v>
      </c>
    </row>
    <row r="164" spans="1:6" ht="14.25" thickBot="1">
      <c r="A164" s="840" t="s">
        <v>526</v>
      </c>
      <c r="B164" s="834" t="s">
        <v>253</v>
      </c>
      <c r="C164" s="1066">
        <v>0.13</v>
      </c>
      <c r="D164" s="1066">
        <v>0.13</v>
      </c>
      <c r="E164" s="1066">
        <v>0.13</v>
      </c>
      <c r="F164" s="1067">
        <v>0.13</v>
      </c>
    </row>
    <row r="165" spans="1:6" ht="14.25" thickBot="1">
      <c r="A165" s="840" t="s">
        <v>526</v>
      </c>
      <c r="B165" s="834" t="s">
        <v>264</v>
      </c>
      <c r="C165" s="1066">
        <v>0.13</v>
      </c>
      <c r="D165" s="1066">
        <v>0.13</v>
      </c>
      <c r="E165" s="1066">
        <v>0.124</v>
      </c>
      <c r="F165" s="1067">
        <v>0.13</v>
      </c>
    </row>
    <row r="166" spans="1:6" ht="14.25" thickBot="1">
      <c r="A166" s="840" t="s">
        <v>526</v>
      </c>
      <c r="B166" s="834" t="s">
        <v>276</v>
      </c>
      <c r="C166" s="1066">
        <v>0.13</v>
      </c>
      <c r="D166" s="1066">
        <v>0.13</v>
      </c>
      <c r="E166" s="1066">
        <v>0.13</v>
      </c>
      <c r="F166" s="1067">
        <v>0.13</v>
      </c>
    </row>
    <row r="167" spans="1:6" ht="14.25" thickBot="1">
      <c r="A167" s="840" t="s">
        <v>526</v>
      </c>
      <c r="B167" s="834" t="s">
        <v>286</v>
      </c>
      <c r="C167" s="1066">
        <v>0.125</v>
      </c>
      <c r="D167" s="1066">
        <v>0.125</v>
      </c>
      <c r="E167" s="1066">
        <v>0.121</v>
      </c>
      <c r="F167" s="1078"/>
    </row>
    <row r="168" spans="1:6" ht="14.25" thickBot="1">
      <c r="A168" s="840" t="s">
        <v>526</v>
      </c>
      <c r="B168" s="834" t="s">
        <v>296</v>
      </c>
      <c r="C168" s="1066">
        <v>0.13</v>
      </c>
      <c r="D168" s="1066">
        <v>0.13</v>
      </c>
      <c r="E168" s="1066">
        <v>0.126</v>
      </c>
      <c r="F168" s="1078"/>
    </row>
    <row r="169" spans="1:6" ht="14.25" thickBot="1">
      <c r="A169" s="840" t="s">
        <v>526</v>
      </c>
      <c r="B169" s="834" t="s">
        <v>306</v>
      </c>
      <c r="C169" s="1066">
        <v>0.128</v>
      </c>
      <c r="D169" s="1066">
        <v>0.129</v>
      </c>
      <c r="E169" s="1066">
        <v>0.13</v>
      </c>
      <c r="F169" s="1078"/>
    </row>
    <row r="170" spans="1:6" ht="14.25" thickBot="1">
      <c r="A170" s="840" t="s">
        <v>526</v>
      </c>
      <c r="B170" s="834" t="s">
        <v>316</v>
      </c>
      <c r="C170" s="1066">
        <v>0.14099999999999999</v>
      </c>
      <c r="D170" s="1066">
        <v>0.13</v>
      </c>
      <c r="E170" s="1066">
        <v>0.125</v>
      </c>
      <c r="F170" s="1078"/>
    </row>
    <row r="171" spans="1:6" ht="14.25" thickBot="1">
      <c r="A171" s="840" t="s">
        <v>526</v>
      </c>
      <c r="B171" s="834" t="s">
        <v>917</v>
      </c>
      <c r="C171" s="1066">
        <v>0.127</v>
      </c>
      <c r="D171" s="1066">
        <v>0.126</v>
      </c>
      <c r="E171" s="1066">
        <v>0.126</v>
      </c>
      <c r="F171" s="1067">
        <v>0.11799999999999999</v>
      </c>
    </row>
    <row r="172" spans="1:6" ht="14.25" thickBot="1">
      <c r="A172" s="840" t="s">
        <v>526</v>
      </c>
      <c r="B172" s="834" t="s">
        <v>918</v>
      </c>
      <c r="C172" s="1066">
        <v>0.13</v>
      </c>
      <c r="D172" s="1066">
        <v>0.13</v>
      </c>
      <c r="E172" s="1066">
        <v>0.13</v>
      </c>
      <c r="F172" s="1078"/>
    </row>
    <row r="173" spans="1:6" ht="14.25" thickBot="1">
      <c r="A173" s="840" t="s">
        <v>526</v>
      </c>
      <c r="B173" s="834" t="s">
        <v>348</v>
      </c>
      <c r="C173" s="1066">
        <v>0.13</v>
      </c>
      <c r="D173" s="1066">
        <v>0.13</v>
      </c>
      <c r="E173" s="1066">
        <v>0.13</v>
      </c>
      <c r="F173" s="1078"/>
    </row>
    <row r="174" spans="1:6" ht="14.25" thickBot="1">
      <c r="A174" s="840" t="s">
        <v>526</v>
      </c>
      <c r="B174" s="834" t="s">
        <v>919</v>
      </c>
      <c r="C174" s="1066">
        <v>0.13</v>
      </c>
      <c r="D174" s="1066">
        <v>0.13</v>
      </c>
      <c r="E174" s="1066">
        <v>0.13</v>
      </c>
      <c r="F174" s="1067">
        <v>0.13</v>
      </c>
    </row>
    <row r="175" spans="1:6" ht="14.25" thickBot="1">
      <c r="A175" s="840" t="s">
        <v>526</v>
      </c>
      <c r="B175" s="834" t="s">
        <v>920</v>
      </c>
      <c r="C175" s="1066">
        <v>0.13</v>
      </c>
      <c r="D175" s="1066">
        <v>0.13</v>
      </c>
      <c r="E175" s="1066">
        <v>0.13</v>
      </c>
      <c r="F175" s="1067">
        <v>0.13</v>
      </c>
    </row>
    <row r="176" spans="1:6" ht="14.25" thickBot="1">
      <c r="A176" s="840" t="s">
        <v>526</v>
      </c>
      <c r="B176" s="834" t="s">
        <v>378</v>
      </c>
      <c r="C176" s="1066">
        <v>0.13</v>
      </c>
      <c r="D176" s="1066">
        <v>0.13</v>
      </c>
      <c r="E176" s="1066">
        <v>0.13</v>
      </c>
      <c r="F176" s="1067">
        <v>0.13</v>
      </c>
    </row>
    <row r="177" spans="1:6" ht="14.25" thickBot="1">
      <c r="A177" s="840" t="s">
        <v>526</v>
      </c>
      <c r="B177" s="834" t="s">
        <v>921</v>
      </c>
      <c r="C177" s="1066">
        <v>0.13</v>
      </c>
      <c r="D177" s="1066">
        <v>0.13</v>
      </c>
      <c r="E177" s="1066">
        <v>0.13</v>
      </c>
      <c r="F177" s="1067">
        <v>0.13</v>
      </c>
    </row>
    <row r="178" spans="1:6" ht="14.25" thickBot="1">
      <c r="A178" s="840" t="s">
        <v>526</v>
      </c>
      <c r="B178" s="834" t="s">
        <v>396</v>
      </c>
      <c r="C178" s="1066">
        <v>0.13</v>
      </c>
      <c r="D178" s="1066">
        <v>0.13</v>
      </c>
      <c r="E178" s="1066">
        <v>0.13</v>
      </c>
      <c r="F178" s="1067">
        <v>0.127</v>
      </c>
    </row>
    <row r="179" spans="1:6" ht="14.25" thickBot="1">
      <c r="A179" s="840" t="s">
        <v>526</v>
      </c>
      <c r="B179" s="834" t="s">
        <v>404</v>
      </c>
      <c r="C179" s="1066">
        <v>0.13</v>
      </c>
      <c r="D179" s="1066">
        <v>0.13</v>
      </c>
      <c r="E179" s="1066">
        <v>0.13</v>
      </c>
      <c r="F179" s="1078"/>
    </row>
    <row r="180" spans="1:6" ht="14.25" thickBot="1">
      <c r="A180" s="840" t="s">
        <v>526</v>
      </c>
      <c r="B180" s="834" t="s">
        <v>922</v>
      </c>
      <c r="C180" s="1066">
        <v>0.13</v>
      </c>
      <c r="D180" s="1066">
        <v>0.13</v>
      </c>
      <c r="E180" s="1066">
        <v>0.125</v>
      </c>
      <c r="F180" s="1067">
        <v>0.13</v>
      </c>
    </row>
    <row r="181" spans="1:6" ht="14.25" thickBot="1">
      <c r="A181" s="840" t="s">
        <v>526</v>
      </c>
      <c r="B181" s="834" t="s">
        <v>418</v>
      </c>
      <c r="C181" s="1066">
        <v>0.122</v>
      </c>
      <c r="D181" s="1066">
        <v>0.123</v>
      </c>
      <c r="E181" s="1066">
        <v>0.126</v>
      </c>
      <c r="F181" s="1067">
        <v>0.121</v>
      </c>
    </row>
    <row r="182" spans="1:6" ht="14.25" thickBot="1">
      <c r="A182" s="840" t="s">
        <v>526</v>
      </c>
      <c r="B182" s="834" t="s">
        <v>425</v>
      </c>
      <c r="C182" s="1066">
        <v>0.125</v>
      </c>
      <c r="D182" s="1066">
        <v>0.125</v>
      </c>
      <c r="E182" s="1066">
        <v>0.11700000000000001</v>
      </c>
      <c r="F182" s="1067">
        <v>0.13</v>
      </c>
    </row>
    <row r="183" spans="1:6" ht="14.25" thickBot="1">
      <c r="A183" s="840" t="s">
        <v>526</v>
      </c>
      <c r="B183" s="834" t="s">
        <v>432</v>
      </c>
      <c r="C183" s="1066">
        <v>0.127</v>
      </c>
      <c r="D183" s="1066">
        <v>0.127</v>
      </c>
      <c r="E183" s="1066">
        <v>0.128</v>
      </c>
      <c r="F183" s="1078"/>
    </row>
    <row r="184" spans="1:6" ht="14.25" thickBot="1">
      <c r="A184" s="840" t="s">
        <v>526</v>
      </c>
      <c r="B184" s="834" t="s">
        <v>439</v>
      </c>
      <c r="C184" s="1066">
        <v>0.125</v>
      </c>
      <c r="D184" s="1066">
        <v>0.125</v>
      </c>
      <c r="E184" s="1066">
        <v>0.127</v>
      </c>
      <c r="F184" s="1078"/>
    </row>
    <row r="185" spans="1:6" ht="14.25" thickBot="1">
      <c r="A185" s="840" t="s">
        <v>526</v>
      </c>
      <c r="B185" s="834" t="s">
        <v>923</v>
      </c>
      <c r="C185" s="1066">
        <v>0.127</v>
      </c>
      <c r="D185" s="1066">
        <v>0.127</v>
      </c>
      <c r="E185" s="1066">
        <v>0.128</v>
      </c>
      <c r="F185" s="1067">
        <v>0.13</v>
      </c>
    </row>
    <row r="186" spans="1:6" ht="24.75" thickBot="1">
      <c r="A186" s="840" t="s">
        <v>526</v>
      </c>
      <c r="B186" s="834" t="s">
        <v>924</v>
      </c>
      <c r="C186" s="1079"/>
      <c r="D186" s="1079"/>
      <c r="E186" s="1079"/>
      <c r="F186" s="1067">
        <v>0.05</v>
      </c>
    </row>
    <row r="187" spans="1:6" ht="14.25" thickBot="1">
      <c r="A187" s="840" t="s">
        <v>526</v>
      </c>
      <c r="B187" s="834" t="s">
        <v>925</v>
      </c>
      <c r="C187" s="1079"/>
      <c r="D187" s="1079"/>
      <c r="E187" s="1079"/>
      <c r="F187" s="1067">
        <v>0.05</v>
      </c>
    </row>
    <row r="188" spans="1:6" ht="14.25" thickBot="1">
      <c r="A188" s="840" t="s">
        <v>526</v>
      </c>
      <c r="B188" s="834" t="s">
        <v>926</v>
      </c>
      <c r="C188" s="1079"/>
      <c r="D188" s="1079"/>
      <c r="E188" s="1079"/>
      <c r="F188" s="1067">
        <v>0.05</v>
      </c>
    </row>
    <row r="189" spans="1:6" ht="24.75" thickBot="1">
      <c r="A189" s="840" t="s">
        <v>526</v>
      </c>
      <c r="B189" s="834" t="s">
        <v>927</v>
      </c>
      <c r="C189" s="1079"/>
      <c r="D189" s="1079"/>
      <c r="E189" s="1079"/>
      <c r="F189" s="1067">
        <v>0.05</v>
      </c>
    </row>
    <row r="190" spans="1:6" ht="24.75" thickBot="1">
      <c r="A190" s="840" t="s">
        <v>526</v>
      </c>
      <c r="B190" s="834" t="s">
        <v>928</v>
      </c>
      <c r="C190" s="1079"/>
      <c r="D190" s="1079"/>
      <c r="E190" s="1079"/>
      <c r="F190" s="1067">
        <v>0.05</v>
      </c>
    </row>
    <row r="191" spans="1:6" ht="24.75" thickBot="1">
      <c r="A191" s="840" t="s">
        <v>526</v>
      </c>
      <c r="B191" s="834" t="s">
        <v>929</v>
      </c>
      <c r="C191" s="1079"/>
      <c r="D191" s="1079"/>
      <c r="E191" s="1079"/>
      <c r="F191" s="1067">
        <v>0.05</v>
      </c>
    </row>
    <row r="192" spans="1:6" ht="24.75" thickBot="1">
      <c r="A192" s="840" t="s">
        <v>526</v>
      </c>
      <c r="B192" s="834" t="s">
        <v>930</v>
      </c>
      <c r="C192" s="1079"/>
      <c r="D192" s="1079"/>
      <c r="E192" s="1079"/>
      <c r="F192" s="1067">
        <v>0.05</v>
      </c>
    </row>
    <row r="193" spans="1:6" ht="24.75" thickBot="1">
      <c r="A193" s="840" t="s">
        <v>526</v>
      </c>
      <c r="B193" s="834" t="s">
        <v>931</v>
      </c>
      <c r="C193" s="1079"/>
      <c r="D193" s="1079"/>
      <c r="E193" s="1079"/>
      <c r="F193" s="1067">
        <v>0.05</v>
      </c>
    </row>
    <row r="194" spans="1:6" ht="24.75" thickBot="1">
      <c r="A194" s="840" t="s">
        <v>526</v>
      </c>
      <c r="B194" s="834" t="s">
        <v>932</v>
      </c>
      <c r="C194" s="1079"/>
      <c r="D194" s="1079"/>
      <c r="E194" s="1079"/>
      <c r="F194" s="1067">
        <v>0.05</v>
      </c>
    </row>
    <row r="195" spans="1:6" ht="14.25" thickBot="1">
      <c r="A195" s="840" t="s">
        <v>526</v>
      </c>
      <c r="B195" s="834" t="s">
        <v>933</v>
      </c>
      <c r="C195" s="1079"/>
      <c r="D195" s="1079"/>
      <c r="E195" s="1079"/>
      <c r="F195" s="1067">
        <v>0.05</v>
      </c>
    </row>
    <row r="196" spans="1:6" ht="24.75" thickBot="1">
      <c r="A196" s="840" t="s">
        <v>526</v>
      </c>
      <c r="B196" s="834" t="s">
        <v>934</v>
      </c>
      <c r="C196" s="1079"/>
      <c r="D196" s="1079"/>
      <c r="E196" s="1079"/>
      <c r="F196" s="1067">
        <v>0.05</v>
      </c>
    </row>
    <row r="197" spans="1:6" ht="24.75" thickBot="1">
      <c r="A197" s="840" t="s">
        <v>526</v>
      </c>
      <c r="B197" s="834" t="s">
        <v>935</v>
      </c>
      <c r="C197" s="1079"/>
      <c r="D197" s="1079"/>
      <c r="E197" s="1079"/>
      <c r="F197" s="1067">
        <v>0.05</v>
      </c>
    </row>
    <row r="198" spans="1:6" ht="24.75" thickBot="1">
      <c r="A198" s="840" t="s">
        <v>526</v>
      </c>
      <c r="B198" s="834" t="s">
        <v>936</v>
      </c>
      <c r="C198" s="1079"/>
      <c r="D198" s="1079"/>
      <c r="E198" s="1079"/>
      <c r="F198" s="1067">
        <v>0.05</v>
      </c>
    </row>
    <row r="199" spans="1:6" ht="24.75" thickBot="1">
      <c r="A199" s="840" t="s">
        <v>526</v>
      </c>
      <c r="B199" s="834" t="s">
        <v>937</v>
      </c>
      <c r="C199" s="1079"/>
      <c r="D199" s="1079"/>
      <c r="E199" s="1079"/>
      <c r="F199" s="1067">
        <v>0.05</v>
      </c>
    </row>
    <row r="200" spans="1:6" ht="24.75" thickBot="1">
      <c r="A200" s="840" t="s">
        <v>526</v>
      </c>
      <c r="B200" s="834" t="s">
        <v>938</v>
      </c>
      <c r="C200" s="1079"/>
      <c r="D200" s="1079"/>
      <c r="E200" s="1079"/>
      <c r="F200" s="1067">
        <v>0.05</v>
      </c>
    </row>
    <row r="201" spans="1:6" ht="24.75" thickBot="1">
      <c r="A201" s="840" t="s">
        <v>526</v>
      </c>
      <c r="B201" s="834" t="s">
        <v>939</v>
      </c>
      <c r="C201" s="1079"/>
      <c r="D201" s="1079"/>
      <c r="E201" s="1079"/>
      <c r="F201" s="1067">
        <v>0.05</v>
      </c>
    </row>
    <row r="202" spans="1:6" ht="24.75" thickBot="1">
      <c r="A202" s="840" t="s">
        <v>526</v>
      </c>
      <c r="B202" s="834" t="s">
        <v>940</v>
      </c>
      <c r="C202" s="1079"/>
      <c r="D202" s="1079"/>
      <c r="E202" s="1079"/>
      <c r="F202" s="1067">
        <v>0.05</v>
      </c>
    </row>
    <row r="203" spans="1:6" ht="24.75" thickBot="1">
      <c r="A203" s="840" t="s">
        <v>526</v>
      </c>
      <c r="B203" s="834" t="s">
        <v>941</v>
      </c>
      <c r="C203" s="1079"/>
      <c r="D203" s="1079"/>
      <c r="E203" s="1079"/>
      <c r="F203" s="1067">
        <v>0.05</v>
      </c>
    </row>
    <row r="204" spans="1:6" ht="14.25" thickBot="1">
      <c r="A204" s="840" t="s">
        <v>526</v>
      </c>
      <c r="B204" s="834" t="s">
        <v>942</v>
      </c>
      <c r="C204" s="1079"/>
      <c r="D204" s="1079"/>
      <c r="E204" s="1079"/>
      <c r="F204" s="1067">
        <v>0.05</v>
      </c>
    </row>
    <row r="205" spans="1:6" ht="14.25" thickBot="1">
      <c r="A205" s="850" t="s">
        <v>526</v>
      </c>
      <c r="B205" s="846" t="s">
        <v>943</v>
      </c>
      <c r="C205" s="1076"/>
      <c r="D205" s="1076"/>
      <c r="E205" s="1076"/>
      <c r="F205" s="1069">
        <v>0.05</v>
      </c>
    </row>
    <row r="206" spans="1:6" ht="14.25" thickBot="1">
      <c r="A206" s="840" t="s">
        <v>528</v>
      </c>
      <c r="B206" s="841" t="s">
        <v>944</v>
      </c>
      <c r="C206" s="1064">
        <v>0.15</v>
      </c>
      <c r="D206" s="1064">
        <v>0.15</v>
      </c>
      <c r="E206" s="1064">
        <v>0.15</v>
      </c>
      <c r="F206" s="1065">
        <v>0.15</v>
      </c>
    </row>
    <row r="207" spans="1:6" ht="14.25" thickBot="1">
      <c r="A207" s="840" t="s">
        <v>528</v>
      </c>
      <c r="B207" s="834" t="s">
        <v>194</v>
      </c>
      <c r="C207" s="1066">
        <v>0.15</v>
      </c>
      <c r="D207" s="1066">
        <v>0.15</v>
      </c>
      <c r="E207" s="1066">
        <v>0.15</v>
      </c>
      <c r="F207" s="1067">
        <v>0.14399999999999999</v>
      </c>
    </row>
    <row r="208" spans="1:6" ht="14.25" thickBot="1">
      <c r="A208" s="840" t="s">
        <v>528</v>
      </c>
      <c r="B208" s="834" t="s">
        <v>207</v>
      </c>
      <c r="C208" s="1066">
        <v>0.15</v>
      </c>
      <c r="D208" s="1066">
        <v>0.15</v>
      </c>
      <c r="E208" s="1066">
        <v>0.15</v>
      </c>
      <c r="F208" s="1067">
        <v>0.15</v>
      </c>
    </row>
    <row r="209" spans="1:6" ht="14.25" thickBot="1">
      <c r="A209" s="840" t="s">
        <v>528</v>
      </c>
      <c r="B209" s="834" t="s">
        <v>220</v>
      </c>
      <c r="C209" s="1066">
        <v>0.13700000000000001</v>
      </c>
      <c r="D209" s="1066">
        <v>0.13700000000000001</v>
      </c>
      <c r="E209" s="1066">
        <v>0.14000000000000001</v>
      </c>
      <c r="F209" s="1067">
        <v>0.11700000000000001</v>
      </c>
    </row>
    <row r="210" spans="1:6" ht="14.25" thickBot="1">
      <c r="A210" s="840" t="s">
        <v>528</v>
      </c>
      <c r="B210" s="834" t="s">
        <v>945</v>
      </c>
      <c r="C210" s="1066">
        <v>0.15</v>
      </c>
      <c r="D210" s="1066">
        <v>0.15</v>
      </c>
      <c r="E210" s="1066">
        <v>0.15</v>
      </c>
      <c r="F210" s="1067">
        <v>0.13800000000000001</v>
      </c>
    </row>
    <row r="211" spans="1:6" ht="14.25" thickBot="1">
      <c r="A211" s="840" t="s">
        <v>528</v>
      </c>
      <c r="B211" s="834" t="s">
        <v>946</v>
      </c>
      <c r="C211" s="1066">
        <v>0.13700000000000001</v>
      </c>
      <c r="D211" s="1066">
        <v>0.13500000000000001</v>
      </c>
      <c r="E211" s="1066">
        <v>0.13600000000000001</v>
      </c>
      <c r="F211" s="1067">
        <v>0.1</v>
      </c>
    </row>
    <row r="212" spans="1:6" ht="14.25" thickBot="1">
      <c r="A212" s="840" t="s">
        <v>528</v>
      </c>
      <c r="B212" s="834" t="s">
        <v>947</v>
      </c>
      <c r="C212" s="1066">
        <v>0.15</v>
      </c>
      <c r="D212" s="1066">
        <v>0.15</v>
      </c>
      <c r="E212" s="1066">
        <v>0.14799999999999999</v>
      </c>
      <c r="F212" s="1067">
        <v>0.13600000000000001</v>
      </c>
    </row>
    <row r="213" spans="1:6" ht="14.25" thickBot="1">
      <c r="A213" s="840" t="s">
        <v>528</v>
      </c>
      <c r="B213" s="834" t="s">
        <v>265</v>
      </c>
      <c r="C213" s="1066">
        <v>0.15</v>
      </c>
      <c r="D213" s="1066">
        <v>0.15</v>
      </c>
      <c r="E213" s="1066">
        <v>0.15</v>
      </c>
      <c r="F213" s="1067">
        <v>0.13800000000000001</v>
      </c>
    </row>
    <row r="214" spans="1:6" ht="14.25" thickBot="1">
      <c r="A214" s="840" t="s">
        <v>528</v>
      </c>
      <c r="B214" s="834" t="s">
        <v>277</v>
      </c>
      <c r="C214" s="1066">
        <v>9.0999999999999998E-2</v>
      </c>
      <c r="D214" s="1066">
        <v>0.09</v>
      </c>
      <c r="E214" s="1066">
        <v>9.1999999999999998E-2</v>
      </c>
      <c r="F214" s="1078"/>
    </row>
    <row r="215" spans="1:6" ht="14.25" thickBot="1">
      <c r="A215" s="840" t="s">
        <v>528</v>
      </c>
      <c r="B215" s="834" t="s">
        <v>948</v>
      </c>
      <c r="C215" s="1066">
        <v>0.15</v>
      </c>
      <c r="D215" s="1066">
        <v>0.15</v>
      </c>
      <c r="E215" s="1066">
        <v>0.15</v>
      </c>
      <c r="F215" s="1067">
        <v>0.15</v>
      </c>
    </row>
    <row r="216" spans="1:6" ht="14.25" thickBot="1">
      <c r="A216" s="840" t="s">
        <v>528</v>
      </c>
      <c r="B216" s="834" t="s">
        <v>297</v>
      </c>
      <c r="C216" s="1066">
        <v>0.14699999999999999</v>
      </c>
      <c r="D216" s="1066">
        <v>0.14699999999999999</v>
      </c>
      <c r="E216" s="1066">
        <v>0.15</v>
      </c>
      <c r="F216" s="1067">
        <v>0.14000000000000001</v>
      </c>
    </row>
    <row r="217" spans="1:6" ht="14.25" thickBot="1">
      <c r="A217" s="840" t="s">
        <v>528</v>
      </c>
      <c r="B217" s="834" t="s">
        <v>307</v>
      </c>
      <c r="C217" s="1066">
        <v>0.15</v>
      </c>
      <c r="D217" s="1066">
        <v>0.15</v>
      </c>
      <c r="E217" s="1066">
        <v>0.15</v>
      </c>
      <c r="F217" s="1067">
        <v>0.15</v>
      </c>
    </row>
    <row r="218" spans="1:6" ht="14.25" thickBot="1">
      <c r="A218" s="840" t="s">
        <v>528</v>
      </c>
      <c r="B218" s="834" t="s">
        <v>949</v>
      </c>
      <c r="C218" s="1066">
        <v>0.15</v>
      </c>
      <c r="D218" s="1066">
        <v>0.15</v>
      </c>
      <c r="E218" s="1066">
        <v>0.15</v>
      </c>
      <c r="F218" s="1067">
        <v>0.15</v>
      </c>
    </row>
    <row r="219" spans="1:6" ht="14.25" thickBot="1">
      <c r="A219" s="840" t="s">
        <v>528</v>
      </c>
      <c r="B219" s="834" t="s">
        <v>328</v>
      </c>
      <c r="C219" s="1066">
        <v>0.15</v>
      </c>
      <c r="D219" s="1066">
        <v>0.15</v>
      </c>
      <c r="E219" s="1066">
        <v>0.15</v>
      </c>
      <c r="F219" s="1067">
        <v>0.14799999999999999</v>
      </c>
    </row>
    <row r="220" spans="1:6" ht="14.25" thickBot="1">
      <c r="A220" s="840" t="s">
        <v>528</v>
      </c>
      <c r="B220" s="834" t="s">
        <v>950</v>
      </c>
      <c r="C220" s="1066">
        <v>0.15</v>
      </c>
      <c r="D220" s="1066">
        <v>0.15</v>
      </c>
      <c r="E220" s="1066">
        <v>0.15</v>
      </c>
      <c r="F220" s="1067">
        <v>0.15</v>
      </c>
    </row>
    <row r="221" spans="1:6" ht="14.25" thickBot="1">
      <c r="A221" s="840" t="s">
        <v>528</v>
      </c>
      <c r="B221" s="834" t="s">
        <v>349</v>
      </c>
      <c r="C221" s="1066"/>
      <c r="D221" s="1079"/>
      <c r="E221" s="1079"/>
      <c r="F221" s="1067">
        <v>0.14799999999999999</v>
      </c>
    </row>
    <row r="222" spans="1:6" ht="14.25" thickBot="1">
      <c r="A222" s="840" t="s">
        <v>528</v>
      </c>
      <c r="B222" s="834" t="s">
        <v>359</v>
      </c>
      <c r="C222" s="1066"/>
      <c r="D222" s="1079"/>
      <c r="E222" s="1079"/>
      <c r="F222" s="1067">
        <v>0.1</v>
      </c>
    </row>
    <row r="223" spans="1:6" ht="14.25" thickBot="1">
      <c r="A223" s="840" t="s">
        <v>528</v>
      </c>
      <c r="B223" s="834" t="s">
        <v>369</v>
      </c>
      <c r="C223" s="1066"/>
      <c r="D223" s="1079"/>
      <c r="E223" s="1079"/>
      <c r="F223" s="1067">
        <v>0.15</v>
      </c>
    </row>
    <row r="224" spans="1:6" ht="14.25" thickBot="1">
      <c r="A224" s="840" t="s">
        <v>528</v>
      </c>
      <c r="B224" s="834" t="s">
        <v>379</v>
      </c>
      <c r="C224" s="1066"/>
      <c r="D224" s="1079"/>
      <c r="E224" s="1079"/>
      <c r="F224" s="1067">
        <v>0.15</v>
      </c>
    </row>
    <row r="225" spans="1:6" ht="14.25" thickBot="1">
      <c r="A225" s="840" t="s">
        <v>528</v>
      </c>
      <c r="B225" s="834" t="s">
        <v>951</v>
      </c>
      <c r="C225" s="1066">
        <v>0.15</v>
      </c>
      <c r="D225" s="1066">
        <v>0.15</v>
      </c>
      <c r="E225" s="1066">
        <v>0.15</v>
      </c>
      <c r="F225" s="1067">
        <v>0.15</v>
      </c>
    </row>
    <row r="226" spans="1:6" ht="14.25" thickBot="1">
      <c r="A226" s="840" t="s">
        <v>528</v>
      </c>
      <c r="B226" s="834" t="s">
        <v>397</v>
      </c>
      <c r="C226" s="1066">
        <v>0.15</v>
      </c>
      <c r="D226" s="1066">
        <v>0.15</v>
      </c>
      <c r="E226" s="1066">
        <v>0.15</v>
      </c>
      <c r="F226" s="1067">
        <v>0.14799999999999999</v>
      </c>
    </row>
    <row r="227" spans="1:6" ht="14.25" thickBot="1">
      <c r="A227" s="840" t="s">
        <v>528</v>
      </c>
      <c r="B227" s="834" t="s">
        <v>952</v>
      </c>
      <c r="C227" s="1066">
        <v>0.15</v>
      </c>
      <c r="D227" s="1066">
        <v>0.15</v>
      </c>
      <c r="E227" s="1066">
        <v>0.15</v>
      </c>
      <c r="F227" s="1067">
        <v>0.15</v>
      </c>
    </row>
    <row r="228" spans="1:6" ht="14.25" thickBot="1">
      <c r="A228" s="840" t="s">
        <v>528</v>
      </c>
      <c r="B228" s="834" t="s">
        <v>412</v>
      </c>
      <c r="C228" s="1066">
        <v>0.15</v>
      </c>
      <c r="D228" s="1066">
        <v>0.15</v>
      </c>
      <c r="E228" s="1066">
        <v>0.15</v>
      </c>
      <c r="F228" s="1067">
        <v>0.15</v>
      </c>
    </row>
    <row r="229" spans="1:6" ht="14.25" thickBot="1">
      <c r="A229" s="840" t="s">
        <v>528</v>
      </c>
      <c r="B229" s="834" t="s">
        <v>419</v>
      </c>
      <c r="C229" s="1066">
        <v>0.15</v>
      </c>
      <c r="D229" s="1066">
        <v>0.15</v>
      </c>
      <c r="E229" s="1066">
        <v>0.15</v>
      </c>
      <c r="F229" s="1078"/>
    </row>
    <row r="230" spans="1:6" ht="14.25" thickBot="1">
      <c r="A230" s="840" t="s">
        <v>528</v>
      </c>
      <c r="B230" s="834" t="s">
        <v>426</v>
      </c>
      <c r="C230" s="1066">
        <v>0.14499999999999999</v>
      </c>
      <c r="D230" s="1066">
        <v>0.14499999999999999</v>
      </c>
      <c r="E230" s="1066">
        <v>0.14399999999999999</v>
      </c>
      <c r="F230" s="1078"/>
    </row>
    <row r="231" spans="1:6" ht="14.25" thickBot="1">
      <c r="A231" s="840" t="s">
        <v>528</v>
      </c>
      <c r="B231" s="834" t="s">
        <v>953</v>
      </c>
      <c r="C231" s="1066">
        <v>0.128</v>
      </c>
      <c r="D231" s="1066">
        <v>0.125</v>
      </c>
      <c r="E231" s="1066">
        <v>0.13200000000000001</v>
      </c>
      <c r="F231" s="1078"/>
    </row>
    <row r="232" spans="1:6" ht="14.25" thickBot="1">
      <c r="A232" s="840" t="s">
        <v>528</v>
      </c>
      <c r="B232" s="834" t="s">
        <v>954</v>
      </c>
      <c r="C232" s="1066">
        <v>0.14499999999999999</v>
      </c>
      <c r="D232" s="1066">
        <v>0.14399999999999999</v>
      </c>
      <c r="E232" s="1066">
        <v>0.14599999999999999</v>
      </c>
      <c r="F232" s="1067">
        <v>0.13800000000000001</v>
      </c>
    </row>
    <row r="233" spans="1:6" ht="14.25" thickBot="1">
      <c r="A233" s="840" t="s">
        <v>528</v>
      </c>
      <c r="B233" s="834" t="s">
        <v>955</v>
      </c>
      <c r="C233" s="1066">
        <v>0.14499999999999999</v>
      </c>
      <c r="D233" s="1066">
        <v>0.14299999999999999</v>
      </c>
      <c r="E233" s="1066">
        <v>0.14199999999999999</v>
      </c>
      <c r="F233" s="1078"/>
    </row>
    <row r="234" spans="1:6" ht="14.25" thickBot="1">
      <c r="A234" s="840" t="s">
        <v>528</v>
      </c>
      <c r="B234" s="834" t="s">
        <v>956</v>
      </c>
      <c r="C234" s="1066">
        <v>0.14000000000000001</v>
      </c>
      <c r="D234" s="1066">
        <v>0.14000000000000001</v>
      </c>
      <c r="E234" s="1066">
        <v>0.14399999999999999</v>
      </c>
      <c r="F234" s="1078"/>
    </row>
    <row r="235" spans="1:6" ht="14.25" thickBot="1">
      <c r="A235" s="840" t="s">
        <v>528</v>
      </c>
      <c r="B235" s="834" t="s">
        <v>957</v>
      </c>
      <c r="C235" s="1066">
        <v>0.14099999999999999</v>
      </c>
      <c r="D235" s="1066">
        <v>0.14199999999999999</v>
      </c>
      <c r="E235" s="1066">
        <v>0.14499999999999999</v>
      </c>
      <c r="F235" s="1067">
        <v>0.15</v>
      </c>
    </row>
    <row r="236" spans="1:6" ht="14.25" thickBot="1">
      <c r="A236" s="840" t="s">
        <v>528</v>
      </c>
      <c r="B236" s="834" t="s">
        <v>461</v>
      </c>
      <c r="C236" s="1079"/>
      <c r="D236" s="1079"/>
      <c r="E236" s="1079"/>
      <c r="F236" s="1067">
        <v>0.14299999999999999</v>
      </c>
    </row>
    <row r="237" spans="1:6" ht="24.75" thickBot="1">
      <c r="A237" s="840" t="s">
        <v>528</v>
      </c>
      <c r="B237" s="834" t="s">
        <v>958</v>
      </c>
      <c r="C237" s="1079"/>
      <c r="D237" s="1079"/>
      <c r="E237" s="1079"/>
      <c r="F237" s="1067">
        <v>0.05</v>
      </c>
    </row>
    <row r="238" spans="1:6" ht="24.75" thickBot="1">
      <c r="A238" s="840" t="s">
        <v>528</v>
      </c>
      <c r="B238" s="834" t="s">
        <v>959</v>
      </c>
      <c r="C238" s="1079"/>
      <c r="D238" s="1079"/>
      <c r="E238" s="1079"/>
      <c r="F238" s="1067">
        <v>0.05</v>
      </c>
    </row>
    <row r="239" spans="1:6" ht="24.75" thickBot="1">
      <c r="A239" s="840" t="s">
        <v>528</v>
      </c>
      <c r="B239" s="834" t="s">
        <v>960</v>
      </c>
      <c r="C239" s="1079"/>
      <c r="D239" s="1079"/>
      <c r="E239" s="1079"/>
      <c r="F239" s="1067">
        <v>0.05</v>
      </c>
    </row>
    <row r="240" spans="1:6" ht="24.75" thickBot="1">
      <c r="A240" s="840" t="s">
        <v>528</v>
      </c>
      <c r="B240" s="834" t="s">
        <v>961</v>
      </c>
      <c r="C240" s="1079"/>
      <c r="D240" s="1079"/>
      <c r="E240" s="1079"/>
      <c r="F240" s="1067">
        <v>0.05</v>
      </c>
    </row>
    <row r="241" spans="1:6" ht="24.75" thickBot="1">
      <c r="A241" s="840" t="s">
        <v>528</v>
      </c>
      <c r="B241" s="834" t="s">
        <v>962</v>
      </c>
      <c r="C241" s="1079"/>
      <c r="D241" s="1079"/>
      <c r="E241" s="1079"/>
      <c r="F241" s="1067">
        <v>0.05</v>
      </c>
    </row>
    <row r="242" spans="1:6" ht="24.75" thickBot="1">
      <c r="A242" s="840" t="s">
        <v>528</v>
      </c>
      <c r="B242" s="834" t="s">
        <v>963</v>
      </c>
      <c r="C242" s="1079"/>
      <c r="D242" s="1079"/>
      <c r="E242" s="1079"/>
      <c r="F242" s="1067">
        <v>0.05</v>
      </c>
    </row>
    <row r="243" spans="1:6" ht="24.75" thickBot="1">
      <c r="A243" s="840" t="s">
        <v>528</v>
      </c>
      <c r="B243" s="834" t="s">
        <v>964</v>
      </c>
      <c r="C243" s="1079"/>
      <c r="D243" s="1079"/>
      <c r="E243" s="1079"/>
      <c r="F243" s="1067">
        <v>0.05</v>
      </c>
    </row>
    <row r="244" spans="1:6" ht="24.75" thickBot="1">
      <c r="A244" s="850" t="s">
        <v>528</v>
      </c>
      <c r="B244" s="846" t="s">
        <v>965</v>
      </c>
      <c r="C244" s="1076"/>
      <c r="D244" s="1076"/>
      <c r="E244" s="1076"/>
      <c r="F244" s="1069">
        <v>0.05</v>
      </c>
    </row>
    <row r="245" spans="1:6" ht="14.25" thickBot="1">
      <c r="A245" s="840" t="s">
        <v>530</v>
      </c>
      <c r="B245" s="841" t="s">
        <v>966</v>
      </c>
      <c r="C245" s="1064">
        <v>0.15</v>
      </c>
      <c r="D245" s="1064">
        <v>0.15</v>
      </c>
      <c r="E245" s="1064">
        <v>0.15</v>
      </c>
      <c r="F245" s="1065">
        <v>0.14299999999999999</v>
      </c>
    </row>
    <row r="246" spans="1:6" ht="14.25" thickBot="1">
      <c r="A246" s="840" t="s">
        <v>530</v>
      </c>
      <c r="B246" s="834" t="s">
        <v>195</v>
      </c>
      <c r="C246" s="1066">
        <v>0.15</v>
      </c>
      <c r="D246" s="1066">
        <v>0.15</v>
      </c>
      <c r="E246" s="1066">
        <v>0.15</v>
      </c>
      <c r="F246" s="1067">
        <v>0.114</v>
      </c>
    </row>
    <row r="247" spans="1:6" ht="14.25" thickBot="1">
      <c r="A247" s="840" t="s">
        <v>530</v>
      </c>
      <c r="B247" s="834" t="s">
        <v>967</v>
      </c>
      <c r="C247" s="1066">
        <v>0.15</v>
      </c>
      <c r="D247" s="1066">
        <v>0.15</v>
      </c>
      <c r="E247" s="1066">
        <v>0.15</v>
      </c>
      <c r="F247" s="1067">
        <v>0.15</v>
      </c>
    </row>
    <row r="248" spans="1:6" ht="14.25" thickBot="1">
      <c r="A248" s="840" t="s">
        <v>530</v>
      </c>
      <c r="B248" s="834" t="s">
        <v>968</v>
      </c>
      <c r="C248" s="1066">
        <v>0.15</v>
      </c>
      <c r="D248" s="1066">
        <v>0.15</v>
      </c>
      <c r="E248" s="1066">
        <v>0.15</v>
      </c>
      <c r="F248" s="1067">
        <v>0.14000000000000001</v>
      </c>
    </row>
    <row r="249" spans="1:6" ht="14.25" thickBot="1">
      <c r="A249" s="840" t="s">
        <v>530</v>
      </c>
      <c r="B249" s="834" t="s">
        <v>969</v>
      </c>
      <c r="C249" s="1066">
        <v>0.15</v>
      </c>
      <c r="D249" s="1066">
        <v>0.14899999999999999</v>
      </c>
      <c r="E249" s="1066">
        <v>0.15</v>
      </c>
      <c r="F249" s="1067">
        <v>0.1</v>
      </c>
    </row>
    <row r="250" spans="1:6" ht="14.25" thickBot="1">
      <c r="A250" s="840" t="s">
        <v>530</v>
      </c>
      <c r="B250" s="834" t="s">
        <v>970</v>
      </c>
      <c r="C250" s="1066">
        <v>0.15</v>
      </c>
      <c r="D250" s="1066">
        <v>0.15</v>
      </c>
      <c r="E250" s="1066">
        <v>0.15</v>
      </c>
      <c r="F250" s="1067">
        <v>0.14399999999999999</v>
      </c>
    </row>
    <row r="251" spans="1:6" ht="14.25" thickBot="1">
      <c r="A251" s="840" t="s">
        <v>530</v>
      </c>
      <c r="B251" s="834" t="s">
        <v>255</v>
      </c>
      <c r="C251" s="1066">
        <v>0.15</v>
      </c>
      <c r="D251" s="1066">
        <v>0.15</v>
      </c>
      <c r="E251" s="1066">
        <v>0.15</v>
      </c>
      <c r="F251" s="1067">
        <v>0.14299999999999999</v>
      </c>
    </row>
    <row r="252" spans="1:6" ht="14.25" thickBot="1">
      <c r="A252" s="840" t="s">
        <v>530</v>
      </c>
      <c r="B252" s="834" t="s">
        <v>266</v>
      </c>
      <c r="C252" s="1066">
        <v>0.15</v>
      </c>
      <c r="D252" s="1066">
        <v>0.15</v>
      </c>
      <c r="E252" s="1066">
        <v>0.15</v>
      </c>
      <c r="F252" s="1067">
        <v>0.1</v>
      </c>
    </row>
    <row r="253" spans="1:6" ht="14.25" thickBot="1">
      <c r="A253" s="840" t="s">
        <v>530</v>
      </c>
      <c r="B253" s="834" t="s">
        <v>278</v>
      </c>
      <c r="C253" s="1066">
        <v>0.15</v>
      </c>
      <c r="D253" s="1066">
        <v>0.15</v>
      </c>
      <c r="E253" s="1066">
        <v>0.15</v>
      </c>
      <c r="F253" s="1067">
        <v>0.1</v>
      </c>
    </row>
    <row r="254" spans="1:6" ht="14.25" thickBot="1">
      <c r="A254" s="840" t="s">
        <v>530</v>
      </c>
      <c r="B254" s="834" t="s">
        <v>288</v>
      </c>
      <c r="C254" s="1079"/>
      <c r="D254" s="1079"/>
      <c r="E254" s="1079"/>
      <c r="F254" s="1067">
        <v>0.15</v>
      </c>
    </row>
    <row r="255" spans="1:6" ht="14.25" thickBot="1">
      <c r="A255" s="840" t="s">
        <v>530</v>
      </c>
      <c r="B255" s="834" t="s">
        <v>298</v>
      </c>
      <c r="C255" s="1079"/>
      <c r="D255" s="1079"/>
      <c r="E255" s="1079"/>
      <c r="F255" s="1067">
        <v>0.14299999999999999</v>
      </c>
    </row>
    <row r="256" spans="1:6" ht="14.25" thickBot="1">
      <c r="A256" s="840" t="s">
        <v>530</v>
      </c>
      <c r="B256" s="834" t="s">
        <v>971</v>
      </c>
      <c r="C256" s="1066">
        <v>0.14599999999999999</v>
      </c>
      <c r="D256" s="1066">
        <v>0.14699999999999999</v>
      </c>
      <c r="E256" s="1066">
        <v>0.15</v>
      </c>
      <c r="F256" s="1067">
        <v>0.13200000000000001</v>
      </c>
    </row>
    <row r="257" spans="1:6" ht="14.25" thickBot="1">
      <c r="A257" s="840" t="s">
        <v>530</v>
      </c>
      <c r="B257" s="834" t="s">
        <v>318</v>
      </c>
      <c r="C257" s="1066">
        <v>0.15</v>
      </c>
      <c r="D257" s="1066">
        <v>0.15</v>
      </c>
      <c r="E257" s="1066">
        <v>0.15</v>
      </c>
      <c r="F257" s="1067">
        <v>0.13900000000000001</v>
      </c>
    </row>
    <row r="258" spans="1:6" ht="14.25" thickBot="1">
      <c r="A258" s="840" t="s">
        <v>530</v>
      </c>
      <c r="B258" s="834" t="s">
        <v>329</v>
      </c>
      <c r="C258" s="1066">
        <v>0.15</v>
      </c>
      <c r="D258" s="1066">
        <v>0.15</v>
      </c>
      <c r="E258" s="1066">
        <v>0.15</v>
      </c>
      <c r="F258" s="1067">
        <v>0.13</v>
      </c>
    </row>
    <row r="259" spans="1:6" ht="14.25" thickBot="1">
      <c r="A259" s="840" t="s">
        <v>530</v>
      </c>
      <c r="B259" s="834" t="s">
        <v>972</v>
      </c>
      <c r="C259" s="1066">
        <v>0.14799999999999999</v>
      </c>
      <c r="D259" s="1066">
        <v>0.14899999999999999</v>
      </c>
      <c r="E259" s="1066">
        <v>0.15</v>
      </c>
      <c r="F259" s="1067">
        <v>0.13700000000000001</v>
      </c>
    </row>
    <row r="260" spans="1:6" ht="14.25" thickBot="1">
      <c r="A260" s="840" t="s">
        <v>530</v>
      </c>
      <c r="B260" s="834" t="s">
        <v>350</v>
      </c>
      <c r="C260" s="1066">
        <v>0.15</v>
      </c>
      <c r="D260" s="1066">
        <v>0.15</v>
      </c>
      <c r="E260" s="1066">
        <v>0.15</v>
      </c>
      <c r="F260" s="1067">
        <v>0.14199999999999999</v>
      </c>
    </row>
    <row r="261" spans="1:6" ht="14.25" thickBot="1">
      <c r="A261" s="840" t="s">
        <v>530</v>
      </c>
      <c r="B261" s="834" t="s">
        <v>360</v>
      </c>
      <c r="C261" s="1066">
        <v>0.15</v>
      </c>
      <c r="D261" s="1066">
        <v>0.15</v>
      </c>
      <c r="E261" s="1066">
        <v>0.14899999999999999</v>
      </c>
      <c r="F261" s="1067">
        <v>0.14799999999999999</v>
      </c>
    </row>
    <row r="262" spans="1:6" ht="14.25" thickBot="1">
      <c r="A262" s="840" t="s">
        <v>530</v>
      </c>
      <c r="B262" s="834" t="s">
        <v>370</v>
      </c>
      <c r="C262" s="1066">
        <v>0.15</v>
      </c>
      <c r="D262" s="1066">
        <v>0.15</v>
      </c>
      <c r="E262" s="1066">
        <v>0.15</v>
      </c>
      <c r="F262" s="1078"/>
    </row>
    <row r="263" spans="1:6" ht="14.25" thickBot="1">
      <c r="A263" s="840" t="s">
        <v>530</v>
      </c>
      <c r="B263" s="834" t="s">
        <v>973</v>
      </c>
      <c r="C263" s="1066">
        <v>0.14899999999999999</v>
      </c>
      <c r="D263" s="1066">
        <v>0.14899999999999999</v>
      </c>
      <c r="E263" s="1066">
        <v>0.15</v>
      </c>
      <c r="F263" s="1067">
        <v>0.13</v>
      </c>
    </row>
    <row r="264" spans="1:6" ht="14.25" thickBot="1">
      <c r="A264" s="840" t="s">
        <v>530</v>
      </c>
      <c r="B264" s="834" t="s">
        <v>389</v>
      </c>
      <c r="C264" s="1066">
        <v>0.14799999999999999</v>
      </c>
      <c r="D264" s="1066">
        <v>0.14699999999999999</v>
      </c>
      <c r="E264" s="1066">
        <v>0.15</v>
      </c>
      <c r="F264" s="1067">
        <v>7.8E-2</v>
      </c>
    </row>
    <row r="265" spans="1:6" ht="14.25" thickBot="1">
      <c r="A265" s="840" t="s">
        <v>530</v>
      </c>
      <c r="B265" s="834" t="s">
        <v>398</v>
      </c>
      <c r="C265" s="1066">
        <v>0.15</v>
      </c>
      <c r="D265" s="1066">
        <v>0.15</v>
      </c>
      <c r="E265" s="1066">
        <v>0.15</v>
      </c>
      <c r="F265" s="1067">
        <v>7.3999999999999996E-2</v>
      </c>
    </row>
    <row r="266" spans="1:6" ht="14.25" thickBot="1">
      <c r="A266" s="840" t="s">
        <v>530</v>
      </c>
      <c r="B266" s="834" t="s">
        <v>406</v>
      </c>
      <c r="C266" s="1066">
        <v>0.14699999999999999</v>
      </c>
      <c r="D266" s="1066">
        <v>0.14699999999999999</v>
      </c>
      <c r="E266" s="1066">
        <v>0.15</v>
      </c>
      <c r="F266" s="1067">
        <v>0.14299999999999999</v>
      </c>
    </row>
    <row r="267" spans="1:6" ht="14.25" thickBot="1">
      <c r="A267" s="840" t="s">
        <v>530</v>
      </c>
      <c r="B267" s="834" t="s">
        <v>413</v>
      </c>
      <c r="C267" s="1066">
        <v>0.14199999999999999</v>
      </c>
      <c r="D267" s="1066">
        <v>0.14299999999999999</v>
      </c>
      <c r="E267" s="1066">
        <v>0.15</v>
      </c>
      <c r="F267" s="1078"/>
    </row>
    <row r="268" spans="1:6" ht="14.25" thickBot="1">
      <c r="A268" s="840" t="s">
        <v>530</v>
      </c>
      <c r="B268" s="834" t="s">
        <v>974</v>
      </c>
      <c r="C268" s="1066">
        <v>0.15</v>
      </c>
      <c r="D268" s="1066">
        <v>0.15</v>
      </c>
      <c r="E268" s="1066">
        <v>0.15</v>
      </c>
      <c r="F268" s="1067">
        <v>0.13</v>
      </c>
    </row>
    <row r="269" spans="1:6" ht="14.25" thickBot="1">
      <c r="A269" s="840" t="s">
        <v>530</v>
      </c>
      <c r="B269" s="834" t="s">
        <v>427</v>
      </c>
      <c r="C269" s="1066">
        <v>0.15</v>
      </c>
      <c r="D269" s="1066">
        <v>0.15</v>
      </c>
      <c r="E269" s="1066">
        <v>0.15</v>
      </c>
      <c r="F269" s="1067">
        <v>0.14299999999999999</v>
      </c>
    </row>
    <row r="270" spans="1:6" ht="14.25" thickBot="1">
      <c r="A270" s="840" t="s">
        <v>530</v>
      </c>
      <c r="B270" s="834" t="s">
        <v>434</v>
      </c>
      <c r="C270" s="1066">
        <v>0.14499999999999999</v>
      </c>
      <c r="D270" s="1066">
        <v>0.14499999999999999</v>
      </c>
      <c r="E270" s="1066">
        <v>0.15</v>
      </c>
      <c r="F270" s="1067">
        <v>0.14699999999999999</v>
      </c>
    </row>
    <row r="271" spans="1:6" ht="14.25" thickBot="1">
      <c r="A271" s="840" t="s">
        <v>530</v>
      </c>
      <c r="B271" s="834" t="s">
        <v>441</v>
      </c>
      <c r="C271" s="1066">
        <v>0.15</v>
      </c>
      <c r="D271" s="1066">
        <v>0.15</v>
      </c>
      <c r="E271" s="1066">
        <v>0.15</v>
      </c>
      <c r="F271" s="1067">
        <v>0.13800000000000001</v>
      </c>
    </row>
    <row r="272" spans="1:6" ht="14.25" thickBot="1">
      <c r="A272" s="840" t="s">
        <v>530</v>
      </c>
      <c r="B272" s="834" t="s">
        <v>448</v>
      </c>
      <c r="C272" s="1079"/>
      <c r="D272" s="1079"/>
      <c r="E272" s="1079"/>
      <c r="F272" s="1067">
        <v>0.14000000000000001</v>
      </c>
    </row>
    <row r="273" spans="1:6" ht="14.25" thickBot="1">
      <c r="A273" s="840" t="s">
        <v>530</v>
      </c>
      <c r="B273" s="834" t="s">
        <v>975</v>
      </c>
      <c r="C273" s="1066">
        <v>0.14199999999999999</v>
      </c>
      <c r="D273" s="1066">
        <v>0.14299999999999999</v>
      </c>
      <c r="E273" s="1066">
        <v>0.15</v>
      </c>
      <c r="F273" s="1067">
        <v>0.1</v>
      </c>
    </row>
    <row r="274" spans="1:6" ht="14.25" thickBot="1">
      <c r="A274" s="840" t="s">
        <v>530</v>
      </c>
      <c r="B274" s="834" t="s">
        <v>976</v>
      </c>
      <c r="C274" s="1066">
        <v>0.14799999999999999</v>
      </c>
      <c r="D274" s="1066">
        <v>0.14799999999999999</v>
      </c>
      <c r="E274" s="1066">
        <v>0.15</v>
      </c>
      <c r="F274" s="1067">
        <v>6.7000000000000004E-2</v>
      </c>
    </row>
    <row r="275" spans="1:6" ht="14.25" thickBot="1">
      <c r="A275" s="840" t="s">
        <v>530</v>
      </c>
      <c r="B275" s="834" t="s">
        <v>977</v>
      </c>
      <c r="C275" s="1066">
        <v>0.15</v>
      </c>
      <c r="D275" s="1066">
        <v>0.15</v>
      </c>
      <c r="E275" s="1066">
        <v>0.15</v>
      </c>
      <c r="F275" s="1067">
        <v>0.15</v>
      </c>
    </row>
    <row r="276" spans="1:6" ht="14.25" thickBot="1">
      <c r="A276" s="840" t="s">
        <v>530</v>
      </c>
      <c r="B276" s="834" t="s">
        <v>978</v>
      </c>
      <c r="C276" s="1066">
        <v>0.14499999999999999</v>
      </c>
      <c r="D276" s="1066">
        <v>0.14299999999999999</v>
      </c>
      <c r="E276" s="1066">
        <v>0.15</v>
      </c>
      <c r="F276" s="1067">
        <v>5.8999999999999997E-2</v>
      </c>
    </row>
    <row r="277" spans="1:6" ht="14.25" thickBot="1">
      <c r="A277" s="840" t="s">
        <v>530</v>
      </c>
      <c r="B277" s="834" t="s">
        <v>979</v>
      </c>
      <c r="C277" s="1066">
        <v>0.15</v>
      </c>
      <c r="D277" s="1066">
        <v>0.15</v>
      </c>
      <c r="E277" s="1066">
        <v>0.15</v>
      </c>
      <c r="F277" s="1067">
        <v>0.121</v>
      </c>
    </row>
    <row r="278" spans="1:6" ht="14.25" thickBot="1">
      <c r="A278" s="840" t="s">
        <v>530</v>
      </c>
      <c r="B278" s="834" t="s">
        <v>980</v>
      </c>
      <c r="C278" s="1066">
        <v>0.15</v>
      </c>
      <c r="D278" s="1066">
        <v>0.15</v>
      </c>
      <c r="E278" s="1066">
        <v>0.15</v>
      </c>
      <c r="F278" s="1067">
        <v>0.13800000000000001</v>
      </c>
    </row>
    <row r="279" spans="1:6" ht="24.75" thickBot="1">
      <c r="A279" s="840" t="s">
        <v>530</v>
      </c>
      <c r="B279" s="834" t="s">
        <v>981</v>
      </c>
      <c r="C279" s="1079"/>
      <c r="D279" s="1079"/>
      <c r="E279" s="1079"/>
      <c r="F279" s="1067">
        <v>0.05</v>
      </c>
    </row>
    <row r="280" spans="1:6" ht="24.75" thickBot="1">
      <c r="A280" s="840" t="s">
        <v>530</v>
      </c>
      <c r="B280" s="834" t="s">
        <v>982</v>
      </c>
      <c r="C280" s="1079"/>
      <c r="D280" s="1079"/>
      <c r="E280" s="1079"/>
      <c r="F280" s="1067">
        <v>0.05</v>
      </c>
    </row>
    <row r="281" spans="1:6" ht="24.75" thickBot="1">
      <c r="A281" s="840" t="s">
        <v>530</v>
      </c>
      <c r="B281" s="834" t="s">
        <v>983</v>
      </c>
      <c r="C281" s="1079"/>
      <c r="D281" s="1079"/>
      <c r="E281" s="1079"/>
      <c r="F281" s="1067">
        <v>0.05</v>
      </c>
    </row>
    <row r="282" spans="1:6" ht="24.75" thickBot="1">
      <c r="A282" s="840" t="s">
        <v>530</v>
      </c>
      <c r="B282" s="834" t="s">
        <v>984</v>
      </c>
      <c r="C282" s="1079"/>
      <c r="D282" s="1079"/>
      <c r="E282" s="1079"/>
      <c r="F282" s="1067">
        <v>0.05</v>
      </c>
    </row>
    <row r="283" spans="1:6" ht="24.75" thickBot="1">
      <c r="A283" s="840" t="s">
        <v>530</v>
      </c>
      <c r="B283" s="834" t="s">
        <v>985</v>
      </c>
      <c r="C283" s="1079"/>
      <c r="D283" s="1079"/>
      <c r="E283" s="1079"/>
      <c r="F283" s="1067">
        <v>0.05</v>
      </c>
    </row>
    <row r="284" spans="1:6" ht="24.75" thickBot="1">
      <c r="A284" s="840" t="s">
        <v>530</v>
      </c>
      <c r="B284" s="834" t="s">
        <v>986</v>
      </c>
      <c r="C284" s="1079"/>
      <c r="D284" s="1079"/>
      <c r="E284" s="1079"/>
      <c r="F284" s="1067">
        <v>0.05</v>
      </c>
    </row>
    <row r="285" spans="1:6" ht="24.75" thickBot="1">
      <c r="A285" s="840" t="s">
        <v>530</v>
      </c>
      <c r="B285" s="834" t="s">
        <v>987</v>
      </c>
      <c r="C285" s="1079"/>
      <c r="D285" s="1079"/>
      <c r="E285" s="1079"/>
      <c r="F285" s="1067">
        <v>0.05</v>
      </c>
    </row>
    <row r="286" spans="1:6" ht="24.75" thickBot="1">
      <c r="A286" s="840" t="s">
        <v>530</v>
      </c>
      <c r="B286" s="834" t="s">
        <v>988</v>
      </c>
      <c r="C286" s="1079"/>
      <c r="D286" s="1079"/>
      <c r="E286" s="1079"/>
      <c r="F286" s="1067">
        <v>0.05</v>
      </c>
    </row>
    <row r="287" spans="1:6" ht="24.75" thickBot="1">
      <c r="A287" s="840" t="s">
        <v>530</v>
      </c>
      <c r="B287" s="834" t="s">
        <v>989</v>
      </c>
      <c r="C287" s="1079"/>
      <c r="D287" s="1079"/>
      <c r="E287" s="1079"/>
      <c r="F287" s="1067">
        <v>0.05</v>
      </c>
    </row>
    <row r="288" spans="1:6" ht="24.75" thickBot="1">
      <c r="A288" s="840" t="s">
        <v>530</v>
      </c>
      <c r="B288" s="834" t="s">
        <v>990</v>
      </c>
      <c r="C288" s="1079"/>
      <c r="D288" s="1079"/>
      <c r="E288" s="1079"/>
      <c r="F288" s="1067">
        <v>0.05</v>
      </c>
    </row>
    <row r="289" spans="1:6" ht="24.75" thickBot="1">
      <c r="A289" s="850" t="s">
        <v>530</v>
      </c>
      <c r="B289" s="846" t="s">
        <v>991</v>
      </c>
      <c r="C289" s="1076"/>
      <c r="D289" s="1076"/>
      <c r="E289" s="1076"/>
      <c r="F289" s="1069">
        <v>0.05</v>
      </c>
    </row>
    <row r="290" spans="1:6" ht="14.25" thickBot="1">
      <c r="A290" s="840" t="s">
        <v>534</v>
      </c>
      <c r="B290" s="841" t="s">
        <v>992</v>
      </c>
      <c r="C290" s="1064">
        <v>0.15</v>
      </c>
      <c r="D290" s="1064">
        <v>0.15</v>
      </c>
      <c r="E290" s="1064">
        <v>0.15</v>
      </c>
      <c r="F290" s="1081"/>
    </row>
    <row r="291" spans="1:6" ht="14.25" thickBot="1">
      <c r="A291" s="840" t="s">
        <v>534</v>
      </c>
      <c r="B291" s="834" t="s">
        <v>196</v>
      </c>
      <c r="C291" s="1066">
        <v>0.15</v>
      </c>
      <c r="D291" s="1066">
        <v>0.15</v>
      </c>
      <c r="E291" s="1066">
        <v>0.15</v>
      </c>
      <c r="F291" s="1078"/>
    </row>
    <row r="292" spans="1:6" ht="14.25" thickBot="1">
      <c r="A292" s="840" t="s">
        <v>534</v>
      </c>
      <c r="B292" s="834" t="s">
        <v>993</v>
      </c>
      <c r="C292" s="1066">
        <v>0.15</v>
      </c>
      <c r="D292" s="1066">
        <v>0.15</v>
      </c>
      <c r="E292" s="1066">
        <v>0.15</v>
      </c>
      <c r="F292" s="1067">
        <v>0.14699999999999999</v>
      </c>
    </row>
    <row r="293" spans="1:6" ht="14.25" thickBot="1">
      <c r="A293" s="840" t="s">
        <v>534</v>
      </c>
      <c r="B293" s="834" t="s">
        <v>994</v>
      </c>
      <c r="C293" s="1079"/>
      <c r="D293" s="1079"/>
      <c r="E293" s="1079"/>
      <c r="F293" s="1067">
        <v>0.1</v>
      </c>
    </row>
    <row r="294" spans="1:6" ht="14.25" thickBot="1">
      <c r="A294" s="840" t="s">
        <v>534</v>
      </c>
      <c r="B294" s="834" t="s">
        <v>995</v>
      </c>
      <c r="C294" s="1066">
        <v>0.15</v>
      </c>
      <c r="D294" s="1066">
        <v>0.15</v>
      </c>
      <c r="E294" s="1066">
        <v>0.15</v>
      </c>
      <c r="F294" s="1067">
        <v>0.15</v>
      </c>
    </row>
    <row r="295" spans="1:6" ht="14.25" thickBot="1">
      <c r="A295" s="840" t="s">
        <v>534</v>
      </c>
      <c r="B295" s="834" t="s">
        <v>234</v>
      </c>
      <c r="C295" s="1066">
        <v>0.15</v>
      </c>
      <c r="D295" s="1066">
        <v>0.15</v>
      </c>
      <c r="E295" s="1066">
        <v>0.15</v>
      </c>
      <c r="F295" s="1067">
        <v>0.15</v>
      </c>
    </row>
    <row r="296" spans="1:6" ht="14.25" thickBot="1">
      <c r="A296" s="840" t="s">
        <v>534</v>
      </c>
      <c r="B296" s="834" t="s">
        <v>996</v>
      </c>
      <c r="C296" s="1066">
        <v>0.15</v>
      </c>
      <c r="D296" s="1066">
        <v>0.15</v>
      </c>
      <c r="E296" s="1066">
        <v>0.15</v>
      </c>
      <c r="F296" s="1067">
        <v>0.15</v>
      </c>
    </row>
    <row r="297" spans="1:6" ht="14.25" thickBot="1">
      <c r="A297" s="840" t="s">
        <v>534</v>
      </c>
      <c r="B297" s="834" t="s">
        <v>997</v>
      </c>
      <c r="C297" s="1066">
        <v>0.14799999999999999</v>
      </c>
      <c r="D297" s="1066">
        <v>0.14899999999999999</v>
      </c>
      <c r="E297" s="1066">
        <v>0.15</v>
      </c>
      <c r="F297" s="1067">
        <v>0.13700000000000001</v>
      </c>
    </row>
    <row r="298" spans="1:6" ht="14.25" thickBot="1">
      <c r="A298" s="840" t="s">
        <v>534</v>
      </c>
      <c r="B298" s="834" t="s">
        <v>267</v>
      </c>
      <c r="C298" s="1066">
        <v>0.13400000000000001</v>
      </c>
      <c r="D298" s="1066">
        <v>0.13400000000000001</v>
      </c>
      <c r="E298" s="1066">
        <v>0.14499999999999999</v>
      </c>
      <c r="F298" s="1067">
        <v>0.14799999999999999</v>
      </c>
    </row>
    <row r="299" spans="1:6" ht="14.25" thickBot="1">
      <c r="A299" s="840" t="s">
        <v>534</v>
      </c>
      <c r="B299" s="834" t="s">
        <v>279</v>
      </c>
      <c r="C299" s="1066">
        <v>0.15</v>
      </c>
      <c r="D299" s="1066">
        <v>0.15</v>
      </c>
      <c r="E299" s="1066">
        <v>0.15</v>
      </c>
      <c r="F299" s="1078"/>
    </row>
    <row r="300" spans="1:6" ht="14.25" thickBot="1">
      <c r="A300" s="840" t="s">
        <v>534</v>
      </c>
      <c r="B300" s="834" t="s">
        <v>998</v>
      </c>
      <c r="C300" s="1066">
        <v>0.15</v>
      </c>
      <c r="D300" s="1066">
        <v>0.15</v>
      </c>
      <c r="E300" s="1066">
        <v>0.15</v>
      </c>
      <c r="F300" s="1067">
        <v>0.15</v>
      </c>
    </row>
    <row r="301" spans="1:6" ht="14.25" thickBot="1">
      <c r="A301" s="840" t="s">
        <v>534</v>
      </c>
      <c r="B301" s="834" t="s">
        <v>299</v>
      </c>
      <c r="C301" s="1066">
        <v>0.15</v>
      </c>
      <c r="D301" s="1066">
        <v>0.15</v>
      </c>
      <c r="E301" s="1066">
        <v>0.15</v>
      </c>
      <c r="F301" s="1078"/>
    </row>
    <row r="302" spans="1:6" ht="14.25" thickBot="1">
      <c r="A302" s="840" t="s">
        <v>534</v>
      </c>
      <c r="B302" s="834" t="s">
        <v>999</v>
      </c>
      <c r="C302" s="1066">
        <v>0.15</v>
      </c>
      <c r="D302" s="1066">
        <v>0.15</v>
      </c>
      <c r="E302" s="1066">
        <v>0.15</v>
      </c>
      <c r="F302" s="1067">
        <v>0.15</v>
      </c>
    </row>
    <row r="303" spans="1:6" ht="14.25" thickBot="1">
      <c r="A303" s="840" t="s">
        <v>534</v>
      </c>
      <c r="B303" s="834" t="s">
        <v>319</v>
      </c>
      <c r="C303" s="1066">
        <v>0.15</v>
      </c>
      <c r="D303" s="1066">
        <v>0.15</v>
      </c>
      <c r="E303" s="1066">
        <v>0.15</v>
      </c>
      <c r="F303" s="1067">
        <v>0.15</v>
      </c>
    </row>
    <row r="304" spans="1:6" ht="14.25" thickBot="1">
      <c r="A304" s="840" t="s">
        <v>534</v>
      </c>
      <c r="B304" s="834" t="s">
        <v>330</v>
      </c>
      <c r="C304" s="1066">
        <v>0.15</v>
      </c>
      <c r="D304" s="1066">
        <v>0.15</v>
      </c>
      <c r="E304" s="1066">
        <v>0.15</v>
      </c>
      <c r="F304" s="1078"/>
    </row>
    <row r="305" spans="1:6" ht="14.25" thickBot="1">
      <c r="A305" s="840" t="s">
        <v>534</v>
      </c>
      <c r="B305" s="834" t="s">
        <v>1000</v>
      </c>
      <c r="C305" s="1066">
        <v>0.15</v>
      </c>
      <c r="D305" s="1066">
        <v>0.15</v>
      </c>
      <c r="E305" s="1066">
        <v>0.15</v>
      </c>
      <c r="F305" s="1067">
        <v>0.14000000000000001</v>
      </c>
    </row>
    <row r="306" spans="1:6" ht="14.25" thickBot="1">
      <c r="A306" s="840" t="s">
        <v>534</v>
      </c>
      <c r="B306" s="834" t="s">
        <v>351</v>
      </c>
      <c r="C306" s="1066">
        <v>0.15</v>
      </c>
      <c r="D306" s="1066">
        <v>0.15</v>
      </c>
      <c r="E306" s="1066">
        <v>0.15</v>
      </c>
      <c r="F306" s="1078"/>
    </row>
    <row r="307" spans="1:6" ht="14.25" thickBot="1">
      <c r="A307" s="840" t="s">
        <v>534</v>
      </c>
      <c r="B307" s="834" t="s">
        <v>1001</v>
      </c>
      <c r="C307" s="1066">
        <v>0.15</v>
      </c>
      <c r="D307" s="1066">
        <v>0.15</v>
      </c>
      <c r="E307" s="1066">
        <v>0.15</v>
      </c>
      <c r="F307" s="1067">
        <v>0.14299999999999999</v>
      </c>
    </row>
    <row r="308" spans="1:6" ht="14.25" thickBot="1">
      <c r="A308" s="840" t="s">
        <v>534</v>
      </c>
      <c r="B308" s="834" t="s">
        <v>371</v>
      </c>
      <c r="C308" s="1066">
        <v>0.15</v>
      </c>
      <c r="D308" s="1066">
        <v>0.15</v>
      </c>
      <c r="E308" s="1066">
        <v>0.15</v>
      </c>
      <c r="F308" s="1067">
        <v>0.15</v>
      </c>
    </row>
    <row r="309" spans="1:6" ht="14.25" thickBot="1">
      <c r="A309" s="840" t="s">
        <v>534</v>
      </c>
      <c r="B309" s="834" t="s">
        <v>381</v>
      </c>
      <c r="C309" s="1066">
        <v>0.15</v>
      </c>
      <c r="D309" s="1066">
        <v>0.15</v>
      </c>
      <c r="E309" s="1066">
        <v>0.15</v>
      </c>
      <c r="F309" s="1078"/>
    </row>
    <row r="310" spans="1:6" ht="14.25" thickBot="1">
      <c r="A310" s="840" t="s">
        <v>534</v>
      </c>
      <c r="B310" s="834" t="s">
        <v>1002</v>
      </c>
      <c r="C310" s="1066">
        <v>0.15</v>
      </c>
      <c r="D310" s="1066">
        <v>0.15</v>
      </c>
      <c r="E310" s="1066">
        <v>0.15</v>
      </c>
      <c r="F310" s="1067">
        <v>0.13700000000000001</v>
      </c>
    </row>
    <row r="311" spans="1:6" ht="14.25" thickBot="1">
      <c r="A311" s="840" t="s">
        <v>534</v>
      </c>
      <c r="B311" s="834" t="s">
        <v>1003</v>
      </c>
      <c r="C311" s="1066">
        <v>0.15</v>
      </c>
      <c r="D311" s="1066">
        <v>0.15</v>
      </c>
      <c r="E311" s="1066">
        <v>0.15</v>
      </c>
      <c r="F311" s="1067">
        <v>0.15</v>
      </c>
    </row>
    <row r="312" spans="1:6" ht="14.25" thickBot="1">
      <c r="A312" s="840" t="s">
        <v>534</v>
      </c>
      <c r="B312" s="834" t="s">
        <v>407</v>
      </c>
      <c r="C312" s="1066">
        <v>0.15</v>
      </c>
      <c r="D312" s="1066">
        <v>0.15</v>
      </c>
      <c r="E312" s="1066">
        <v>0.15</v>
      </c>
      <c r="F312" s="1067">
        <v>0.1</v>
      </c>
    </row>
    <row r="313" spans="1:6" ht="14.25" thickBot="1">
      <c r="A313" s="840" t="s">
        <v>534</v>
      </c>
      <c r="B313" s="834" t="s">
        <v>1004</v>
      </c>
      <c r="C313" s="1066">
        <v>0.15</v>
      </c>
      <c r="D313" s="1066">
        <v>0.15</v>
      </c>
      <c r="E313" s="1066">
        <v>0.15</v>
      </c>
      <c r="F313" s="1067">
        <v>0.15</v>
      </c>
    </row>
    <row r="314" spans="1:6" ht="24.75" thickBot="1">
      <c r="A314" s="840" t="s">
        <v>534</v>
      </c>
      <c r="B314" s="834" t="s">
        <v>1005</v>
      </c>
      <c r="C314" s="1079"/>
      <c r="D314" s="1079"/>
      <c r="E314" s="1079"/>
      <c r="F314" s="1067">
        <v>0.05</v>
      </c>
    </row>
    <row r="315" spans="1:6" ht="24.75" thickBot="1">
      <c r="A315" s="840" t="s">
        <v>534</v>
      </c>
      <c r="B315" s="834" t="s">
        <v>1006</v>
      </c>
      <c r="C315" s="1079"/>
      <c r="D315" s="1079"/>
      <c r="E315" s="1079"/>
      <c r="F315" s="1067">
        <v>0.05</v>
      </c>
    </row>
    <row r="316" spans="1:6" ht="24.75" thickBot="1">
      <c r="A316" s="850" t="s">
        <v>534</v>
      </c>
      <c r="B316" s="846" t="s">
        <v>1007</v>
      </c>
      <c r="C316" s="1076"/>
      <c r="D316" s="1076"/>
      <c r="E316" s="1076"/>
      <c r="F316" s="1069">
        <v>0.05</v>
      </c>
    </row>
    <row r="317" spans="1:6" ht="14.25" thickBot="1">
      <c r="A317" s="840" t="s">
        <v>1008</v>
      </c>
      <c r="B317" s="841" t="s">
        <v>1009</v>
      </c>
      <c r="C317" s="1064">
        <v>0.15</v>
      </c>
      <c r="D317" s="1064">
        <v>0.15</v>
      </c>
      <c r="E317" s="1064">
        <v>0.15</v>
      </c>
      <c r="F317" s="1065">
        <v>0.15</v>
      </c>
    </row>
    <row r="318" spans="1:6" ht="14.25" thickBot="1">
      <c r="A318" s="840" t="s">
        <v>1008</v>
      </c>
      <c r="B318" s="834" t="s">
        <v>1010</v>
      </c>
      <c r="C318" s="1066">
        <v>0.107</v>
      </c>
      <c r="D318" s="1066">
        <v>0.11</v>
      </c>
      <c r="E318" s="1066">
        <v>0.112</v>
      </c>
      <c r="F318" s="1078"/>
    </row>
    <row r="319" spans="1:6" ht="14.25" thickBot="1">
      <c r="A319" s="840" t="s">
        <v>1008</v>
      </c>
      <c r="B319" s="834" t="s">
        <v>1011</v>
      </c>
      <c r="C319" s="1066">
        <v>0.15</v>
      </c>
      <c r="D319" s="1066">
        <v>0.15</v>
      </c>
      <c r="E319" s="1066">
        <v>0.15</v>
      </c>
      <c r="F319" s="1067">
        <v>0.15</v>
      </c>
    </row>
    <row r="320" spans="1:6" ht="14.25" thickBot="1">
      <c r="A320" s="840" t="s">
        <v>1008</v>
      </c>
      <c r="B320" s="834" t="s">
        <v>223</v>
      </c>
      <c r="C320" s="1066">
        <v>0.15</v>
      </c>
      <c r="D320" s="1066">
        <v>0.15</v>
      </c>
      <c r="E320" s="1066">
        <v>0.15</v>
      </c>
      <c r="F320" s="1078"/>
    </row>
    <row r="321" spans="1:6" ht="14.25" thickBot="1">
      <c r="A321" s="840" t="s">
        <v>1008</v>
      </c>
      <c r="B321" s="834" t="s">
        <v>1012</v>
      </c>
      <c r="C321" s="1066">
        <v>0.15</v>
      </c>
      <c r="D321" s="1066">
        <v>0.15</v>
      </c>
      <c r="E321" s="1066">
        <v>0.15</v>
      </c>
      <c r="F321" s="1078"/>
    </row>
    <row r="322" spans="1:6" ht="14.25" thickBot="1">
      <c r="A322" s="840" t="s">
        <v>1008</v>
      </c>
      <c r="B322" s="834" t="s">
        <v>1013</v>
      </c>
      <c r="C322" s="1066">
        <v>0.15</v>
      </c>
      <c r="D322" s="1066">
        <v>0.15</v>
      </c>
      <c r="E322" s="1066">
        <v>0.15</v>
      </c>
      <c r="F322" s="1067">
        <v>0.15</v>
      </c>
    </row>
    <row r="323" spans="1:6" ht="14.25" thickBot="1">
      <c r="A323" s="840" t="s">
        <v>1008</v>
      </c>
      <c r="B323" s="834" t="s">
        <v>1014</v>
      </c>
      <c r="C323" s="1066">
        <v>0.15</v>
      </c>
      <c r="D323" s="1066">
        <v>0.15</v>
      </c>
      <c r="E323" s="1066">
        <v>0.15</v>
      </c>
      <c r="F323" s="1078"/>
    </row>
    <row r="324" spans="1:6" ht="14.25" thickBot="1">
      <c r="A324" s="840" t="s">
        <v>1008</v>
      </c>
      <c r="B324" s="834" t="s">
        <v>1015</v>
      </c>
      <c r="C324" s="1066">
        <v>0.15</v>
      </c>
      <c r="D324" s="1066">
        <v>0.15</v>
      </c>
      <c r="E324" s="1066">
        <v>0.15</v>
      </c>
      <c r="F324" s="1078"/>
    </row>
    <row r="325" spans="1:6" ht="14.25" thickBot="1">
      <c r="A325" s="840" t="s">
        <v>1008</v>
      </c>
      <c r="B325" s="834" t="s">
        <v>1016</v>
      </c>
      <c r="C325" s="1066">
        <v>0.15</v>
      </c>
      <c r="D325" s="1066">
        <v>0.15</v>
      </c>
      <c r="E325" s="1066">
        <v>0.15</v>
      </c>
      <c r="F325" s="1067">
        <v>0.14699999999999999</v>
      </c>
    </row>
    <row r="326" spans="1:6" ht="14.25" thickBot="1">
      <c r="A326" s="840" t="s">
        <v>1008</v>
      </c>
      <c r="B326" s="834" t="s">
        <v>290</v>
      </c>
      <c r="C326" s="1066">
        <v>0.15</v>
      </c>
      <c r="D326" s="1066">
        <v>0.15</v>
      </c>
      <c r="E326" s="1066">
        <v>0.15</v>
      </c>
      <c r="F326" s="1078"/>
    </row>
    <row r="327" spans="1:6" ht="14.25" thickBot="1">
      <c r="A327" s="840" t="s">
        <v>1008</v>
      </c>
      <c r="B327" s="834" t="s">
        <v>1017</v>
      </c>
      <c r="C327" s="1066">
        <v>0.15</v>
      </c>
      <c r="D327" s="1066">
        <v>0.15</v>
      </c>
      <c r="E327" s="1066">
        <v>0.15</v>
      </c>
      <c r="F327" s="1067">
        <v>0.15</v>
      </c>
    </row>
    <row r="328" spans="1:6" ht="14.25" thickBot="1">
      <c r="A328" s="840" t="s">
        <v>1008</v>
      </c>
      <c r="B328" s="834" t="s">
        <v>310</v>
      </c>
      <c r="C328" s="1066">
        <v>0.15</v>
      </c>
      <c r="D328" s="1066">
        <v>0.15</v>
      </c>
      <c r="E328" s="1066">
        <v>0.15</v>
      </c>
      <c r="F328" s="1067">
        <v>0.14099999999999999</v>
      </c>
    </row>
    <row r="329" spans="1:6" ht="14.25" thickBot="1">
      <c r="A329" s="840" t="s">
        <v>1008</v>
      </c>
      <c r="B329" s="834" t="s">
        <v>320</v>
      </c>
      <c r="C329" s="1066">
        <v>0.15</v>
      </c>
      <c r="D329" s="1066">
        <v>0.15</v>
      </c>
      <c r="E329" s="1066">
        <v>0.15</v>
      </c>
      <c r="F329" s="1067">
        <v>0.15</v>
      </c>
    </row>
    <row r="330" spans="1:6" ht="14.25" thickBot="1">
      <c r="A330" s="840" t="s">
        <v>1008</v>
      </c>
      <c r="B330" s="834" t="s">
        <v>331</v>
      </c>
      <c r="C330" s="1066">
        <v>0.15</v>
      </c>
      <c r="D330" s="1066">
        <v>0.15</v>
      </c>
      <c r="E330" s="1066">
        <v>0.15</v>
      </c>
      <c r="F330" s="1078"/>
    </row>
    <row r="331" spans="1:6" ht="14.25" thickBot="1">
      <c r="A331" s="840" t="s">
        <v>1008</v>
      </c>
      <c r="B331" s="834" t="s">
        <v>1018</v>
      </c>
      <c r="C331" s="1066">
        <v>0.15</v>
      </c>
      <c r="D331" s="1066">
        <v>0.15</v>
      </c>
      <c r="E331" s="1066">
        <v>0.15</v>
      </c>
      <c r="F331" s="1067">
        <v>0.15</v>
      </c>
    </row>
    <row r="332" spans="1:6" ht="14.25" thickBot="1">
      <c r="A332" s="840" t="s">
        <v>1008</v>
      </c>
      <c r="B332" s="834" t="s">
        <v>352</v>
      </c>
      <c r="C332" s="1066">
        <v>0.15</v>
      </c>
      <c r="D332" s="1066">
        <v>0.15</v>
      </c>
      <c r="E332" s="1066">
        <v>0.15</v>
      </c>
      <c r="F332" s="1067">
        <v>0.15</v>
      </c>
    </row>
    <row r="333" spans="1:6" ht="14.25" thickBot="1">
      <c r="A333" s="840" t="s">
        <v>1008</v>
      </c>
      <c r="B333" s="834" t="s">
        <v>1019</v>
      </c>
      <c r="C333" s="1066">
        <v>0.15</v>
      </c>
      <c r="D333" s="1066">
        <v>0.15</v>
      </c>
      <c r="E333" s="1066">
        <v>0.15</v>
      </c>
      <c r="F333" s="1067">
        <v>0.14099999999999999</v>
      </c>
    </row>
    <row r="334" spans="1:6" ht="14.25" thickBot="1">
      <c r="A334" s="840" t="s">
        <v>1008</v>
      </c>
      <c r="B334" s="834" t="s">
        <v>372</v>
      </c>
      <c r="C334" s="1066">
        <v>0.15</v>
      </c>
      <c r="D334" s="1066">
        <v>0.15</v>
      </c>
      <c r="E334" s="1066">
        <v>0.15</v>
      </c>
      <c r="F334" s="1067">
        <v>0.15</v>
      </c>
    </row>
    <row r="335" spans="1:6" ht="14.25" thickBot="1">
      <c r="A335" s="840" t="s">
        <v>1008</v>
      </c>
      <c r="B335" s="834" t="s">
        <v>382</v>
      </c>
      <c r="C335" s="1066">
        <v>0.15</v>
      </c>
      <c r="D335" s="1066">
        <v>0.15</v>
      </c>
      <c r="E335" s="1066">
        <v>0.15</v>
      </c>
      <c r="F335" s="1078"/>
    </row>
    <row r="336" spans="1:6" ht="14.25" thickBot="1">
      <c r="A336" s="840" t="s">
        <v>1008</v>
      </c>
      <c r="B336" s="834" t="s">
        <v>1020</v>
      </c>
      <c r="C336" s="1066">
        <v>0.15</v>
      </c>
      <c r="D336" s="1066">
        <v>0.15</v>
      </c>
      <c r="E336" s="1066">
        <v>0.15</v>
      </c>
      <c r="F336" s="1067">
        <v>0.11799999999999999</v>
      </c>
    </row>
    <row r="337" spans="1:6" ht="14.25" thickBot="1">
      <c r="A337" s="850" t="s">
        <v>1008</v>
      </c>
      <c r="B337" s="846" t="s">
        <v>400</v>
      </c>
      <c r="C337" s="1076"/>
      <c r="D337" s="1076"/>
      <c r="E337" s="1076"/>
      <c r="F337" s="1069">
        <v>0.14299999999999999</v>
      </c>
    </row>
    <row r="338" spans="1:6" ht="14.25" thickBot="1">
      <c r="A338" s="840" t="s">
        <v>1021</v>
      </c>
      <c r="B338" s="841" t="s">
        <v>1022</v>
      </c>
      <c r="C338" s="1064">
        <v>0.15</v>
      </c>
      <c r="D338" s="1064">
        <v>0.15</v>
      </c>
      <c r="E338" s="1064">
        <v>0.15</v>
      </c>
      <c r="F338" s="1081"/>
    </row>
    <row r="339" spans="1:6" ht="14.25" thickBot="1">
      <c r="A339" s="840" t="s">
        <v>1021</v>
      </c>
      <c r="B339" s="834" t="s">
        <v>1023</v>
      </c>
      <c r="C339" s="1066">
        <v>0.15</v>
      </c>
      <c r="D339" s="1066">
        <v>0.15</v>
      </c>
      <c r="E339" s="1066">
        <v>0.15</v>
      </c>
      <c r="F339" s="1078"/>
    </row>
    <row r="340" spans="1:6" ht="14.25" thickBot="1">
      <c r="A340" s="840" t="s">
        <v>1021</v>
      </c>
      <c r="B340" s="834" t="s">
        <v>1024</v>
      </c>
      <c r="C340" s="1066">
        <v>0.15</v>
      </c>
      <c r="D340" s="1066">
        <v>0.15</v>
      </c>
      <c r="E340" s="1066">
        <v>0.15</v>
      </c>
      <c r="F340" s="1078"/>
    </row>
    <row r="341" spans="1:6" ht="14.25" thickBot="1">
      <c r="A341" s="840" t="s">
        <v>1021</v>
      </c>
      <c r="B341" s="834" t="s">
        <v>1025</v>
      </c>
      <c r="C341" s="1066">
        <v>0.15</v>
      </c>
      <c r="D341" s="1066">
        <v>0.15</v>
      </c>
      <c r="E341" s="1066">
        <v>0.15</v>
      </c>
      <c r="F341" s="1067">
        <v>0.15</v>
      </c>
    </row>
    <row r="342" spans="1:6" ht="14.25" thickBot="1">
      <c r="A342" s="840" t="s">
        <v>1021</v>
      </c>
      <c r="B342" s="834" t="s">
        <v>1026</v>
      </c>
      <c r="C342" s="1066">
        <v>0.15</v>
      </c>
      <c r="D342" s="1066">
        <v>0.15</v>
      </c>
      <c r="E342" s="1066">
        <v>0.15</v>
      </c>
      <c r="F342" s="1067">
        <v>0.15</v>
      </c>
    </row>
    <row r="343" spans="1:6" ht="14.25" thickBot="1">
      <c r="A343" s="840" t="s">
        <v>1021</v>
      </c>
      <c r="B343" s="834" t="s">
        <v>1027</v>
      </c>
      <c r="C343" s="1066">
        <v>0.15</v>
      </c>
      <c r="D343" s="1066">
        <v>0.15</v>
      </c>
      <c r="E343" s="1066">
        <v>0.15</v>
      </c>
      <c r="F343" s="1067">
        <v>0.15</v>
      </c>
    </row>
    <row r="344" spans="1:6" ht="14.25" thickBot="1">
      <c r="A344" s="850" t="s">
        <v>1021</v>
      </c>
      <c r="B344" s="846"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43165</v>
      </c>
      <c r="D1" s="1702" t="s">
        <v>1301</v>
      </c>
      <c r="E1" s="1697">
        <f>'数据-取费表'!B22</f>
        <v>1</v>
      </c>
      <c r="F1" s="1702" t="s">
        <v>1302</v>
      </c>
      <c r="G1" s="1698">
        <f ca="1">INDIRECT("d"&amp;$K$1)/100</f>
        <v>4.3499999999999997E-2</v>
      </c>
      <c r="H1" s="1702" t="s">
        <v>1332</v>
      </c>
      <c r="I1" s="1698">
        <f ca="1">F4/100</f>
        <v>1.4999999999999999E-2</v>
      </c>
      <c r="J1" s="1703">
        <f>IF(C1&gt;C13,0,MATCH(C1,C$13:C$100,-1))+IF(SUMIF(C13:C100,C1,D13:D100)=0,13,12)</f>
        <v>13</v>
      </c>
      <c r="K1" s="1703">
        <f ca="1">MATCH(E1,C3:C7,1)+IF(SUMIF(C3:C7,E1,D3:D7)=0,2,1)</f>
        <v>4</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topLeftCell="A18" zoomScale="90" zoomScaleNormal="90" workbookViewId="0">
      <selection activeCell="L44" sqref="L44"/>
    </sheetView>
  </sheetViews>
  <sheetFormatPr defaultRowHeight="14.25"/>
  <cols>
    <col min="1" max="1" width="10.5" style="403" customWidth="1"/>
    <col min="2" max="2" width="15.75" style="403" customWidth="1"/>
    <col min="3" max="3" width="26.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2516</v>
      </c>
      <c r="B1" s="2665" t="s">
        <v>2690</v>
      </c>
      <c r="C1" s="1622" t="s">
        <v>2518</v>
      </c>
      <c r="D1" s="1623" t="s">
        <v>3058</v>
      </c>
      <c r="E1" s="1632"/>
      <c r="F1" s="2580" t="s">
        <v>3139</v>
      </c>
      <c r="G1" s="1633" t="s">
        <v>2631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2315</v>
      </c>
      <c r="B2" s="1420">
        <f>IF(C2="——",ROUND(C43*D3/10000,0),ROUND(C43*D3/10000,0)-D2)</f>
        <v>0</v>
      </c>
      <c r="C2" s="2582" t="s">
        <v>70</v>
      </c>
      <c r="D2" s="1126" t="e">
        <f ca="1">SUMIF(INDIRECT("'"&amp;F2&amp;"'"&amp;"!A:A"),"承租人权益价值",INDIRECT("'"&amp;F2&amp;"'"&amp;"!c:c"))</f>
        <v>#REF!</v>
      </c>
      <c r="E2" s="2583" t="s">
        <v>2316</v>
      </c>
      <c r="F2" s="2584"/>
      <c r="G2" s="1127"/>
      <c r="H2" s="1127"/>
      <c r="I2" s="1127"/>
      <c r="J2" s="1127"/>
      <c r="K2" s="1127"/>
      <c r="L2" s="1130"/>
      <c r="M2" s="1131"/>
      <c r="N2" s="1131"/>
      <c r="O2" s="1131"/>
      <c r="P2" s="768"/>
      <c r="Q2" s="768"/>
      <c r="R2" s="768"/>
      <c r="S2" s="768"/>
      <c r="T2" s="768"/>
      <c r="U2" s="768"/>
      <c r="V2" s="768"/>
      <c r="W2" s="768"/>
      <c r="X2" s="768"/>
      <c r="Y2" s="768"/>
      <c r="Z2" s="768"/>
      <c r="AA2" s="768"/>
      <c r="AB2" s="768"/>
      <c r="AC2" s="782"/>
    </row>
    <row r="3" spans="1:29" s="398" customFormat="1" ht="28.5" customHeight="1" thickBot="1">
      <c r="A3" s="247" t="s">
        <v>1395</v>
      </c>
      <c r="B3" s="609">
        <f>IF(C2="——",C43,ROUND(B2*10000/D3,0))</f>
        <v>2.7</v>
      </c>
      <c r="C3" s="400" t="s">
        <v>2632</v>
      </c>
      <c r="D3" s="399">
        <f>IF(D1="",'数据-汇总表'!E3,SUMIF('数据-汇总表'!$C19:$C33,D1,'数据-汇总表'!$E19:$E33))</f>
        <v>1246.4000000000001</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2633</v>
      </c>
      <c r="B4" s="402"/>
      <c r="C4" s="3212" t="s">
        <v>2524</v>
      </c>
      <c r="D4" s="3213"/>
      <c r="E4" s="3214" t="s">
        <v>2525</v>
      </c>
      <c r="F4" s="3215"/>
      <c r="G4" s="3212" t="s">
        <v>2526</v>
      </c>
      <c r="H4" s="3213"/>
      <c r="I4" s="3212" t="s">
        <v>2637</v>
      </c>
      <c r="J4" s="3213"/>
      <c r="K4" s="610" t="s">
        <v>2638</v>
      </c>
      <c r="L4" s="1132"/>
      <c r="M4" s="1133"/>
      <c r="N4" s="1133"/>
      <c r="O4" s="1133"/>
      <c r="P4" s="3216" t="s">
        <v>2529</v>
      </c>
      <c r="Q4" s="3217"/>
      <c r="R4" s="3199" t="s">
        <v>2525</v>
      </c>
      <c r="S4" s="3200"/>
      <c r="T4" s="3199" t="s">
        <v>2526</v>
      </c>
      <c r="U4" s="3200"/>
      <c r="V4" s="3224" t="s">
        <v>2637</v>
      </c>
      <c r="W4" s="3224"/>
      <c r="X4" s="2939"/>
      <c r="Y4" s="3199" t="s">
        <v>2529</v>
      </c>
      <c r="Z4" s="3200"/>
      <c r="AA4" s="3194" t="s">
        <v>2525</v>
      </c>
      <c r="AB4" s="3195" t="s">
        <v>2526</v>
      </c>
      <c r="AC4" s="3194" t="s">
        <v>2637</v>
      </c>
    </row>
    <row r="5" spans="1:29" ht="15">
      <c r="A5" s="404"/>
      <c r="B5" s="405"/>
      <c r="C5" s="3307" t="s">
        <v>3113</v>
      </c>
      <c r="D5" s="3206"/>
      <c r="E5" s="3308" t="s">
        <v>3138</v>
      </c>
      <c r="F5" s="3204"/>
      <c r="G5" s="3308" t="s">
        <v>3114</v>
      </c>
      <c r="H5" s="3204"/>
      <c r="I5" s="3307" t="s">
        <v>3141</v>
      </c>
      <c r="J5" s="3206"/>
      <c r="K5" s="610"/>
      <c r="L5" s="1132"/>
      <c r="M5" s="1133"/>
      <c r="N5" s="1133"/>
      <c r="O5" s="1133"/>
      <c r="P5" s="3218"/>
      <c r="Q5" s="3219"/>
      <c r="R5" s="3201"/>
      <c r="S5" s="3202"/>
      <c r="T5" s="3201"/>
      <c r="U5" s="3202"/>
      <c r="V5" s="3224"/>
      <c r="W5" s="3224"/>
      <c r="X5" s="2939"/>
      <c r="Y5" s="3201"/>
      <c r="Z5" s="3202"/>
      <c r="AA5" s="3195"/>
      <c r="AB5" s="3195"/>
      <c r="AC5" s="3195"/>
    </row>
    <row r="6" spans="1:29" ht="15.75" thickBot="1">
      <c r="A6" s="406"/>
      <c r="B6" s="407"/>
      <c r="C6" s="3207" t="s">
        <v>2534</v>
      </c>
      <c r="D6" s="3208"/>
      <c r="E6" s="3209" t="s">
        <v>2534</v>
      </c>
      <c r="F6" s="3210"/>
      <c r="G6" s="3207" t="s">
        <v>2534</v>
      </c>
      <c r="H6" s="3208"/>
      <c r="I6" s="3207" t="s">
        <v>2534</v>
      </c>
      <c r="J6" s="3208"/>
      <c r="K6" s="610" t="s">
        <v>2535</v>
      </c>
      <c r="L6" s="1132"/>
      <c r="M6" s="1133"/>
      <c r="N6" s="1133"/>
      <c r="O6" s="1133"/>
      <c r="P6" s="3220"/>
      <c r="Q6" s="3221"/>
      <c r="R6" s="3201"/>
      <c r="S6" s="3202"/>
      <c r="T6" s="3222"/>
      <c r="U6" s="3223"/>
      <c r="V6" s="3224"/>
      <c r="W6" s="3224"/>
      <c r="X6" s="2939"/>
      <c r="Y6" s="3222"/>
      <c r="Z6" s="3223"/>
      <c r="AA6" s="3196"/>
      <c r="AB6" s="3196"/>
      <c r="AC6" s="3196"/>
    </row>
    <row r="7" spans="1:29" s="117" customFormat="1" ht="15.75" thickBot="1">
      <c r="A7" s="408" t="s">
        <v>2536</v>
      </c>
      <c r="B7" s="409"/>
      <c r="C7" s="410">
        <f>'数据-取费表'!B2</f>
        <v>43165</v>
      </c>
      <c r="D7" s="411">
        <v>100</v>
      </c>
      <c r="E7" s="412">
        <v>43165</v>
      </c>
      <c r="F7" s="413">
        <f>SUMIF(52:52,YEAR(E7)&amp;"-"&amp;MONTH(E7),53:53)</f>
        <v>100</v>
      </c>
      <c r="G7" s="412">
        <v>43165</v>
      </c>
      <c r="H7" s="411">
        <f>SUMIF(52:52,YEAR(G7)&amp;"-"&amp;MONTH(G7),53:53)</f>
        <v>100</v>
      </c>
      <c r="I7" s="412">
        <v>43165</v>
      </c>
      <c r="J7" s="411">
        <f>SUMIF(52:52,YEAR(I7)&amp;"-"&amp;MONTH(I7),53:53)</f>
        <v>100</v>
      </c>
      <c r="K7" s="611"/>
      <c r="L7" s="1134"/>
      <c r="M7" s="1135"/>
      <c r="N7" s="1135"/>
      <c r="O7" s="1135"/>
      <c r="P7" s="3197" t="s">
        <v>2537</v>
      </c>
      <c r="Q7" s="3225"/>
      <c r="R7" s="770" t="s">
        <v>17</v>
      </c>
      <c r="S7" s="771">
        <f t="shared" ref="S7:S15" si="0">F7</f>
        <v>100</v>
      </c>
      <c r="T7" s="770" t="s">
        <v>17</v>
      </c>
      <c r="U7" s="771">
        <f t="shared" ref="U7:U15" si="1">H7</f>
        <v>100</v>
      </c>
      <c r="V7" s="770" t="s">
        <v>17</v>
      </c>
      <c r="W7" s="771">
        <f t="shared" ref="W7:W15" si="2">J7</f>
        <v>100</v>
      </c>
      <c r="X7" s="772"/>
      <c r="Y7" s="3197" t="s">
        <v>2537</v>
      </c>
      <c r="Z7" s="3198"/>
      <c r="AA7" s="773">
        <f>D7/F7</f>
        <v>1</v>
      </c>
      <c r="AB7" s="773">
        <f>D7/H7</f>
        <v>1</v>
      </c>
      <c r="AC7" s="773">
        <f>D7/J7</f>
        <v>1</v>
      </c>
    </row>
    <row r="8" spans="1:29" s="117" customFormat="1" ht="15.75" thickBot="1">
      <c r="A8" s="408" t="s">
        <v>2538</v>
      </c>
      <c r="B8" s="409"/>
      <c r="C8" s="414" t="s">
        <v>2539</v>
      </c>
      <c r="D8" s="411">
        <v>100</v>
      </c>
      <c r="E8" s="414" t="s">
        <v>2539</v>
      </c>
      <c r="F8" s="413">
        <f>SUMIF(55:55,E8,56:56)-SUMIF(55:55,C8,56:56)+100</f>
        <v>100</v>
      </c>
      <c r="G8" s="414" t="s">
        <v>2539</v>
      </c>
      <c r="H8" s="411">
        <f>SUMIF(55:55,G8,56:56)-SUMIF(55:55,C8,56:56)+100</f>
        <v>100</v>
      </c>
      <c r="I8" s="414" t="s">
        <v>2539</v>
      </c>
      <c r="J8" s="411">
        <f>SUMIF(55:55,I8,56:56)-SUMIF(55:55,C8,56:56)+100</f>
        <v>100</v>
      </c>
      <c r="K8" s="611"/>
      <c r="L8" s="1134"/>
      <c r="M8" s="1135"/>
      <c r="N8" s="1135"/>
      <c r="O8" s="1135"/>
      <c r="P8" s="3197" t="s">
        <v>2540</v>
      </c>
      <c r="Q8" s="3198"/>
      <c r="R8" s="770" t="s">
        <v>17</v>
      </c>
      <c r="S8" s="771">
        <f t="shared" si="0"/>
        <v>100</v>
      </c>
      <c r="T8" s="770" t="s">
        <v>17</v>
      </c>
      <c r="U8" s="771">
        <f t="shared" si="1"/>
        <v>100</v>
      </c>
      <c r="V8" s="770" t="s">
        <v>17</v>
      </c>
      <c r="W8" s="771">
        <f t="shared" si="2"/>
        <v>100</v>
      </c>
      <c r="X8" s="772"/>
      <c r="Y8" s="3197" t="s">
        <v>2540</v>
      </c>
      <c r="Z8" s="3198"/>
      <c r="AA8" s="773">
        <f t="shared" ref="AA8:AA40" si="3">D8/F8</f>
        <v>1</v>
      </c>
      <c r="AB8" s="773">
        <f t="shared" ref="AB8:AB40" si="4">D8/H8</f>
        <v>1</v>
      </c>
      <c r="AC8" s="773">
        <f t="shared" ref="AC8:AC40" si="5">D8/J8</f>
        <v>1</v>
      </c>
    </row>
    <row r="9" spans="1:29" s="117" customFormat="1" ht="15" thickBot="1">
      <c r="A9" s="415" t="s">
        <v>2541</v>
      </c>
      <c r="B9" s="71" t="s">
        <v>2542</v>
      </c>
      <c r="C9" s="3309" t="s">
        <v>3116</v>
      </c>
      <c r="D9" s="135">
        <v>100</v>
      </c>
      <c r="E9" s="419" t="s">
        <v>6</v>
      </c>
      <c r="F9" s="135">
        <f>SUMIF(57:57,E9,58:58)-SUMIF(57:57,C9,58:58)+100</f>
        <v>100</v>
      </c>
      <c r="G9" s="419" t="s">
        <v>6</v>
      </c>
      <c r="H9" s="135">
        <f>SUMIF(57:57,G9,58:58)-SUMIF(57:57,C9,58:58)+100</f>
        <v>100</v>
      </c>
      <c r="I9" s="419" t="s">
        <v>6</v>
      </c>
      <c r="J9" s="135">
        <f>SUMIF(57:57,I9,58:58)-SUMIF(57:57,C9,58:58)+100</f>
        <v>100</v>
      </c>
      <c r="K9" s="611"/>
      <c r="L9" s="1134"/>
      <c r="M9" s="1135"/>
      <c r="N9" s="1135"/>
      <c r="O9" s="1136"/>
      <c r="P9" s="3229" t="s">
        <v>2543</v>
      </c>
      <c r="Q9" s="2934" t="str">
        <f t="shared" ref="Q9:Q15" si="6">B9</f>
        <v>用途</v>
      </c>
      <c r="R9" s="770" t="s">
        <v>17</v>
      </c>
      <c r="S9" s="771">
        <f t="shared" si="0"/>
        <v>100</v>
      </c>
      <c r="T9" s="770" t="s">
        <v>17</v>
      </c>
      <c r="U9" s="771">
        <f t="shared" si="1"/>
        <v>100</v>
      </c>
      <c r="V9" s="770" t="s">
        <v>17</v>
      </c>
      <c r="W9" s="771">
        <f t="shared" si="2"/>
        <v>100</v>
      </c>
      <c r="X9" s="772"/>
      <c r="Y9" s="3024" t="s">
        <v>2544</v>
      </c>
      <c r="Z9" s="2935" t="str">
        <f t="shared" ref="Z9:Z15" si="7">Q9</f>
        <v>用途</v>
      </c>
      <c r="AA9" s="773">
        <f t="shared" si="3"/>
        <v>1</v>
      </c>
      <c r="AB9" s="773">
        <f t="shared" si="4"/>
        <v>1</v>
      </c>
      <c r="AC9" s="773">
        <f t="shared" si="5"/>
        <v>1</v>
      </c>
    </row>
    <row r="10" spans="1:29" s="427" customFormat="1" ht="27.75" hidden="1" thickBot="1">
      <c r="A10" s="421"/>
      <c r="B10" s="2936" t="s">
        <v>2545</v>
      </c>
      <c r="C10" s="423" t="s">
        <v>3117</v>
      </c>
      <c r="D10" s="136">
        <v>100</v>
      </c>
      <c r="E10" s="423" t="s">
        <v>3117</v>
      </c>
      <c r="F10" s="136">
        <f>SUMIF(59:59,E10,60:60)-SUMIF(59:59,C10,60:60)+100</f>
        <v>100</v>
      </c>
      <c r="G10" s="423" t="s">
        <v>3117</v>
      </c>
      <c r="H10" s="136">
        <f>SUMIF(59:59,G10,60:60)-SUMIF(59:59,C10,60:60)+100</f>
        <v>100</v>
      </c>
      <c r="I10" s="423" t="s">
        <v>3117</v>
      </c>
      <c r="J10" s="136">
        <f>SUMIF(59:59,I10,60:60)-SUMIF(59:59,C10,60:60)+100</f>
        <v>100</v>
      </c>
      <c r="K10" s="3315">
        <v>0</v>
      </c>
      <c r="L10" s="1137"/>
      <c r="M10" s="1138"/>
      <c r="N10" s="1138"/>
      <c r="O10" s="1139"/>
      <c r="P10" s="3229"/>
      <c r="Q10" s="2934" t="str">
        <f t="shared" si="6"/>
        <v>土地使用年限（年）</v>
      </c>
      <c r="R10" s="770" t="s">
        <v>17</v>
      </c>
      <c r="S10" s="771">
        <f t="shared" si="0"/>
        <v>100</v>
      </c>
      <c r="T10" s="770" t="s">
        <v>17</v>
      </c>
      <c r="U10" s="771">
        <f t="shared" si="1"/>
        <v>100</v>
      </c>
      <c r="V10" s="770" t="s">
        <v>17</v>
      </c>
      <c r="W10" s="771">
        <f t="shared" si="2"/>
        <v>100</v>
      </c>
      <c r="X10" s="772"/>
      <c r="Y10" s="3024"/>
      <c r="Z10" s="2935" t="str">
        <f t="shared" si="7"/>
        <v>土地使用年限（年）</v>
      </c>
      <c r="AA10" s="773">
        <f t="shared" si="3"/>
        <v>1</v>
      </c>
      <c r="AB10" s="773">
        <f t="shared" si="4"/>
        <v>1</v>
      </c>
      <c r="AC10" s="773">
        <f t="shared" si="5"/>
        <v>1</v>
      </c>
    </row>
    <row r="11" spans="1:29" ht="15.75" hidden="1" thickBot="1">
      <c r="A11" s="428"/>
      <c r="B11" s="2936" t="s">
        <v>2546</v>
      </c>
      <c r="C11" s="429">
        <v>1</v>
      </c>
      <c r="D11" s="136">
        <v>100</v>
      </c>
      <c r="E11" s="429">
        <v>1</v>
      </c>
      <c r="F11" s="136">
        <f>LOOKUP(E11,62:62,63:63)-LOOKUP(C11,62:62,63:63)+100</f>
        <v>100</v>
      </c>
      <c r="G11" s="429">
        <v>1</v>
      </c>
      <c r="H11" s="136">
        <f>LOOKUP(G11,62:62,63:63)-LOOKUP(C11,62:62,63:63)+100</f>
        <v>100</v>
      </c>
      <c r="I11" s="429">
        <v>1</v>
      </c>
      <c r="J11" s="136">
        <f>LOOKUP(I11,62:62,63:63)-LOOKUP(C11,62:62,63:63)+100</f>
        <v>100</v>
      </c>
      <c r="K11" s="612">
        <v>0</v>
      </c>
      <c r="L11" s="1140"/>
      <c r="M11" s="1133"/>
      <c r="N11" s="1133"/>
      <c r="O11" s="1141"/>
      <c r="P11" s="3229"/>
      <c r="Q11" s="2934" t="str">
        <f t="shared" si="6"/>
        <v>容积率</v>
      </c>
      <c r="R11" s="770" t="s">
        <v>17</v>
      </c>
      <c r="S11" s="771">
        <f t="shared" si="0"/>
        <v>100</v>
      </c>
      <c r="T11" s="770" t="s">
        <v>17</v>
      </c>
      <c r="U11" s="771">
        <f t="shared" si="1"/>
        <v>100</v>
      </c>
      <c r="V11" s="770" t="s">
        <v>17</v>
      </c>
      <c r="W11" s="771">
        <f t="shared" si="2"/>
        <v>100</v>
      </c>
      <c r="X11" s="772"/>
      <c r="Y11" s="3024"/>
      <c r="Z11" s="2935" t="str">
        <f t="shared" si="7"/>
        <v>容积率</v>
      </c>
      <c r="AA11" s="773">
        <f t="shared" si="3"/>
        <v>1</v>
      </c>
      <c r="AB11" s="773">
        <f t="shared" si="4"/>
        <v>1</v>
      </c>
      <c r="AC11" s="773">
        <f t="shared" si="5"/>
        <v>1</v>
      </c>
    </row>
    <row r="12" spans="1:29" s="117" customFormat="1" ht="15.75" hidden="1" thickBot="1">
      <c r="A12" s="431"/>
      <c r="B12" s="2596">
        <v>111</v>
      </c>
      <c r="C12" s="432"/>
      <c r="D12" s="433">
        <v>100</v>
      </c>
      <c r="E12" s="434"/>
      <c r="F12" s="136">
        <f>SUMIF(64:64,E12,65:65)-SUMIF(64:64,C12,65:65)+100</f>
        <v>100</v>
      </c>
      <c r="G12" s="2688"/>
      <c r="H12" s="136">
        <f>SUMIF(64:64,G12,65:65)-SUMIF(64:64,C12,65:65)+100</f>
        <v>100</v>
      </c>
      <c r="I12" s="469"/>
      <c r="J12" s="136">
        <f>SUMIF(64:64,I12,65:65)-SUMIF(64:64,C12,65:65)+100</f>
        <v>100</v>
      </c>
      <c r="K12" s="613"/>
      <c r="L12" s="1134"/>
      <c r="M12" s="1135"/>
      <c r="N12" s="1135"/>
      <c r="O12" s="1136"/>
      <c r="P12" s="3229"/>
      <c r="Q12" s="2934">
        <f t="shared" si="6"/>
        <v>111</v>
      </c>
      <c r="R12" s="770" t="s">
        <v>17</v>
      </c>
      <c r="S12" s="771">
        <f t="shared" si="0"/>
        <v>100</v>
      </c>
      <c r="T12" s="770" t="s">
        <v>17</v>
      </c>
      <c r="U12" s="771">
        <f t="shared" si="1"/>
        <v>100</v>
      </c>
      <c r="V12" s="770" t="s">
        <v>17</v>
      </c>
      <c r="W12" s="771">
        <f t="shared" si="2"/>
        <v>100</v>
      </c>
      <c r="X12" s="772"/>
      <c r="Y12" s="3024"/>
      <c r="Z12" s="2935">
        <f t="shared" si="7"/>
        <v>111</v>
      </c>
      <c r="AA12" s="773">
        <f>D12/F12</f>
        <v>1</v>
      </c>
      <c r="AB12" s="773">
        <f>D12/H12</f>
        <v>1</v>
      </c>
      <c r="AC12" s="773">
        <f>D12/J12</f>
        <v>1</v>
      </c>
    </row>
    <row r="13" spans="1:29" ht="15.75" hidden="1" thickBot="1">
      <c r="A13" s="428"/>
      <c r="B13" s="2596">
        <v>111</v>
      </c>
      <c r="C13" s="434"/>
      <c r="D13" s="435">
        <v>100</v>
      </c>
      <c r="E13" s="434"/>
      <c r="F13" s="136">
        <f>SUMIF(66:66,E13,67:67)-SUMIF(66:66,C13,67:67)+100</f>
        <v>100</v>
      </c>
      <c r="G13" s="2688"/>
      <c r="H13" s="435">
        <f>SUMIF(66:66,G13,67:67)-SUMIF(66:66,C13,67:67)+100</f>
        <v>100</v>
      </c>
      <c r="I13" s="469"/>
      <c r="J13" s="435">
        <f>SUMIF(66:66,I13,67:67)-SUMIF(66:66,C13,67:67)+100</f>
        <v>100</v>
      </c>
      <c r="K13" s="613"/>
      <c r="L13" s="1142"/>
      <c r="M13" s="1133"/>
      <c r="N13" s="1133"/>
      <c r="O13" s="1141"/>
      <c r="P13" s="3229"/>
      <c r="Q13" s="2934">
        <f t="shared" si="6"/>
        <v>111</v>
      </c>
      <c r="R13" s="770" t="s">
        <v>17</v>
      </c>
      <c r="S13" s="771">
        <f t="shared" si="0"/>
        <v>100</v>
      </c>
      <c r="T13" s="770" t="s">
        <v>17</v>
      </c>
      <c r="U13" s="771">
        <f t="shared" si="1"/>
        <v>100</v>
      </c>
      <c r="V13" s="770" t="s">
        <v>17</v>
      </c>
      <c r="W13" s="771">
        <f t="shared" si="2"/>
        <v>100</v>
      </c>
      <c r="X13" s="772"/>
      <c r="Y13" s="3024"/>
      <c r="Z13" s="2935">
        <f t="shared" si="7"/>
        <v>111</v>
      </c>
      <c r="AA13" s="773">
        <f t="shared" si="3"/>
        <v>1</v>
      </c>
      <c r="AB13" s="773">
        <f t="shared" si="4"/>
        <v>1</v>
      </c>
      <c r="AC13" s="773">
        <f t="shared" si="5"/>
        <v>1</v>
      </c>
    </row>
    <row r="14" spans="1:29" ht="15.75" hidden="1" thickBot="1">
      <c r="A14" s="436"/>
      <c r="B14" s="2598">
        <v>111</v>
      </c>
      <c r="C14" s="437"/>
      <c r="D14" s="438">
        <v>100</v>
      </c>
      <c r="E14" s="437"/>
      <c r="F14" s="438">
        <f>SUMIF(68:68,E14,69:69)-SUMIF(68:68,C14,69:69)+100</f>
        <v>100</v>
      </c>
      <c r="G14" s="2688"/>
      <c r="H14" s="438">
        <f>SUMIF(68:68,G14,69:69)-SUMIF(68:68,C14,69:69)+100</f>
        <v>100</v>
      </c>
      <c r="I14" s="469"/>
      <c r="J14" s="438">
        <f>SUMIF(68:68,I14,69:69)-SUMIF(68:68,C14,69:69)+100</f>
        <v>100</v>
      </c>
      <c r="K14" s="613"/>
      <c r="L14" s="1142"/>
      <c r="M14" s="1133"/>
      <c r="N14" s="1133"/>
      <c r="O14" s="1141"/>
      <c r="P14" s="3229"/>
      <c r="Q14" s="2934">
        <f t="shared" si="6"/>
        <v>111</v>
      </c>
      <c r="R14" s="770" t="s">
        <v>17</v>
      </c>
      <c r="S14" s="771">
        <f t="shared" si="0"/>
        <v>100</v>
      </c>
      <c r="T14" s="770" t="s">
        <v>17</v>
      </c>
      <c r="U14" s="771">
        <f t="shared" si="1"/>
        <v>100</v>
      </c>
      <c r="V14" s="770" t="s">
        <v>17</v>
      </c>
      <c r="W14" s="771">
        <f t="shared" si="2"/>
        <v>100</v>
      </c>
      <c r="X14" s="772"/>
      <c r="Y14" s="3024"/>
      <c r="Z14" s="2935">
        <f t="shared" si="7"/>
        <v>111</v>
      </c>
      <c r="AA14" s="773">
        <f t="shared" si="3"/>
        <v>1</v>
      </c>
      <c r="AB14" s="773">
        <f t="shared" si="4"/>
        <v>1</v>
      </c>
      <c r="AC14" s="773">
        <f t="shared" si="5"/>
        <v>1</v>
      </c>
    </row>
    <row r="15" spans="1:29" ht="42.75">
      <c r="A15" s="440" t="s">
        <v>2547</v>
      </c>
      <c r="B15" s="69" t="s">
        <v>2691</v>
      </c>
      <c r="C15" s="2689" t="str">
        <f>估价对象房地状况!G3</f>
        <v>估价对象位于中关村兴业创业园，园区建设成熟度较好，产业集聚程度较好</v>
      </c>
      <c r="D15" s="441">
        <v>100</v>
      </c>
      <c r="E15" s="442"/>
      <c r="F15" s="443">
        <f>SUMIF(70:70,E16,71:71)-SUMIF(70:70,C16,71:71)+100</f>
        <v>100</v>
      </c>
      <c r="G15" s="444"/>
      <c r="H15" s="441">
        <f>SUMIF(70:70,G16,71:71)-SUMIF(70:70,C16,71:71)+100</f>
        <v>100</v>
      </c>
      <c r="I15" s="442"/>
      <c r="J15" s="441">
        <f>SUMIF(70:70,I16,71:71)-SUMIF(70:70,C16,71:71)+100</f>
        <v>100</v>
      </c>
      <c r="K15" s="612">
        <f>'比较法-工业'!K15</f>
        <v>2</v>
      </c>
      <c r="L15" s="1142"/>
      <c r="M15" s="1133"/>
      <c r="N15" s="1133"/>
      <c r="O15" s="1141"/>
      <c r="P15" s="3231" t="s">
        <v>2548</v>
      </c>
      <c r="Q15" s="2937" t="str">
        <f t="shared" si="6"/>
        <v>产业集聚程度</v>
      </c>
      <c r="R15" s="774" t="s">
        <v>17</v>
      </c>
      <c r="S15" s="775">
        <f t="shared" si="0"/>
        <v>100</v>
      </c>
      <c r="T15" s="774" t="s">
        <v>17</v>
      </c>
      <c r="U15" s="775">
        <f t="shared" si="1"/>
        <v>100</v>
      </c>
      <c r="V15" s="774" t="s">
        <v>17</v>
      </c>
      <c r="W15" s="775">
        <f t="shared" si="2"/>
        <v>100</v>
      </c>
      <c r="X15" s="2939"/>
      <c r="Y15" s="3231" t="s">
        <v>2548</v>
      </c>
      <c r="Z15" s="2940" t="str">
        <f t="shared" si="7"/>
        <v>产业集聚程度</v>
      </c>
      <c r="AA15" s="2938">
        <f t="shared" si="3"/>
        <v>1</v>
      </c>
      <c r="AB15" s="2938">
        <f t="shared" si="4"/>
        <v>1</v>
      </c>
      <c r="AC15" s="2938">
        <f t="shared" si="5"/>
        <v>1</v>
      </c>
    </row>
    <row r="16" spans="1:29" ht="15">
      <c r="A16" s="428"/>
      <c r="B16" s="446"/>
      <c r="C16" s="447" t="s">
        <v>3118</v>
      </c>
      <c r="D16" s="448"/>
      <c r="E16" s="447" t="s">
        <v>3118</v>
      </c>
      <c r="F16" s="449"/>
      <c r="G16" s="447" t="s">
        <v>3118</v>
      </c>
      <c r="H16" s="450"/>
      <c r="I16" s="447" t="s">
        <v>3118</v>
      </c>
      <c r="J16" s="448"/>
      <c r="K16" s="615"/>
      <c r="L16" s="1142"/>
      <c r="M16" s="1133"/>
      <c r="N16" s="1133"/>
      <c r="O16" s="1141"/>
      <c r="P16" s="3232"/>
      <c r="Q16" s="2937"/>
      <c r="R16" s="774"/>
      <c r="S16" s="775"/>
      <c r="T16" s="774"/>
      <c r="U16" s="775"/>
      <c r="V16" s="774"/>
      <c r="W16" s="775"/>
      <c r="X16" s="2939"/>
      <c r="Y16" s="3232"/>
      <c r="Z16" s="2940"/>
      <c r="AA16" s="2938">
        <v>1</v>
      </c>
      <c r="AB16" s="2938">
        <v>1</v>
      </c>
      <c r="AC16" s="2938">
        <v>1</v>
      </c>
    </row>
    <row r="17" spans="1:29" ht="57">
      <c r="A17" s="428"/>
      <c r="B17" s="451" t="s">
        <v>2089</v>
      </c>
      <c r="C17" s="2603" t="str">
        <f>估价对象房地状况!G4</f>
        <v>估价对象周边道路状况较好、公共交通通达情况一般、停车便捷程度一般，综合评价交通便捷度一般</v>
      </c>
      <c r="D17" s="450">
        <v>100</v>
      </c>
      <c r="E17" s="452"/>
      <c r="F17" s="453">
        <f>SUMIF(72:72,E18,73:73)-SUMIF(72:72,C18,73:73)+100</f>
        <v>101</v>
      </c>
      <c r="G17" s="454"/>
      <c r="H17" s="455">
        <f>SUMIF(72:72,G18,73:73)-SUMIF(72:72,C18,73:73)+100</f>
        <v>101</v>
      </c>
      <c r="I17" s="452"/>
      <c r="J17" s="455">
        <f>SUMIF(72:72,I18,73:73)-SUMIF(72:72,C18,73:73)+100</f>
        <v>100</v>
      </c>
      <c r="K17" s="612">
        <f>'比较法-工业'!K17</f>
        <v>1</v>
      </c>
      <c r="L17" s="1142"/>
      <c r="M17" s="1133"/>
      <c r="N17" s="1133"/>
      <c r="O17" s="1141"/>
      <c r="P17" s="3232"/>
      <c r="Q17" s="2937" t="str">
        <f>B17</f>
        <v>交通便捷度</v>
      </c>
      <c r="R17" s="774" t="s">
        <v>17</v>
      </c>
      <c r="S17" s="775">
        <f>F17</f>
        <v>101</v>
      </c>
      <c r="T17" s="774" t="s">
        <v>17</v>
      </c>
      <c r="U17" s="775">
        <f>H17</f>
        <v>101</v>
      </c>
      <c r="V17" s="774" t="s">
        <v>17</v>
      </c>
      <c r="W17" s="775">
        <f>J17</f>
        <v>100</v>
      </c>
      <c r="X17" s="2939"/>
      <c r="Y17" s="3232"/>
      <c r="Z17" s="2940" t="str">
        <f>Q17</f>
        <v>交通便捷度</v>
      </c>
      <c r="AA17" s="2938">
        <f t="shared" si="3"/>
        <v>0.99009900990099009</v>
      </c>
      <c r="AB17" s="2938">
        <f t="shared" si="4"/>
        <v>0.99009900990099009</v>
      </c>
      <c r="AC17" s="2938">
        <f t="shared" si="5"/>
        <v>1</v>
      </c>
    </row>
    <row r="18" spans="1:29" ht="15">
      <c r="A18" s="428"/>
      <c r="B18" s="456"/>
      <c r="C18" s="2604" t="s">
        <v>3119</v>
      </c>
      <c r="D18" s="450"/>
      <c r="E18" s="2604" t="s">
        <v>3118</v>
      </c>
      <c r="F18" s="453"/>
      <c r="G18" s="2604" t="s">
        <v>3118</v>
      </c>
      <c r="H18" s="448"/>
      <c r="I18" s="2604" t="s">
        <v>3119</v>
      </c>
      <c r="J18" s="448"/>
      <c r="K18" s="615"/>
      <c r="L18" s="1142"/>
      <c r="M18" s="1133"/>
      <c r="N18" s="1133"/>
      <c r="O18" s="1141"/>
      <c r="P18" s="3232"/>
      <c r="Q18" s="2937"/>
      <c r="R18" s="774"/>
      <c r="S18" s="775"/>
      <c r="T18" s="774"/>
      <c r="U18" s="775"/>
      <c r="V18" s="774"/>
      <c r="W18" s="775"/>
      <c r="X18" s="2939"/>
      <c r="Y18" s="3232"/>
      <c r="Z18" s="2940"/>
      <c r="AA18" s="2938">
        <v>1</v>
      </c>
      <c r="AB18" s="2938">
        <v>1</v>
      </c>
      <c r="AC18" s="2938">
        <v>1</v>
      </c>
    </row>
    <row r="19" spans="1:29" ht="63.75" customHeight="1">
      <c r="A19" s="428"/>
      <c r="B19" s="451" t="s">
        <v>2676</v>
      </c>
      <c r="C19" s="2603" t="str">
        <f>估价对象房地状况!G5</f>
        <v>估价对象所在区域公共配套设施有农村商业银行、上海浦东发展银行、世纪华联、容中超市、中国石油大学附属中学、昌平五中等，齐备情况较好</v>
      </c>
      <c r="D19" s="455">
        <v>100</v>
      </c>
      <c r="E19" s="457"/>
      <c r="F19" s="458">
        <f>SUMIF(74:74,E20,75:75)-SUMIF(74:74,C20,75:75)+100</f>
        <v>100</v>
      </c>
      <c r="G19" s="459"/>
      <c r="H19" s="450">
        <f>SUMIF(74:74,G20,75:75)-SUMIF(74:74,C20,75:75)+100</f>
        <v>100</v>
      </c>
      <c r="I19" s="457"/>
      <c r="J19" s="450">
        <f>SUMIF(74:74,I20,75:75)-SUMIF(74:74,C20,75:75)+100</f>
        <v>100</v>
      </c>
      <c r="K19" s="612">
        <f>'比较法-工业'!K19</f>
        <v>2</v>
      </c>
      <c r="L19" s="1142"/>
      <c r="M19" s="1133"/>
      <c r="N19" s="1133"/>
      <c r="O19" s="1141"/>
      <c r="P19" s="3232"/>
      <c r="Q19" s="2937" t="str">
        <f>B19</f>
        <v>公共配套设施</v>
      </c>
      <c r="R19" s="774" t="s">
        <v>17</v>
      </c>
      <c r="S19" s="775">
        <f>F19</f>
        <v>100</v>
      </c>
      <c r="T19" s="774" t="s">
        <v>17</v>
      </c>
      <c r="U19" s="775">
        <f>H19</f>
        <v>100</v>
      </c>
      <c r="V19" s="774" t="s">
        <v>17</v>
      </c>
      <c r="W19" s="775">
        <f>J19</f>
        <v>100</v>
      </c>
      <c r="X19" s="2939"/>
      <c r="Y19" s="3232"/>
      <c r="Z19" s="2940" t="str">
        <f>Q19</f>
        <v>公共配套设施</v>
      </c>
      <c r="AA19" s="2938">
        <f t="shared" si="3"/>
        <v>1</v>
      </c>
      <c r="AB19" s="2938">
        <f t="shared" si="4"/>
        <v>1</v>
      </c>
      <c r="AC19" s="2938">
        <f t="shared" si="5"/>
        <v>1</v>
      </c>
    </row>
    <row r="20" spans="1:29" ht="15">
      <c r="A20" s="428"/>
      <c r="B20" s="456"/>
      <c r="C20" s="447" t="s">
        <v>3118</v>
      </c>
      <c r="D20" s="448"/>
      <c r="E20" s="447" t="s">
        <v>3118</v>
      </c>
      <c r="F20" s="449"/>
      <c r="G20" s="447" t="s">
        <v>3118</v>
      </c>
      <c r="H20" s="448"/>
      <c r="I20" s="447" t="s">
        <v>3118</v>
      </c>
      <c r="J20" s="448"/>
      <c r="K20" s="615"/>
      <c r="L20" s="1142"/>
      <c r="M20" s="1133"/>
      <c r="N20" s="1133"/>
      <c r="O20" s="1141"/>
      <c r="P20" s="3232"/>
      <c r="Q20" s="2937"/>
      <c r="R20" s="774"/>
      <c r="S20" s="775"/>
      <c r="T20" s="774"/>
      <c r="U20" s="775"/>
      <c r="V20" s="774"/>
      <c r="W20" s="775"/>
      <c r="X20" s="2939"/>
      <c r="Y20" s="3232"/>
      <c r="Z20" s="2940"/>
      <c r="AA20" s="2938">
        <v>1</v>
      </c>
      <c r="AB20" s="2938">
        <v>1</v>
      </c>
      <c r="AC20" s="2938">
        <v>1</v>
      </c>
    </row>
    <row r="21" spans="1:29" ht="28.5">
      <c r="A21" s="428"/>
      <c r="B21" s="1386" t="s">
        <v>2677</v>
      </c>
      <c r="C21" s="2603" t="str">
        <f>估价对象房地状况!G6</f>
        <v>估价对象所在区域基础设施水平七通</v>
      </c>
      <c r="D21" s="450">
        <v>100</v>
      </c>
      <c r="E21" s="457"/>
      <c r="F21" s="458">
        <f>SUMIF(76:76,E22,77:77)-SUMIF(76:76,C22,77:77)+100</f>
        <v>100</v>
      </c>
      <c r="G21" s="459"/>
      <c r="H21" s="450">
        <f>SUMIF(76:76,G22,77:77)-SUMIF(76:76,C22,77:77)+100</f>
        <v>100</v>
      </c>
      <c r="I21" s="457"/>
      <c r="J21" s="450">
        <f>SUMIF(76:76,I22,77:77)-SUMIF(76:76,C22,77:77)+100</f>
        <v>100</v>
      </c>
      <c r="K21" s="612">
        <f>'比较法-工业'!K21</f>
        <v>1</v>
      </c>
      <c r="L21" s="1142"/>
      <c r="M21" s="1133"/>
      <c r="N21" s="1133"/>
      <c r="O21" s="1141"/>
      <c r="P21" s="3232"/>
      <c r="Q21" s="2937" t="str">
        <f>B21</f>
        <v>基础设施水平</v>
      </c>
      <c r="R21" s="774" t="s">
        <v>17</v>
      </c>
      <c r="S21" s="775">
        <f>F21</f>
        <v>100</v>
      </c>
      <c r="T21" s="774" t="s">
        <v>17</v>
      </c>
      <c r="U21" s="775">
        <f>H21</f>
        <v>100</v>
      </c>
      <c r="V21" s="774" t="s">
        <v>17</v>
      </c>
      <c r="W21" s="775">
        <f>J21</f>
        <v>100</v>
      </c>
      <c r="X21" s="2939"/>
      <c r="Y21" s="3232"/>
      <c r="Z21" s="2940" t="str">
        <f>Q21</f>
        <v>基础设施水平</v>
      </c>
      <c r="AA21" s="2938">
        <f t="shared" ref="AA21" si="8">D21/F21</f>
        <v>1</v>
      </c>
      <c r="AB21" s="2938">
        <f t="shared" ref="AB21" si="9">D21/H21</f>
        <v>1</v>
      </c>
      <c r="AC21" s="2938">
        <f t="shared" ref="AC21" si="10">D21/J21</f>
        <v>1</v>
      </c>
    </row>
    <row r="22" spans="1:29" ht="15">
      <c r="A22" s="428"/>
      <c r="B22" s="1386"/>
      <c r="C22" s="2604" t="s">
        <v>3120</v>
      </c>
      <c r="D22" s="448"/>
      <c r="E22" s="2604" t="s">
        <v>3120</v>
      </c>
      <c r="F22" s="449"/>
      <c r="G22" s="2604" t="s">
        <v>3120</v>
      </c>
      <c r="H22" s="448"/>
      <c r="I22" s="2604" t="s">
        <v>3120</v>
      </c>
      <c r="J22" s="448"/>
      <c r="K22" s="1385"/>
      <c r="L22" s="1142"/>
      <c r="M22" s="1133"/>
      <c r="N22" s="1133"/>
      <c r="O22" s="1141"/>
      <c r="P22" s="3232"/>
      <c r="Q22" s="2937"/>
      <c r="R22" s="774"/>
      <c r="S22" s="775"/>
      <c r="T22" s="774"/>
      <c r="U22" s="775"/>
      <c r="V22" s="774"/>
      <c r="W22" s="775"/>
      <c r="X22" s="2939"/>
      <c r="Y22" s="3232"/>
      <c r="Z22" s="2940"/>
      <c r="AA22" s="2938">
        <v>1</v>
      </c>
      <c r="AB22" s="2938">
        <v>1</v>
      </c>
      <c r="AC22" s="2938">
        <v>1</v>
      </c>
    </row>
    <row r="23" spans="1:29" ht="42.75">
      <c r="A23" s="428"/>
      <c r="B23" s="451" t="s">
        <v>2678</v>
      </c>
      <c r="C23" s="2603" t="str">
        <f>估价对象房地状况!G7</f>
        <v>该园区内是否有污染型企业，绿化情况，卫生条件，整体环境状况判断，较好</v>
      </c>
      <c r="D23" s="450">
        <v>100</v>
      </c>
      <c r="E23" s="452"/>
      <c r="F23" s="453">
        <f>SUMIF(78:78,E24,79:79)-SUMIF(78:78,C24,79:79)+100</f>
        <v>100</v>
      </c>
      <c r="G23" s="454"/>
      <c r="H23" s="450">
        <f>SUMIF(78:78,G24,79:79)-SUMIF(78:78,C24,79:79)+100</f>
        <v>100</v>
      </c>
      <c r="I23" s="452"/>
      <c r="J23" s="450">
        <f>SUMIF(78:78,I24,79:79)-SUMIF(78:78,C24,79:79)+100</f>
        <v>100</v>
      </c>
      <c r="K23" s="612">
        <f>'比较法-工业'!K23</f>
        <v>2</v>
      </c>
      <c r="L23" s="1142"/>
      <c r="M23" s="1133"/>
      <c r="N23" s="1133"/>
      <c r="O23" s="1141"/>
      <c r="P23" s="3232"/>
      <c r="Q23" s="2937" t="str">
        <f>B23</f>
        <v>环境质量</v>
      </c>
      <c r="R23" s="774" t="s">
        <v>17</v>
      </c>
      <c r="S23" s="775">
        <f>F23</f>
        <v>100</v>
      </c>
      <c r="T23" s="774" t="s">
        <v>17</v>
      </c>
      <c r="U23" s="775">
        <f>H23</f>
        <v>100</v>
      </c>
      <c r="V23" s="774" t="s">
        <v>17</v>
      </c>
      <c r="W23" s="775">
        <f>J23</f>
        <v>100</v>
      </c>
      <c r="X23" s="2939"/>
      <c r="Y23" s="3232"/>
      <c r="Z23" s="2940" t="str">
        <f>Q23</f>
        <v>环境质量</v>
      </c>
      <c r="AA23" s="2938">
        <f t="shared" si="3"/>
        <v>1</v>
      </c>
      <c r="AB23" s="2938">
        <f t="shared" si="4"/>
        <v>1</v>
      </c>
      <c r="AC23" s="2938">
        <f t="shared" si="5"/>
        <v>1</v>
      </c>
    </row>
    <row r="24" spans="1:29" ht="15.75" thickBot="1">
      <c r="A24" s="428"/>
      <c r="B24" s="1386"/>
      <c r="C24" s="447" t="s">
        <v>3118</v>
      </c>
      <c r="D24" s="448"/>
      <c r="E24" s="447" t="s">
        <v>3118</v>
      </c>
      <c r="F24" s="449"/>
      <c r="G24" s="447" t="s">
        <v>3118</v>
      </c>
      <c r="H24" s="448"/>
      <c r="I24" s="447" t="s">
        <v>3118</v>
      </c>
      <c r="J24" s="448"/>
      <c r="K24" s="615"/>
      <c r="L24" s="1142"/>
      <c r="M24" s="1133"/>
      <c r="N24" s="1133"/>
      <c r="O24" s="1141"/>
      <c r="P24" s="3232"/>
      <c r="Q24" s="2937"/>
      <c r="R24" s="774"/>
      <c r="S24" s="775"/>
      <c r="T24" s="774"/>
      <c r="U24" s="775"/>
      <c r="V24" s="774"/>
      <c r="W24" s="775"/>
      <c r="X24" s="2939"/>
      <c r="Y24" s="3232"/>
      <c r="Z24" s="2940"/>
      <c r="AA24" s="2938">
        <v>1</v>
      </c>
      <c r="AB24" s="2938">
        <v>1</v>
      </c>
      <c r="AC24" s="2938">
        <v>1</v>
      </c>
    </row>
    <row r="25" spans="1:29" ht="15.75" hidden="1" thickBot="1">
      <c r="A25" s="404"/>
      <c r="B25" s="1388">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2"/>
      <c r="M25" s="1133"/>
      <c r="N25" s="1133"/>
      <c r="O25" s="1141"/>
      <c r="P25" s="3232"/>
      <c r="Q25" s="2937">
        <f>B25</f>
        <v>111</v>
      </c>
      <c r="R25" s="774" t="s">
        <v>17</v>
      </c>
      <c r="S25" s="775">
        <f>F25</f>
        <v>100</v>
      </c>
      <c r="T25" s="774" t="s">
        <v>17</v>
      </c>
      <c r="U25" s="775">
        <f>H25</f>
        <v>100</v>
      </c>
      <c r="V25" s="774" t="s">
        <v>17</v>
      </c>
      <c r="W25" s="775">
        <f>J25</f>
        <v>100</v>
      </c>
      <c r="X25" s="2939"/>
      <c r="Y25" s="3232"/>
      <c r="Z25" s="2940">
        <f>Q25</f>
        <v>111</v>
      </c>
      <c r="AA25" s="2938">
        <f t="shared" si="3"/>
        <v>1</v>
      </c>
      <c r="AB25" s="2938">
        <f t="shared" si="4"/>
        <v>1</v>
      </c>
      <c r="AC25" s="2938">
        <f t="shared" si="5"/>
        <v>1</v>
      </c>
    </row>
    <row r="26" spans="1:29" ht="15.75" hidden="1" thickBot="1">
      <c r="A26" s="428"/>
      <c r="B26" s="1388">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2"/>
      <c r="M26" s="1133"/>
      <c r="N26" s="1133"/>
      <c r="O26" s="1141"/>
      <c r="P26" s="3232"/>
      <c r="Q26" s="2937">
        <f t="shared" ref="Q26:Q40" si="11">B26</f>
        <v>111</v>
      </c>
      <c r="R26" s="774" t="s">
        <v>17</v>
      </c>
      <c r="S26" s="775">
        <f>F26</f>
        <v>100</v>
      </c>
      <c r="T26" s="774" t="s">
        <v>17</v>
      </c>
      <c r="U26" s="775">
        <f>H26</f>
        <v>100</v>
      </c>
      <c r="V26" s="774" t="s">
        <v>17</v>
      </c>
      <c r="W26" s="775">
        <f>J26</f>
        <v>100</v>
      </c>
      <c r="X26" s="2939"/>
      <c r="Y26" s="3232"/>
      <c r="Z26" s="2940">
        <f>Q26</f>
        <v>111</v>
      </c>
      <c r="AA26" s="2938">
        <f t="shared" si="3"/>
        <v>1</v>
      </c>
      <c r="AB26" s="2938">
        <f t="shared" si="4"/>
        <v>1</v>
      </c>
      <c r="AC26" s="2938">
        <f t="shared" si="5"/>
        <v>1</v>
      </c>
    </row>
    <row r="27" spans="1:29" s="117" customFormat="1" ht="15.75" hidden="1" thickBot="1">
      <c r="A27" s="431"/>
      <c r="B27" s="1388">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4"/>
      <c r="M27" s="1135"/>
      <c r="N27" s="1135"/>
      <c r="O27" s="1136"/>
      <c r="P27" s="3232"/>
      <c r="Q27" s="2934">
        <f t="shared" si="11"/>
        <v>111</v>
      </c>
      <c r="R27" s="770" t="s">
        <v>17</v>
      </c>
      <c r="S27" s="771">
        <f>F27</f>
        <v>100</v>
      </c>
      <c r="T27" s="770" t="s">
        <v>17</v>
      </c>
      <c r="U27" s="771">
        <f>H27</f>
        <v>100</v>
      </c>
      <c r="V27" s="770" t="s">
        <v>17</v>
      </c>
      <c r="W27" s="771">
        <f>J27</f>
        <v>100</v>
      </c>
      <c r="X27" s="772"/>
      <c r="Y27" s="3232"/>
      <c r="Z27" s="2935">
        <f>Q27</f>
        <v>111</v>
      </c>
      <c r="AA27" s="2938">
        <f>D27/F27</f>
        <v>1</v>
      </c>
      <c r="AB27" s="2938">
        <f>D27/H27</f>
        <v>1</v>
      </c>
      <c r="AC27" s="2938">
        <f>D27/J27</f>
        <v>1</v>
      </c>
    </row>
    <row r="28" spans="1:29" ht="15.75" hidden="1" thickBot="1">
      <c r="A28" s="436"/>
      <c r="B28" s="1388">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2"/>
      <c r="M28" s="1133"/>
      <c r="N28" s="1133"/>
      <c r="O28" s="1141"/>
      <c r="P28" s="3232"/>
      <c r="Q28" s="2937">
        <f t="shared" si="11"/>
        <v>111</v>
      </c>
      <c r="R28" s="774" t="s">
        <v>17</v>
      </c>
      <c r="S28" s="775">
        <f t="shared" ref="S28:S40" si="12">F28</f>
        <v>100</v>
      </c>
      <c r="T28" s="774" t="s">
        <v>17</v>
      </c>
      <c r="U28" s="775">
        <f t="shared" ref="U28:U40" si="13">H28</f>
        <v>100</v>
      </c>
      <c r="V28" s="774" t="s">
        <v>17</v>
      </c>
      <c r="W28" s="775">
        <f t="shared" ref="W28:W40" si="14">J28</f>
        <v>100</v>
      </c>
      <c r="X28" s="2939"/>
      <c r="Y28" s="3232"/>
      <c r="Z28" s="2940">
        <f t="shared" ref="Z28:Z40" si="15">Q28</f>
        <v>111</v>
      </c>
      <c r="AA28" s="2938">
        <f t="shared" si="3"/>
        <v>1</v>
      </c>
      <c r="AB28" s="2938">
        <f t="shared" si="4"/>
        <v>1</v>
      </c>
      <c r="AC28" s="2938">
        <f t="shared" si="5"/>
        <v>1</v>
      </c>
    </row>
    <row r="29" spans="1:29" ht="15">
      <c r="A29" s="466" t="s">
        <v>2551</v>
      </c>
      <c r="B29" s="71" t="s">
        <v>2681</v>
      </c>
      <c r="C29" s="2675" t="s">
        <v>3121</v>
      </c>
      <c r="D29" s="467">
        <v>100</v>
      </c>
      <c r="E29" s="2675" t="s">
        <v>3121</v>
      </c>
      <c r="F29" s="461">
        <f>SUMIF(88:88,E29,89:89)-SUMIF(88:88,C29,89:89)+100</f>
        <v>100</v>
      </c>
      <c r="G29" s="2675" t="s">
        <v>3121</v>
      </c>
      <c r="H29" s="435">
        <f>SUMIF(88:88,G29,89:89)-SUMIF(88:88,C29,89:89)+100</f>
        <v>100</v>
      </c>
      <c r="I29" s="2675" t="s">
        <v>3121</v>
      </c>
      <c r="J29" s="467">
        <f>SUMIF(88:88,I29,89:89)-SUMIF(88:88,C29,89:89)+100</f>
        <v>100</v>
      </c>
      <c r="K29" s="612">
        <f>'比较法-工业'!K29</f>
        <v>2</v>
      </c>
      <c r="L29" s="1142"/>
      <c r="M29" s="1133"/>
      <c r="N29" s="1133"/>
      <c r="O29" s="1141"/>
      <c r="P29" s="3255" t="s">
        <v>2553</v>
      </c>
      <c r="Q29" s="2937" t="str">
        <f t="shared" si="11"/>
        <v>建筑类型</v>
      </c>
      <c r="R29" s="774" t="s">
        <v>17</v>
      </c>
      <c r="S29" s="775">
        <f t="shared" si="12"/>
        <v>100</v>
      </c>
      <c r="T29" s="774" t="s">
        <v>17</v>
      </c>
      <c r="U29" s="775">
        <f t="shared" si="13"/>
        <v>100</v>
      </c>
      <c r="V29" s="774" t="s">
        <v>17</v>
      </c>
      <c r="W29" s="775">
        <f t="shared" si="14"/>
        <v>100</v>
      </c>
      <c r="X29" s="2939"/>
      <c r="Y29" s="3236" t="s">
        <v>2553</v>
      </c>
      <c r="Z29" s="2940" t="str">
        <f t="shared" si="15"/>
        <v>建筑类型</v>
      </c>
      <c r="AA29" s="2938">
        <f t="shared" si="3"/>
        <v>1</v>
      </c>
      <c r="AB29" s="2938">
        <f t="shared" si="4"/>
        <v>1</v>
      </c>
      <c r="AC29" s="2938">
        <f t="shared" si="5"/>
        <v>1</v>
      </c>
    </row>
    <row r="30" spans="1:29" s="471" customFormat="1" ht="15">
      <c r="A30" s="468"/>
      <c r="B30" s="2936" t="s">
        <v>2554</v>
      </c>
      <c r="C30" s="469">
        <f>'数据-汇总表'!E3</f>
        <v>1246.4000000000001</v>
      </c>
      <c r="D30" s="136">
        <v>100</v>
      </c>
      <c r="E30" s="430">
        <v>2100</v>
      </c>
      <c r="F30" s="425">
        <f>LOOKUP(E30,91:91,92:92)-LOOKUP(C30,91:91,92:92)+100</f>
        <v>96</v>
      </c>
      <c r="G30" s="429">
        <v>2700</v>
      </c>
      <c r="H30" s="136">
        <f>LOOKUP(G30,91:91,92:92)-LOOKUP(C30,91:91,92:92)+100</f>
        <v>96</v>
      </c>
      <c r="I30" s="429">
        <v>100</v>
      </c>
      <c r="J30" s="136">
        <f>LOOKUP(I30,91:91,92:92)-LOOKUP(C30,91:91,92:92)+100</f>
        <v>102</v>
      </c>
      <c r="K30" s="613"/>
      <c r="L30" s="1140"/>
      <c r="M30" s="1143"/>
      <c r="N30" s="1143"/>
      <c r="O30" s="1144"/>
      <c r="P30" s="3236"/>
      <c r="Q30" s="776" t="str">
        <f t="shared" si="11"/>
        <v>项目建筑规模</v>
      </c>
      <c r="R30" s="777" t="s">
        <v>17</v>
      </c>
      <c r="S30" s="778">
        <f t="shared" si="12"/>
        <v>96</v>
      </c>
      <c r="T30" s="777" t="s">
        <v>17</v>
      </c>
      <c r="U30" s="778">
        <f t="shared" si="13"/>
        <v>96</v>
      </c>
      <c r="V30" s="777" t="s">
        <v>17</v>
      </c>
      <c r="W30" s="778">
        <f t="shared" si="14"/>
        <v>102</v>
      </c>
      <c r="X30" s="779"/>
      <c r="Y30" s="3236"/>
      <c r="Z30" s="780" t="str">
        <f t="shared" si="15"/>
        <v>项目建筑规模</v>
      </c>
      <c r="AA30" s="2938">
        <f t="shared" si="3"/>
        <v>1.0416666666666667</v>
      </c>
      <c r="AB30" s="2938">
        <f t="shared" si="4"/>
        <v>1.0416666666666667</v>
      </c>
      <c r="AC30" s="2938">
        <f t="shared" si="5"/>
        <v>0.98039215686274506</v>
      </c>
    </row>
    <row r="31" spans="1:29" ht="15">
      <c r="A31" s="472"/>
      <c r="B31" s="2936" t="s">
        <v>2555</v>
      </c>
      <c r="C31" s="460" t="s">
        <v>3078</v>
      </c>
      <c r="D31" s="435">
        <v>100</v>
      </c>
      <c r="E31" s="460" t="s">
        <v>3078</v>
      </c>
      <c r="F31" s="461">
        <f>SUMIF(93:93,E31,94:94)-SUMIF(93:93,C31,94:94)+100</f>
        <v>100</v>
      </c>
      <c r="G31" s="460" t="s">
        <v>3078</v>
      </c>
      <c r="H31" s="435">
        <f>SUMIF(93:93,G31,94:94)-SUMIF(93:93,C31,94:94)+100</f>
        <v>100</v>
      </c>
      <c r="I31" s="460" t="s">
        <v>3078</v>
      </c>
      <c r="J31" s="435">
        <f>SUMIF(93:93,I31,94:94)-SUMIF(93:93,C31,94:94)+100</f>
        <v>100</v>
      </c>
      <c r="K31" s="612">
        <f>'比较法-工业'!K31</f>
        <v>2</v>
      </c>
      <c r="L31" s="1142"/>
      <c r="M31" s="1133"/>
      <c r="N31" s="1133"/>
      <c r="O31" s="1141"/>
      <c r="P31" s="3236"/>
      <c r="Q31" s="2937" t="str">
        <f t="shared" si="11"/>
        <v>建筑结构</v>
      </c>
      <c r="R31" s="774" t="s">
        <v>17</v>
      </c>
      <c r="S31" s="775">
        <f t="shared" si="12"/>
        <v>100</v>
      </c>
      <c r="T31" s="774" t="s">
        <v>17</v>
      </c>
      <c r="U31" s="775">
        <f t="shared" si="13"/>
        <v>100</v>
      </c>
      <c r="V31" s="774" t="s">
        <v>17</v>
      </c>
      <c r="W31" s="775">
        <f t="shared" si="14"/>
        <v>100</v>
      </c>
      <c r="X31" s="2939"/>
      <c r="Y31" s="3236"/>
      <c r="Z31" s="2940" t="str">
        <f t="shared" si="15"/>
        <v>建筑结构</v>
      </c>
      <c r="AA31" s="2938">
        <f t="shared" si="3"/>
        <v>1</v>
      </c>
      <c r="AB31" s="2938">
        <f t="shared" si="4"/>
        <v>1</v>
      </c>
      <c r="AC31" s="2938">
        <f t="shared" si="5"/>
        <v>1</v>
      </c>
    </row>
    <row r="32" spans="1:29" ht="15">
      <c r="A32" s="472"/>
      <c r="B32" s="2936" t="s">
        <v>2649</v>
      </c>
      <c r="C32" s="460" t="s">
        <v>3126</v>
      </c>
      <c r="D32" s="435">
        <v>100</v>
      </c>
      <c r="E32" s="460" t="s">
        <v>3126</v>
      </c>
      <c r="F32" s="461">
        <f>SUMIF(95:95,E32,96:96)-SUMIF(95:95,C32,96:96)+100</f>
        <v>100</v>
      </c>
      <c r="G32" s="460" t="s">
        <v>3126</v>
      </c>
      <c r="H32" s="435">
        <f>SUMIF(95:95,G32,96:96)-SUMIF(95:95,C32,96:96)+100</f>
        <v>100</v>
      </c>
      <c r="I32" s="460" t="s">
        <v>3126</v>
      </c>
      <c r="J32" s="435">
        <f>SUMIF(95:95,I32,96:96)-SUMIF(95:95,C32,96:96)+100</f>
        <v>100</v>
      </c>
      <c r="K32" s="612">
        <f>'比较法-工业'!K32</f>
        <v>1</v>
      </c>
      <c r="L32" s="1142"/>
      <c r="M32" s="1133"/>
      <c r="N32" s="1133"/>
      <c r="O32" s="1141"/>
      <c r="P32" s="3236"/>
      <c r="Q32" s="2937" t="str">
        <f t="shared" si="11"/>
        <v>公共部分装修</v>
      </c>
      <c r="R32" s="774" t="s">
        <v>17</v>
      </c>
      <c r="S32" s="775">
        <f t="shared" si="12"/>
        <v>100</v>
      </c>
      <c r="T32" s="774" t="s">
        <v>17</v>
      </c>
      <c r="U32" s="775">
        <f t="shared" si="13"/>
        <v>100</v>
      </c>
      <c r="V32" s="774" t="s">
        <v>17</v>
      </c>
      <c r="W32" s="775">
        <f t="shared" si="14"/>
        <v>100</v>
      </c>
      <c r="X32" s="2939"/>
      <c r="Y32" s="3236"/>
      <c r="Z32" s="2940" t="str">
        <f t="shared" si="15"/>
        <v>公共部分装修</v>
      </c>
      <c r="AA32" s="2938">
        <f t="shared" si="3"/>
        <v>1</v>
      </c>
      <c r="AB32" s="2938">
        <f t="shared" si="4"/>
        <v>1</v>
      </c>
      <c r="AC32" s="2938">
        <f t="shared" si="5"/>
        <v>1</v>
      </c>
    </row>
    <row r="33" spans="1:29" ht="15" hidden="1">
      <c r="A33" s="472"/>
      <c r="B33" s="2936" t="s">
        <v>2650</v>
      </c>
      <c r="C33" s="3313">
        <f>'数据-取费表'!N6</f>
        <v>0.95</v>
      </c>
      <c r="D33" s="435">
        <v>100</v>
      </c>
      <c r="E33" s="474">
        <f>ROUND(1-(1-0%)*(2018-2012)/60,2)</f>
        <v>0.9</v>
      </c>
      <c r="F33" s="461">
        <f>LOOKUP(E33,98:98,99:99)-LOOKUP(C33,98:98,99:99)+100</f>
        <v>100</v>
      </c>
      <c r="G33" s="474">
        <f>ROUND(1-(1-0%)*(2018-2012)/60,2)</f>
        <v>0.9</v>
      </c>
      <c r="H33" s="461">
        <f>LOOKUP(G33,98:98,99:99)-LOOKUP(C33,98:98,99:99)+100</f>
        <v>100</v>
      </c>
      <c r="I33" s="474">
        <f>C33</f>
        <v>0.95</v>
      </c>
      <c r="J33" s="435">
        <f>LOOKUP(I33,98:98,99:99)-LOOKUP(C33,98:98,99:99)+100</f>
        <v>100</v>
      </c>
      <c r="K33" s="3315">
        <v>0</v>
      </c>
      <c r="L33" s="1142"/>
      <c r="M33" s="1133"/>
      <c r="N33" s="1133"/>
      <c r="O33" s="1141"/>
      <c r="P33" s="3236"/>
      <c r="Q33" s="2937" t="str">
        <f t="shared" si="11"/>
        <v>成新度</v>
      </c>
      <c r="R33" s="774" t="s">
        <v>17</v>
      </c>
      <c r="S33" s="775">
        <f t="shared" si="12"/>
        <v>100</v>
      </c>
      <c r="T33" s="774" t="s">
        <v>17</v>
      </c>
      <c r="U33" s="775">
        <f t="shared" si="13"/>
        <v>100</v>
      </c>
      <c r="V33" s="774" t="s">
        <v>17</v>
      </c>
      <c r="W33" s="775">
        <f t="shared" si="14"/>
        <v>100</v>
      </c>
      <c r="X33" s="2939"/>
      <c r="Y33" s="3236"/>
      <c r="Z33" s="2940" t="str">
        <f t="shared" si="15"/>
        <v>成新度</v>
      </c>
      <c r="AA33" s="2938">
        <f t="shared" si="3"/>
        <v>1</v>
      </c>
      <c r="AB33" s="2938">
        <f t="shared" si="4"/>
        <v>1</v>
      </c>
      <c r="AC33" s="2938">
        <f t="shared" si="5"/>
        <v>1</v>
      </c>
    </row>
    <row r="34" spans="1:29" s="117" customFormat="1" ht="15">
      <c r="A34" s="473"/>
      <c r="B34" s="2936" t="s">
        <v>2683</v>
      </c>
      <c r="C34" s="460" t="s">
        <v>3132</v>
      </c>
      <c r="D34" s="136">
        <v>100</v>
      </c>
      <c r="E34" s="460" t="s">
        <v>3132</v>
      </c>
      <c r="F34" s="461">
        <f>SUMIF(100:100,E34,101:101)-SUMIF(100:100,C34,101:101)+100</f>
        <v>100</v>
      </c>
      <c r="G34" s="460" t="s">
        <v>3132</v>
      </c>
      <c r="H34" s="435">
        <f>SUMIF(100:100,G34,101:101)-SUMIF(100:100,C34,101:101)+100</f>
        <v>100</v>
      </c>
      <c r="I34" s="460" t="s">
        <v>3132</v>
      </c>
      <c r="J34" s="435">
        <f>SUMIF(100:100,I34,101:101)-SUMIF(100:100,C34,101:101)+100</f>
        <v>100</v>
      </c>
      <c r="K34" s="612">
        <f>'比较法-工业'!K34</f>
        <v>2</v>
      </c>
      <c r="L34" s="1134"/>
      <c r="M34" s="1135"/>
      <c r="N34" s="1135"/>
      <c r="O34" s="1136"/>
      <c r="P34" s="3236"/>
      <c r="Q34" s="2934" t="str">
        <f t="shared" si="11"/>
        <v>物业管理</v>
      </c>
      <c r="R34" s="770" t="s">
        <v>17</v>
      </c>
      <c r="S34" s="771">
        <f t="shared" si="12"/>
        <v>100</v>
      </c>
      <c r="T34" s="770" t="s">
        <v>17</v>
      </c>
      <c r="U34" s="771">
        <f t="shared" si="13"/>
        <v>100</v>
      </c>
      <c r="V34" s="770" t="s">
        <v>17</v>
      </c>
      <c r="W34" s="771">
        <f t="shared" si="14"/>
        <v>100</v>
      </c>
      <c r="X34" s="772"/>
      <c r="Y34" s="3236"/>
      <c r="Z34" s="2935" t="str">
        <f t="shared" si="15"/>
        <v>物业管理</v>
      </c>
      <c r="AA34" s="773">
        <f t="shared" si="3"/>
        <v>1</v>
      </c>
      <c r="AB34" s="773">
        <f t="shared" si="4"/>
        <v>1</v>
      </c>
      <c r="AC34" s="773">
        <f t="shared" si="5"/>
        <v>1</v>
      </c>
    </row>
    <row r="35" spans="1:29" ht="15">
      <c r="A35" s="472"/>
      <c r="B35" s="2936" t="s">
        <v>2651</v>
      </c>
      <c r="C35" s="460" t="s">
        <v>3135</v>
      </c>
      <c r="D35" s="435">
        <v>100</v>
      </c>
      <c r="E35" s="460" t="s">
        <v>3135</v>
      </c>
      <c r="F35" s="461">
        <f>SUMIF(102:102,E35,103:103)-SUMIF(102:102,C35,103:103)+100</f>
        <v>100</v>
      </c>
      <c r="G35" s="460" t="s">
        <v>3135</v>
      </c>
      <c r="H35" s="435">
        <f>SUMIF(102:102,G35,103:103)-SUMIF(102:102,C35,103:103)+100</f>
        <v>100</v>
      </c>
      <c r="I35" s="460" t="s">
        <v>3135</v>
      </c>
      <c r="J35" s="435">
        <f>SUMIF(102:102,I35,103:103)-SUMIF(102:102,C35,103:103)+100</f>
        <v>100</v>
      </c>
      <c r="K35" s="612">
        <f>'比较法-工业'!K35</f>
        <v>1</v>
      </c>
      <c r="L35" s="1142"/>
      <c r="M35" s="1133"/>
      <c r="N35" s="1133"/>
      <c r="O35" s="1141"/>
      <c r="P35" s="3236" t="s">
        <v>2553</v>
      </c>
      <c r="Q35" s="2937" t="str">
        <f t="shared" si="11"/>
        <v>市政基础设施</v>
      </c>
      <c r="R35" s="774" t="s">
        <v>17</v>
      </c>
      <c r="S35" s="775">
        <f t="shared" si="12"/>
        <v>100</v>
      </c>
      <c r="T35" s="774" t="s">
        <v>17</v>
      </c>
      <c r="U35" s="775">
        <f t="shared" si="13"/>
        <v>100</v>
      </c>
      <c r="V35" s="774" t="s">
        <v>17</v>
      </c>
      <c r="W35" s="775">
        <f t="shared" si="14"/>
        <v>100</v>
      </c>
      <c r="X35" s="2939"/>
      <c r="Y35" s="3236" t="s">
        <v>2553</v>
      </c>
      <c r="Z35" s="2940" t="str">
        <f t="shared" si="15"/>
        <v>市政基础设施</v>
      </c>
      <c r="AA35" s="2938">
        <f t="shared" si="3"/>
        <v>1</v>
      </c>
      <c r="AB35" s="2938">
        <f t="shared" si="4"/>
        <v>1</v>
      </c>
      <c r="AC35" s="2938">
        <f t="shared" si="5"/>
        <v>1</v>
      </c>
    </row>
    <row r="36" spans="1:29" ht="15">
      <c r="A36" s="472"/>
      <c r="B36" s="2936" t="s">
        <v>2656</v>
      </c>
      <c r="C36" s="460" t="s">
        <v>3126</v>
      </c>
      <c r="D36" s="435">
        <v>100</v>
      </c>
      <c r="E36" s="460" t="s">
        <v>3128</v>
      </c>
      <c r="F36" s="461">
        <f>SUMIF(104:104,E36,105:105)-SUMIF(104:104,C36,105:105)+100</f>
        <v>98</v>
      </c>
      <c r="G36" s="460" t="s">
        <v>3128</v>
      </c>
      <c r="H36" s="435">
        <f>SUMIF(104:104,G36,105:105)-SUMIF(104:104,C36,105:105)+100</f>
        <v>98</v>
      </c>
      <c r="I36" s="460" t="s">
        <v>3128</v>
      </c>
      <c r="J36" s="435">
        <f>SUMIF(104:104,I36,105:105)-SUMIF(104:104,C36,105:105)+100</f>
        <v>98</v>
      </c>
      <c r="K36" s="612">
        <f>'比较法-工业'!K36</f>
        <v>2</v>
      </c>
      <c r="L36" s="1142"/>
      <c r="M36" s="1133"/>
      <c r="N36" s="1133"/>
      <c r="O36" s="1141"/>
      <c r="P36" s="3236"/>
      <c r="Q36" s="2937" t="str">
        <f t="shared" si="11"/>
        <v>内部装修</v>
      </c>
      <c r="R36" s="774" t="s">
        <v>17</v>
      </c>
      <c r="S36" s="775">
        <f t="shared" si="12"/>
        <v>98</v>
      </c>
      <c r="T36" s="774" t="s">
        <v>17</v>
      </c>
      <c r="U36" s="775">
        <f t="shared" si="13"/>
        <v>98</v>
      </c>
      <c r="V36" s="774" t="s">
        <v>17</v>
      </c>
      <c r="W36" s="775">
        <f t="shared" si="14"/>
        <v>98</v>
      </c>
      <c r="X36" s="2939"/>
      <c r="Y36" s="3236"/>
      <c r="Z36" s="2940" t="str">
        <f t="shared" si="15"/>
        <v>内部装修</v>
      </c>
      <c r="AA36" s="2938">
        <f t="shared" si="3"/>
        <v>1.0204081632653061</v>
      </c>
      <c r="AB36" s="2938">
        <f t="shared" si="4"/>
        <v>1.0204081632653061</v>
      </c>
      <c r="AC36" s="2938">
        <f t="shared" si="5"/>
        <v>1.0204081632653061</v>
      </c>
    </row>
    <row r="37" spans="1:29" ht="15.75" thickBot="1">
      <c r="A37" s="472"/>
      <c r="B37" s="2936" t="s">
        <v>2692</v>
      </c>
      <c r="C37" s="616" t="s">
        <v>3118</v>
      </c>
      <c r="D37" s="435">
        <v>100</v>
      </c>
      <c r="E37" s="616" t="s">
        <v>3118</v>
      </c>
      <c r="F37" s="461">
        <f>SUMIF(106:106,E37,107:107)-SUMIF(106:106,C37,107:107)+100</f>
        <v>100</v>
      </c>
      <c r="G37" s="616" t="s">
        <v>3118</v>
      </c>
      <c r="H37" s="435">
        <f>SUMIF(106:106,G37,107:107)-SUMIF(106:106,C37,107:107)+100</f>
        <v>100</v>
      </c>
      <c r="I37" s="616" t="s">
        <v>3118</v>
      </c>
      <c r="J37" s="435">
        <f>SUMIF(106:106,I37,107:107)-SUMIF(106:106,C37,107:107)+100</f>
        <v>100</v>
      </c>
      <c r="K37" s="612">
        <f>'比较法-工业'!K37</f>
        <v>1</v>
      </c>
      <c r="L37" s="1142"/>
      <c r="M37" s="1133"/>
      <c r="N37" s="1133"/>
      <c r="O37" s="1141"/>
      <c r="P37" s="3236"/>
      <c r="Q37" s="2937" t="str">
        <f t="shared" si="11"/>
        <v>内部装修状况</v>
      </c>
      <c r="R37" s="774" t="s">
        <v>17</v>
      </c>
      <c r="S37" s="775">
        <f t="shared" si="12"/>
        <v>100</v>
      </c>
      <c r="T37" s="774" t="s">
        <v>17</v>
      </c>
      <c r="U37" s="775">
        <f t="shared" si="13"/>
        <v>100</v>
      </c>
      <c r="V37" s="774" t="s">
        <v>17</v>
      </c>
      <c r="W37" s="775">
        <f t="shared" si="14"/>
        <v>100</v>
      </c>
      <c r="X37" s="2939"/>
      <c r="Y37" s="3236"/>
      <c r="Z37" s="2940" t="str">
        <f t="shared" si="15"/>
        <v>内部装修状况</v>
      </c>
      <c r="AA37" s="2938">
        <f t="shared" si="3"/>
        <v>1</v>
      </c>
      <c r="AB37" s="2938">
        <f t="shared" si="4"/>
        <v>1</v>
      </c>
      <c r="AC37" s="2938">
        <f t="shared" si="5"/>
        <v>1</v>
      </c>
    </row>
    <row r="38" spans="1:29" s="471" customFormat="1" ht="15.75" hidden="1" thickBot="1">
      <c r="A38" s="468"/>
      <c r="B38" s="1388">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0"/>
      <c r="M38" s="1143"/>
      <c r="N38" s="1143"/>
      <c r="O38" s="1144"/>
      <c r="P38" s="3236"/>
      <c r="Q38" s="776">
        <f t="shared" si="11"/>
        <v>111</v>
      </c>
      <c r="R38" s="777" t="s">
        <v>17</v>
      </c>
      <c r="S38" s="778">
        <f t="shared" si="12"/>
        <v>100</v>
      </c>
      <c r="T38" s="777" t="s">
        <v>17</v>
      </c>
      <c r="U38" s="778">
        <f t="shared" si="13"/>
        <v>100</v>
      </c>
      <c r="V38" s="777" t="s">
        <v>17</v>
      </c>
      <c r="W38" s="778">
        <f t="shared" si="14"/>
        <v>100</v>
      </c>
      <c r="X38" s="779"/>
      <c r="Y38" s="3236"/>
      <c r="Z38" s="780">
        <f t="shared" si="15"/>
        <v>111</v>
      </c>
      <c r="AA38" s="2938">
        <f t="shared" si="3"/>
        <v>1</v>
      </c>
      <c r="AB38" s="2938">
        <f t="shared" si="4"/>
        <v>1</v>
      </c>
      <c r="AC38" s="2938">
        <f t="shared" si="5"/>
        <v>1</v>
      </c>
    </row>
    <row r="39" spans="1:29" ht="15.75" hidden="1" thickBot="1">
      <c r="A39" s="472"/>
      <c r="B39" s="1388">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2"/>
      <c r="M39" s="1133"/>
      <c r="N39" s="1133"/>
      <c r="O39" s="1141"/>
      <c r="P39" s="3236"/>
      <c r="Q39" s="2937">
        <f t="shared" si="11"/>
        <v>111</v>
      </c>
      <c r="R39" s="774" t="s">
        <v>17</v>
      </c>
      <c r="S39" s="775">
        <f t="shared" si="12"/>
        <v>100</v>
      </c>
      <c r="T39" s="774" t="s">
        <v>17</v>
      </c>
      <c r="U39" s="775">
        <f t="shared" si="13"/>
        <v>100</v>
      </c>
      <c r="V39" s="774" t="s">
        <v>17</v>
      </c>
      <c r="W39" s="775">
        <f t="shared" si="14"/>
        <v>100</v>
      </c>
      <c r="X39" s="2939"/>
      <c r="Y39" s="3236"/>
      <c r="Z39" s="2940">
        <f t="shared" si="15"/>
        <v>111</v>
      </c>
      <c r="AA39" s="2938">
        <f t="shared" si="3"/>
        <v>1</v>
      </c>
      <c r="AB39" s="2938">
        <f t="shared" si="4"/>
        <v>1</v>
      </c>
      <c r="AC39" s="2938">
        <f t="shared" si="5"/>
        <v>1</v>
      </c>
    </row>
    <row r="40" spans="1:29" ht="15.75" hidden="1" thickBot="1">
      <c r="A40" s="478"/>
      <c r="B40" s="259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2"/>
      <c r="M40" s="1133"/>
      <c r="N40" s="1133"/>
      <c r="O40" s="1141"/>
      <c r="P40" s="3237"/>
      <c r="Q40" s="2937">
        <f t="shared" si="11"/>
        <v>111</v>
      </c>
      <c r="R40" s="774" t="s">
        <v>17</v>
      </c>
      <c r="S40" s="775">
        <f t="shared" si="12"/>
        <v>100</v>
      </c>
      <c r="T40" s="774" t="s">
        <v>17</v>
      </c>
      <c r="U40" s="775">
        <f t="shared" si="13"/>
        <v>100</v>
      </c>
      <c r="V40" s="774" t="s">
        <v>17</v>
      </c>
      <c r="W40" s="775">
        <f t="shared" si="14"/>
        <v>100</v>
      </c>
      <c r="X40" s="2939"/>
      <c r="Y40" s="3237"/>
      <c r="Z40" s="2940">
        <f t="shared" si="15"/>
        <v>111</v>
      </c>
      <c r="AA40" s="2938">
        <f t="shared" si="3"/>
        <v>1</v>
      </c>
      <c r="AB40" s="2938">
        <f t="shared" si="4"/>
        <v>1</v>
      </c>
      <c r="AC40" s="2938">
        <f t="shared" si="5"/>
        <v>1</v>
      </c>
    </row>
    <row r="41" spans="1:29" ht="15">
      <c r="A41" s="479" t="s">
        <v>2565</v>
      </c>
      <c r="B41" s="480"/>
      <c r="C41" s="1409" t="s">
        <v>1</v>
      </c>
      <c r="D41" s="1410"/>
      <c r="E41" s="1411">
        <v>2.5</v>
      </c>
      <c r="F41" s="1412"/>
      <c r="G41" s="1413">
        <v>2.8</v>
      </c>
      <c r="H41" s="1414"/>
      <c r="I41" s="1411">
        <v>2.6</v>
      </c>
      <c r="J41" s="1414"/>
      <c r="K41" s="783"/>
      <c r="L41" s="1145"/>
      <c r="M41" s="1146"/>
      <c r="N41" s="1133"/>
      <c r="O41" s="1146"/>
      <c r="P41" s="3229" t="str">
        <f>A41</f>
        <v>成交单价（元/平方米）</v>
      </c>
      <c r="Q41" s="3229"/>
      <c r="R41" s="3230">
        <f>E41</f>
        <v>2.5</v>
      </c>
      <c r="S41" s="3230"/>
      <c r="T41" s="3230">
        <f>G41</f>
        <v>2.8</v>
      </c>
      <c r="U41" s="3230"/>
      <c r="V41" s="3230">
        <f>I41</f>
        <v>2.6</v>
      </c>
      <c r="W41" s="3230"/>
      <c r="X41" s="759"/>
      <c r="Y41" s="781"/>
      <c r="Z41" s="759"/>
      <c r="AA41" s="759"/>
      <c r="AB41" s="759"/>
      <c r="AC41" s="759"/>
    </row>
    <row r="42" spans="1:29" ht="15.75" thickBot="1">
      <c r="A42" s="486" t="s">
        <v>2657</v>
      </c>
      <c r="B42" s="487"/>
      <c r="C42" s="1415">
        <f>R43</f>
        <v>2.7</v>
      </c>
      <c r="D42" s="1416"/>
      <c r="E42" s="1417">
        <f>R42</f>
        <v>2.6</v>
      </c>
      <c r="F42" s="1417"/>
      <c r="G42" s="1415">
        <f>T42</f>
        <v>2.9</v>
      </c>
      <c r="H42" s="1416"/>
      <c r="I42" s="1417">
        <f>V42</f>
        <v>2.6</v>
      </c>
      <c r="J42" s="1416"/>
      <c r="K42" s="784"/>
      <c r="L42" s="1145"/>
      <c r="M42" s="1146"/>
      <c r="N42" s="1133"/>
      <c r="O42" s="1146"/>
      <c r="P42" s="3229" t="str">
        <f>A42</f>
        <v>比较价值（元/平方米）</v>
      </c>
      <c r="Q42" s="3229"/>
      <c r="R42" s="3230">
        <f>IF(F1="售价",ROUND(PRODUCT(R41,AA7:AA40),0),ROUND(PRODUCT(R41,AA7:AA40),1))</f>
        <v>2.6</v>
      </c>
      <c r="S42" s="3230"/>
      <c r="T42" s="3230">
        <f>IF(F1="售价",ROUND(PRODUCT(T41,AB7:AB40),0),ROUND(PRODUCT(T41,AB7:AB40),1))</f>
        <v>2.9</v>
      </c>
      <c r="U42" s="3230"/>
      <c r="V42" s="3230">
        <f>IF(F1="售价",ROUND(PRODUCT(V41,AC7:AC40),0),ROUND(PRODUCT(V41,AC7:AC40),1))</f>
        <v>2.6</v>
      </c>
      <c r="W42" s="3230"/>
      <c r="X42" s="759"/>
      <c r="Y42" s="759"/>
      <c r="Z42" s="759"/>
      <c r="AA42" s="759"/>
      <c r="AB42" s="759"/>
      <c r="AC42" s="759"/>
    </row>
    <row r="43" spans="1:29" ht="15.75" thickBot="1">
      <c r="A43" s="492" t="s">
        <v>2658</v>
      </c>
      <c r="B43" s="493"/>
      <c r="C43" s="1419">
        <f>R43</f>
        <v>2.7</v>
      </c>
      <c r="D43" s="1419"/>
      <c r="E43" s="1419"/>
      <c r="F43" s="1419"/>
      <c r="G43" s="1419"/>
      <c r="H43" s="1419"/>
      <c r="I43" s="1419"/>
      <c r="J43" s="1419"/>
      <c r="K43" s="785"/>
      <c r="L43" s="1145"/>
      <c r="M43" s="1146"/>
      <c r="N43" s="1146"/>
      <c r="O43" s="1146"/>
      <c r="P43" s="3226" t="str">
        <f>A43</f>
        <v>估价对象XX用房的比较价值（楼面单价，元/平方米）</v>
      </c>
      <c r="Q43" s="3227"/>
      <c r="R43" s="3228">
        <f>IF(F1="售价",ROUND(AVERAGE(R42:V42),0),ROUND(AVERAGE(R42:V42),1))</f>
        <v>2.7</v>
      </c>
      <c r="S43" s="3228"/>
      <c r="T43" s="3228"/>
      <c r="U43" s="3228"/>
      <c r="V43" s="3228"/>
      <c r="W43" s="3228"/>
      <c r="X43" s="759"/>
      <c r="Y43" s="759"/>
      <c r="Z43" s="759"/>
      <c r="AA43" s="759"/>
      <c r="AB43" s="759"/>
      <c r="AC43" s="759"/>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7" t="s">
        <v>2568</v>
      </c>
      <c r="D46" s="498"/>
      <c r="E46" s="499">
        <f>IF(E41&lt;E42,E42/E41-1,E41/E42-1)</f>
        <v>4.0000000000000036E-2</v>
      </c>
      <c r="F46" s="500" t="str">
        <f>IF(OR(E46&gt;=0.3,E46&lt;=-0.3),"超过30%","")</f>
        <v/>
      </c>
      <c r="G46" s="499">
        <f>IF(G41&lt;G42,G42/G41-1,G41/G42-1)</f>
        <v>3.5714285714285809E-2</v>
      </c>
      <c r="H46" s="500" t="str">
        <f>IF(OR(G46&gt;=0.3,G46&lt;=-0.3),"超过30%","")</f>
        <v/>
      </c>
      <c r="I46" s="499">
        <f>IF(I41&lt;I42,I42/I41-1,I41/I42-1)</f>
        <v>0</v>
      </c>
      <c r="J46" s="500" t="str">
        <f>IF(OR(I46&gt;=0.3,I46&lt;=-0.3),"超过30%","")</f>
        <v/>
      </c>
      <c r="K46" s="1107"/>
      <c r="L46" s="1108"/>
      <c r="M46" s="1146"/>
      <c r="N46" s="1146"/>
      <c r="O46" s="1146"/>
    </row>
    <row r="47" spans="1:29" ht="13.5" customHeight="1">
      <c r="A47" s="1146"/>
      <c r="B47" s="1146"/>
      <c r="C47" s="497" t="s">
        <v>2569</v>
      </c>
      <c r="D47" s="501"/>
      <c r="E47" s="499">
        <f>IF(E42&lt;G42,G42/E42-1,E42/G42-1)</f>
        <v>0.11538461538461542</v>
      </c>
      <c r="F47" s="500" t="str">
        <f>IF(OR(E47&gt;=0.2,E47&lt;=-0.2),"超过20%","")</f>
        <v/>
      </c>
      <c r="G47" s="499">
        <f>IF(G42&lt;I42,I42/G42-1,G42/I42-1)</f>
        <v>0.11538461538461542</v>
      </c>
      <c r="H47" s="500" t="str">
        <f>IF(OR(G47&gt;=0.2,G47&lt;=-0.2),"超过20%","")</f>
        <v/>
      </c>
      <c r="I47" s="499">
        <f>IF(I42&lt;E42,E42/I42-1,I42/E42-1)</f>
        <v>0</v>
      </c>
      <c r="J47" s="500" t="str">
        <f>IF(OR(I47&gt;=0.2,I47&lt;=-0.2),"超过20%","")</f>
        <v/>
      </c>
      <c r="K47" s="1107"/>
      <c r="L47" s="1108"/>
      <c r="M47" s="1146"/>
      <c r="N47" s="1146"/>
      <c r="O47" s="1146"/>
    </row>
    <row r="48" spans="1:29" s="502" customFormat="1" ht="13.5" customHeight="1">
      <c r="A48" s="1147"/>
      <c r="B48" s="1147"/>
      <c r="C48" s="497" t="s">
        <v>2661</v>
      </c>
      <c r="D48" s="501"/>
      <c r="E48" s="499">
        <f>IF(E41&lt;G41,G41/E41-1,E41/G41-1)</f>
        <v>0.11999999999999988</v>
      </c>
      <c r="F48" s="500" t="str">
        <f>IF(OR(E48&gt;=0.3,E48&lt;=-0.3),"超过30%","")</f>
        <v/>
      </c>
      <c r="G48" s="499">
        <f>IF(G41&lt;I41,I41/G41-1,G41/I41-1)</f>
        <v>7.6923076923076872E-2</v>
      </c>
      <c r="H48" s="500" t="str">
        <f>IF(OR(G48&gt;=0.3,G48&lt;=-0.3),"超过30%","")</f>
        <v/>
      </c>
      <c r="I48" s="499">
        <f>IF(I41&lt;E41,E41/I41-1,I41/E41-1)</f>
        <v>4.0000000000000036E-2</v>
      </c>
      <c r="J48" s="500" t="str">
        <f>IF(OR(I48&gt;=0.3,I48&lt;=-0.3),"超过30%","")</f>
        <v/>
      </c>
      <c r="K48" s="1150"/>
      <c r="L48" s="1151"/>
      <c r="M48" s="1147"/>
      <c r="N48" s="1147"/>
      <c r="O48" s="1147"/>
    </row>
    <row r="49" spans="1:17" s="502"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3" t="s">
        <v>2662</v>
      </c>
      <c r="B51" s="759"/>
      <c r="C51" s="764"/>
      <c r="D51" s="764"/>
      <c r="E51" s="764"/>
      <c r="F51" s="765"/>
      <c r="G51" s="765"/>
      <c r="H51" s="764"/>
      <c r="I51" s="764"/>
      <c r="J51" s="764"/>
      <c r="K51" s="1162"/>
      <c r="L51" s="1163"/>
      <c r="M51" s="1161"/>
      <c r="N51" s="1161"/>
      <c r="O51" s="1161"/>
      <c r="P51" s="503"/>
      <c r="Q51" s="504"/>
    </row>
    <row r="52" spans="1:17" s="508" customFormat="1" ht="15">
      <c r="A52" s="505" t="s">
        <v>2536</v>
      </c>
      <c r="B52" s="506"/>
      <c r="C52" s="1576" t="str">
        <f>YEAR(C7)&amp;"-"&amp;MONTH(C7)</f>
        <v>2018-3</v>
      </c>
      <c r="D52" s="1577">
        <f>EDATE(C52,-1)</f>
        <v>43132</v>
      </c>
      <c r="E52" s="1577">
        <f t="shared" ref="E52:O52" si="16">EDATE(D52,-1)</f>
        <v>43101</v>
      </c>
      <c r="F52" s="1577">
        <f t="shared" si="16"/>
        <v>43070</v>
      </c>
      <c r="G52" s="1577">
        <f t="shared" si="16"/>
        <v>43040</v>
      </c>
      <c r="H52" s="1577">
        <f t="shared" si="16"/>
        <v>43009</v>
      </c>
      <c r="I52" s="1577">
        <f t="shared" si="16"/>
        <v>42979</v>
      </c>
      <c r="J52" s="1577">
        <f t="shared" si="16"/>
        <v>42948</v>
      </c>
      <c r="K52" s="1577">
        <f t="shared" si="16"/>
        <v>42917</v>
      </c>
      <c r="L52" s="1577">
        <f t="shared" si="16"/>
        <v>42887</v>
      </c>
      <c r="M52" s="1577">
        <f t="shared" si="16"/>
        <v>42856</v>
      </c>
      <c r="N52" s="1577">
        <f t="shared" si="16"/>
        <v>42826</v>
      </c>
      <c r="O52" s="1577">
        <f t="shared" si="16"/>
        <v>42795</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v>0.94</v>
      </c>
      <c r="E54" s="518"/>
      <c r="F54" s="518"/>
      <c r="G54" s="518"/>
      <c r="H54" s="518"/>
      <c r="I54" s="518"/>
      <c r="J54" s="518"/>
      <c r="K54" s="518"/>
      <c r="L54" s="518"/>
      <c r="M54" s="519"/>
      <c r="N54" s="518"/>
      <c r="O54" s="520"/>
      <c r="P54" s="504"/>
      <c r="Q54" s="504"/>
    </row>
    <row r="55" spans="1:17" s="117" customFormat="1" ht="15">
      <c r="A55" s="521" t="s">
        <v>2538</v>
      </c>
      <c r="B55" s="510"/>
      <c r="C55" s="522" t="s">
        <v>2575</v>
      </c>
      <c r="D55" s="523"/>
      <c r="E55" s="523">
        <v>4500</v>
      </c>
      <c r="F55" s="523">
        <v>3000</v>
      </c>
      <c r="G55" s="523">
        <v>500</v>
      </c>
      <c r="H55" s="523"/>
      <c r="I55" s="523"/>
      <c r="J55" s="523"/>
      <c r="K55" s="523"/>
      <c r="L55" s="524"/>
      <c r="M55" s="525"/>
      <c r="N55" s="1153"/>
      <c r="O55" s="1153"/>
      <c r="P55" s="526"/>
      <c r="Q55" s="504"/>
    </row>
    <row r="56" spans="1:17" s="117" customFormat="1" ht="15.75" thickBot="1">
      <c r="A56" s="521"/>
      <c r="B56" s="510"/>
      <c r="C56" s="639">
        <v>100</v>
      </c>
      <c r="D56" s="512"/>
      <c r="E56" s="512">
        <f>ROUND(E55*10000*$D$54/E30,0)</f>
        <v>20143</v>
      </c>
      <c r="F56" s="512">
        <f>ROUND(F55*10000*$D$54/G30,0)</f>
        <v>10444</v>
      </c>
      <c r="G56" s="512">
        <f>ROUND(G55*10000*$D$54/I30,0)</f>
        <v>47000</v>
      </c>
      <c r="H56" s="512"/>
      <c r="I56" s="512"/>
      <c r="J56" s="512"/>
      <c r="K56" s="512"/>
      <c r="L56" s="512"/>
      <c r="M56" s="514"/>
      <c r="N56" s="1153"/>
      <c r="O56" s="1153"/>
      <c r="P56" s="504"/>
      <c r="Q56" s="504"/>
    </row>
    <row r="57" spans="1:17">
      <c r="A57" s="527" t="s">
        <v>2576</v>
      </c>
      <c r="B57" s="528" t="s">
        <v>2542</v>
      </c>
      <c r="C57" s="529" t="str">
        <f>C9</f>
        <v>工业</v>
      </c>
      <c r="D57" s="530"/>
      <c r="E57" s="530"/>
      <c r="F57" s="530"/>
      <c r="G57" s="530"/>
      <c r="H57" s="530"/>
      <c r="I57" s="530"/>
      <c r="J57" s="530"/>
      <c r="K57" s="531"/>
      <c r="L57" s="532"/>
      <c r="M57" s="533"/>
      <c r="N57" s="1154"/>
      <c r="O57" s="1154"/>
      <c r="P57" s="45"/>
      <c r="Q57" s="504"/>
    </row>
    <row r="58" spans="1:17" ht="15.75" thickBot="1">
      <c r="A58" s="534"/>
      <c r="B58" s="535"/>
      <c r="C58" s="536">
        <v>100</v>
      </c>
      <c r="D58" s="536"/>
      <c r="E58" s="536"/>
      <c r="F58" s="536"/>
      <c r="G58" s="536"/>
      <c r="H58" s="536"/>
      <c r="I58" s="536"/>
      <c r="J58" s="536"/>
      <c r="K58" s="536"/>
      <c r="L58" s="536"/>
      <c r="M58" s="537"/>
      <c r="N58" s="1155"/>
      <c r="O58" s="1155"/>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4"/>
      <c r="O59" s="1154"/>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5"/>
      <c r="O60" s="1155"/>
      <c r="P60" s="45"/>
      <c r="Q60" s="504"/>
    </row>
    <row r="61" spans="1:17" ht="15.75" thickTop="1">
      <c r="A61" s="534"/>
      <c r="B61" s="546" t="s">
        <v>2546</v>
      </c>
      <c r="C61" s="547" t="str">
        <f>C62&amp;"（含）"&amp;"-"&amp;D62</f>
        <v>0（含）-1</v>
      </c>
      <c r="D61" s="547" t="str">
        <f t="shared" ref="D61:L61" si="17">D62&amp;"（含）"&amp;"-"&amp;E62</f>
        <v>1（含）-2</v>
      </c>
      <c r="E61" s="547" t="str">
        <f t="shared" si="17"/>
        <v>2（含）-3</v>
      </c>
      <c r="F61" s="547" t="str">
        <f t="shared" si="17"/>
        <v>3（含）-4</v>
      </c>
      <c r="G61" s="547" t="str">
        <f t="shared" si="17"/>
        <v>4（含）-5</v>
      </c>
      <c r="H61" s="547" t="str">
        <f t="shared" si="17"/>
        <v>5（含）-</v>
      </c>
      <c r="I61" s="547" t="str">
        <f t="shared" si="17"/>
        <v>（含）-</v>
      </c>
      <c r="J61" s="547" t="str">
        <f t="shared" si="17"/>
        <v>（含）-</v>
      </c>
      <c r="K61" s="547" t="str">
        <f t="shared" si="17"/>
        <v>（含）-</v>
      </c>
      <c r="L61" s="547" t="str">
        <f t="shared" si="17"/>
        <v>（含）-</v>
      </c>
      <c r="M61" s="448" t="str">
        <f>M62&amp;"（含）"&amp;"-"&amp;P62</f>
        <v>（含）-</v>
      </c>
      <c r="N61" s="1155"/>
      <c r="O61" s="1155"/>
      <c r="P61" s="45"/>
      <c r="Q61" s="504"/>
    </row>
    <row r="62" spans="1:17" ht="15">
      <c r="A62" s="534"/>
      <c r="B62" s="548"/>
      <c r="C62" s="549">
        <v>0</v>
      </c>
      <c r="D62" s="549">
        <v>1</v>
      </c>
      <c r="E62" s="549">
        <v>2</v>
      </c>
      <c r="F62" s="549">
        <v>3</v>
      </c>
      <c r="G62" s="549">
        <v>4</v>
      </c>
      <c r="H62" s="549">
        <v>5</v>
      </c>
      <c r="I62" s="549"/>
      <c r="J62" s="549"/>
      <c r="K62" s="550"/>
      <c r="L62" s="551"/>
      <c r="M62" s="552"/>
      <c r="N62" s="1154"/>
      <c r="O62" s="1154"/>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5"/>
      <c r="O63" s="1155"/>
      <c r="P63" s="45"/>
      <c r="Q63" s="504"/>
    </row>
    <row r="64" spans="1:17" s="471" customFormat="1" ht="15.75" thickTop="1">
      <c r="A64" s="553"/>
      <c r="B64" s="538">
        <f>B12</f>
        <v>111</v>
      </c>
      <c r="C64" s="554"/>
      <c r="D64" s="554"/>
      <c r="E64" s="554"/>
      <c r="F64" s="554"/>
      <c r="G64" s="554"/>
      <c r="H64" s="555"/>
      <c r="I64" s="555"/>
      <c r="J64" s="555"/>
      <c r="K64" s="555"/>
      <c r="L64" s="556"/>
      <c r="M64" s="557"/>
      <c r="N64" s="1156"/>
      <c r="O64" s="1156"/>
      <c r="P64" s="558"/>
      <c r="Q64" s="559"/>
    </row>
    <row r="65" spans="1:17" s="471" customFormat="1" ht="15.75" thickBot="1">
      <c r="A65" s="553"/>
      <c r="B65" s="543"/>
      <c r="C65" s="560"/>
      <c r="D65" s="536"/>
      <c r="E65" s="536"/>
      <c r="F65" s="536"/>
      <c r="G65" s="536"/>
      <c r="H65" s="536"/>
      <c r="I65" s="536"/>
      <c r="J65" s="536"/>
      <c r="K65" s="536"/>
      <c r="L65" s="536"/>
      <c r="M65" s="537"/>
      <c r="N65" s="1155"/>
      <c r="O65" s="1155"/>
      <c r="P65" s="558"/>
      <c r="Q65" s="559"/>
    </row>
    <row r="66" spans="1:17" s="471" customFormat="1" ht="15.75" thickTop="1">
      <c r="A66" s="553"/>
      <c r="B66" s="538">
        <f>B13</f>
        <v>111</v>
      </c>
      <c r="C66" s="554"/>
      <c r="D66" s="554"/>
      <c r="E66" s="554"/>
      <c r="F66" s="554"/>
      <c r="G66" s="554"/>
      <c r="H66" s="555"/>
      <c r="I66" s="555"/>
      <c r="J66" s="555"/>
      <c r="K66" s="555"/>
      <c r="L66" s="556"/>
      <c r="M66" s="557"/>
      <c r="N66" s="1156"/>
      <c r="O66" s="1156"/>
      <c r="P66" s="470"/>
      <c r="Q66" s="561"/>
    </row>
    <row r="67" spans="1:17" s="471" customFormat="1" ht="15.75" thickBot="1">
      <c r="A67" s="553"/>
      <c r="B67" s="543"/>
      <c r="C67" s="560"/>
      <c r="D67" s="536"/>
      <c r="E67" s="536"/>
      <c r="F67" s="536"/>
      <c r="G67" s="560"/>
      <c r="H67" s="562"/>
      <c r="I67" s="562"/>
      <c r="J67" s="562"/>
      <c r="K67" s="562"/>
      <c r="L67" s="562"/>
      <c r="M67" s="563"/>
      <c r="N67" s="1156"/>
      <c r="O67" s="1156"/>
      <c r="P67" s="558"/>
      <c r="Q67" s="559"/>
    </row>
    <row r="68" spans="1:17" s="471" customFormat="1" ht="15.75" thickTop="1">
      <c r="A68" s="553"/>
      <c r="B68" s="546">
        <f>B14</f>
        <v>111</v>
      </c>
      <c r="C68" s="523"/>
      <c r="D68" s="523"/>
      <c r="E68" s="523"/>
      <c r="F68" s="523"/>
      <c r="G68" s="523"/>
      <c r="H68" s="564"/>
      <c r="I68" s="564"/>
      <c r="J68" s="564"/>
      <c r="K68" s="564"/>
      <c r="L68" s="565"/>
      <c r="M68" s="566"/>
      <c r="N68" s="1156"/>
      <c r="O68" s="1156"/>
      <c r="P68" s="567"/>
      <c r="Q68" s="559"/>
    </row>
    <row r="69" spans="1:17" s="471" customFormat="1" ht="15.75" thickBot="1">
      <c r="A69" s="568"/>
      <c r="B69" s="569"/>
      <c r="C69" s="570"/>
      <c r="D69" s="570"/>
      <c r="E69" s="570"/>
      <c r="F69" s="570"/>
      <c r="G69" s="570"/>
      <c r="H69" s="571"/>
      <c r="I69" s="571"/>
      <c r="J69" s="571"/>
      <c r="K69" s="571"/>
      <c r="L69" s="571"/>
      <c r="M69" s="572"/>
      <c r="N69" s="1156"/>
      <c r="O69" s="1156"/>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4"/>
      <c r="O70" s="1154"/>
      <c r="P70" s="577"/>
      <c r="Q70" s="504"/>
    </row>
    <row r="71" spans="1:17" ht="15.75" thickBot="1">
      <c r="A71" s="534"/>
      <c r="B71" s="543"/>
      <c r="C71" s="544">
        <v>100</v>
      </c>
      <c r="D71" s="544">
        <f>C71-$K15</f>
        <v>98</v>
      </c>
      <c r="E71" s="544">
        <f>D71-$K15</f>
        <v>96</v>
      </c>
      <c r="F71" s="544">
        <f>E71-$K15</f>
        <v>94</v>
      </c>
      <c r="G71" s="544">
        <f>F71-$K15</f>
        <v>92</v>
      </c>
      <c r="H71" s="544"/>
      <c r="I71" s="544"/>
      <c r="J71" s="544"/>
      <c r="K71" s="544"/>
      <c r="L71" s="544"/>
      <c r="M71" s="545"/>
      <c r="N71" s="1155"/>
      <c r="O71" s="1155"/>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4"/>
      <c r="O72" s="1154"/>
      <c r="P72" s="45"/>
      <c r="Q72" s="504"/>
    </row>
    <row r="73" spans="1:17" ht="15.75" thickBot="1">
      <c r="A73" s="534"/>
      <c r="B73" s="543"/>
      <c r="C73" s="544">
        <v>100</v>
      </c>
      <c r="D73" s="544">
        <f>C73-$K17</f>
        <v>99</v>
      </c>
      <c r="E73" s="544">
        <f>D73-$K17</f>
        <v>98</v>
      </c>
      <c r="F73" s="544">
        <f>E73-$K17</f>
        <v>97</v>
      </c>
      <c r="G73" s="544">
        <f>F73-$K17</f>
        <v>96</v>
      </c>
      <c r="H73" s="544"/>
      <c r="I73" s="544"/>
      <c r="J73" s="544"/>
      <c r="K73" s="544"/>
      <c r="L73" s="544"/>
      <c r="M73" s="545"/>
      <c r="N73" s="1155"/>
      <c r="O73" s="1155"/>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4"/>
      <c r="O74" s="1154"/>
      <c r="P74" s="45"/>
      <c r="Q74" s="504"/>
    </row>
    <row r="75" spans="1:17" ht="15.75" thickBot="1">
      <c r="A75" s="534"/>
      <c r="B75" s="543"/>
      <c r="C75" s="544">
        <v>100</v>
      </c>
      <c r="D75" s="544">
        <f>C75-$K19</f>
        <v>98</v>
      </c>
      <c r="E75" s="544">
        <f>D75-$K19</f>
        <v>96</v>
      </c>
      <c r="F75" s="544">
        <f>E75-$K19</f>
        <v>94</v>
      </c>
      <c r="G75" s="544">
        <f>F75-$K19</f>
        <v>92</v>
      </c>
      <c r="H75" s="544"/>
      <c r="I75" s="544"/>
      <c r="J75" s="544"/>
      <c r="K75" s="544"/>
      <c r="L75" s="544"/>
      <c r="M75" s="545"/>
      <c r="N75" s="1155"/>
      <c r="O75" s="1155"/>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4"/>
      <c r="N76" s="1155"/>
      <c r="O76" s="1155"/>
      <c r="P76" s="45"/>
      <c r="Q76" s="504"/>
    </row>
    <row r="77" spans="1:17" ht="15.75" thickBot="1">
      <c r="A77" s="534"/>
      <c r="B77" s="546"/>
      <c r="C77" s="544">
        <v>100</v>
      </c>
      <c r="D77" s="544">
        <f>C77-$K21</f>
        <v>99</v>
      </c>
      <c r="E77" s="544">
        <f>D77-$K21</f>
        <v>98</v>
      </c>
      <c r="F77" s="544">
        <f>E77-$K21</f>
        <v>97</v>
      </c>
      <c r="G77" s="544">
        <f>F77-$K21</f>
        <v>96</v>
      </c>
      <c r="H77" s="660"/>
      <c r="I77" s="660"/>
      <c r="J77" s="660"/>
      <c r="K77" s="660"/>
      <c r="L77" s="660"/>
      <c r="M77" s="450"/>
      <c r="N77" s="1155"/>
      <c r="O77" s="1155"/>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4"/>
      <c r="O78" s="1154"/>
      <c r="P78" s="45"/>
      <c r="Q78" s="504"/>
    </row>
    <row r="79" spans="1:17" ht="15.75" thickBot="1">
      <c r="A79" s="534"/>
      <c r="B79" s="543"/>
      <c r="C79" s="544">
        <v>100</v>
      </c>
      <c r="D79" s="544">
        <f>C79-$K23</f>
        <v>98</v>
      </c>
      <c r="E79" s="544">
        <f>D79-$K23</f>
        <v>96</v>
      </c>
      <c r="F79" s="544">
        <f>E79-$K23</f>
        <v>94</v>
      </c>
      <c r="G79" s="544">
        <f>F79-$K23</f>
        <v>92</v>
      </c>
      <c r="H79" s="544"/>
      <c r="I79" s="544"/>
      <c r="J79" s="544"/>
      <c r="K79" s="544"/>
      <c r="L79" s="544"/>
      <c r="M79" s="545"/>
      <c r="N79" s="1155"/>
      <c r="O79" s="1155"/>
      <c r="P79" s="45"/>
      <c r="Q79" s="504"/>
    </row>
    <row r="80" spans="1:17" s="117" customFormat="1" ht="15.75" thickTop="1">
      <c r="A80" s="579"/>
      <c r="B80" s="538">
        <f>B25</f>
        <v>111</v>
      </c>
      <c r="C80" s="554"/>
      <c r="D80" s="554"/>
      <c r="E80" s="554"/>
      <c r="F80" s="554"/>
      <c r="G80" s="554"/>
      <c r="H80" s="554"/>
      <c r="I80" s="554"/>
      <c r="J80" s="554"/>
      <c r="K80" s="554"/>
      <c r="L80" s="580"/>
      <c r="M80" s="581"/>
      <c r="N80" s="1153"/>
      <c r="O80" s="1153"/>
      <c r="P80" s="45"/>
      <c r="Q80" s="504"/>
    </row>
    <row r="81" spans="1:17" s="117" customFormat="1" ht="15.75" thickBot="1">
      <c r="A81" s="579"/>
      <c r="B81" s="543"/>
      <c r="C81" s="560"/>
      <c r="D81" s="536"/>
      <c r="E81" s="536"/>
      <c r="F81" s="536"/>
      <c r="G81" s="536"/>
      <c r="H81" s="536"/>
      <c r="I81" s="536"/>
      <c r="J81" s="536"/>
      <c r="K81" s="536"/>
      <c r="L81" s="536"/>
      <c r="M81" s="537"/>
      <c r="N81" s="1155"/>
      <c r="O81" s="1155"/>
      <c r="P81" s="45"/>
      <c r="Q81" s="504"/>
    </row>
    <row r="82" spans="1:17" s="117" customFormat="1" ht="15.75" thickTop="1">
      <c r="A82" s="579"/>
      <c r="B82" s="538">
        <f>B26</f>
        <v>111</v>
      </c>
      <c r="C82" s="554"/>
      <c r="D82" s="554"/>
      <c r="E82" s="554"/>
      <c r="F82" s="554"/>
      <c r="G82" s="554"/>
      <c r="H82" s="554"/>
      <c r="I82" s="554"/>
      <c r="J82" s="554"/>
      <c r="K82" s="554"/>
      <c r="L82" s="580"/>
      <c r="M82" s="581"/>
      <c r="N82" s="1153"/>
      <c r="O82" s="1153"/>
      <c r="P82" s="45"/>
      <c r="Q82" s="504"/>
    </row>
    <row r="83" spans="1:17" s="117" customFormat="1" ht="15.75" thickBot="1">
      <c r="A83" s="579"/>
      <c r="B83" s="543"/>
      <c r="C83" s="560"/>
      <c r="D83" s="536"/>
      <c r="E83" s="536"/>
      <c r="F83" s="536"/>
      <c r="G83" s="536"/>
      <c r="H83" s="536"/>
      <c r="I83" s="536"/>
      <c r="J83" s="536"/>
      <c r="K83" s="536"/>
      <c r="L83" s="536"/>
      <c r="M83" s="537"/>
      <c r="N83" s="1155"/>
      <c r="O83" s="1155"/>
      <c r="P83" s="45"/>
      <c r="Q83" s="504"/>
    </row>
    <row r="84" spans="1:17" s="471" customFormat="1" ht="15.75" thickTop="1">
      <c r="A84" s="553"/>
      <c r="B84" s="538">
        <f>B27</f>
        <v>111</v>
      </c>
      <c r="C84" s="554"/>
      <c r="D84" s="554"/>
      <c r="E84" s="554"/>
      <c r="F84" s="554"/>
      <c r="G84" s="554"/>
      <c r="H84" s="554"/>
      <c r="I84" s="554"/>
      <c r="J84" s="554"/>
      <c r="K84" s="554"/>
      <c r="L84" s="580"/>
      <c r="M84" s="581"/>
      <c r="N84" s="1156"/>
      <c r="O84" s="1156"/>
      <c r="P84" s="558"/>
      <c r="Q84" s="559"/>
    </row>
    <row r="85" spans="1:17" s="471" customFormat="1" ht="15.75" thickBot="1">
      <c r="A85" s="553"/>
      <c r="B85" s="543"/>
      <c r="C85" s="560"/>
      <c r="D85" s="536"/>
      <c r="E85" s="536"/>
      <c r="F85" s="536"/>
      <c r="G85" s="536"/>
      <c r="H85" s="536"/>
      <c r="I85" s="536"/>
      <c r="J85" s="536"/>
      <c r="K85" s="536"/>
      <c r="L85" s="536"/>
      <c r="M85" s="537"/>
      <c r="N85" s="1156"/>
      <c r="O85" s="1156"/>
      <c r="P85" s="558"/>
      <c r="Q85" s="559"/>
    </row>
    <row r="86" spans="1:17" ht="15.75" thickTop="1">
      <c r="A86" s="534"/>
      <c r="B86" s="546">
        <f>B28</f>
        <v>111</v>
      </c>
      <c r="C86" s="523"/>
      <c r="D86" s="523"/>
      <c r="E86" s="523"/>
      <c r="F86" s="523"/>
      <c r="G86" s="587"/>
      <c r="H86" s="587"/>
      <c r="I86" s="587"/>
      <c r="J86" s="587"/>
      <c r="K86" s="588"/>
      <c r="L86" s="589"/>
      <c r="M86" s="590"/>
      <c r="N86" s="1154"/>
      <c r="O86" s="1154"/>
      <c r="P86" s="45"/>
      <c r="Q86" s="504"/>
    </row>
    <row r="87" spans="1:17" ht="15.75" thickBot="1">
      <c r="A87" s="2632"/>
      <c r="B87" s="569"/>
      <c r="C87" s="570"/>
      <c r="D87" s="570"/>
      <c r="E87" s="570"/>
      <c r="F87" s="570"/>
      <c r="G87" s="591"/>
      <c r="H87" s="591"/>
      <c r="I87" s="591"/>
      <c r="J87" s="591"/>
      <c r="K87" s="591"/>
      <c r="L87" s="591"/>
      <c r="M87" s="592"/>
      <c r="N87" s="1155"/>
      <c r="O87" s="1155"/>
      <c r="P87" s="45"/>
      <c r="Q87" s="504"/>
    </row>
    <row r="88" spans="1:17">
      <c r="A88" s="527" t="s">
        <v>2551</v>
      </c>
      <c r="B88" s="528" t="s">
        <v>2600</v>
      </c>
      <c r="C88" s="3310" t="s">
        <v>3122</v>
      </c>
      <c r="D88" s="530"/>
      <c r="E88" s="530"/>
      <c r="F88" s="530"/>
      <c r="G88" s="530"/>
      <c r="H88" s="530"/>
      <c r="I88" s="530"/>
      <c r="J88" s="530"/>
      <c r="K88" s="531"/>
      <c r="L88" s="532"/>
      <c r="M88" s="533"/>
      <c r="N88" s="1154"/>
      <c r="O88" s="1154"/>
      <c r="P88" s="45"/>
      <c r="Q88" s="504"/>
    </row>
    <row r="89" spans="1:17" ht="15.75" thickBot="1">
      <c r="A89" s="534"/>
      <c r="B89" s="543"/>
      <c r="C89" s="544">
        <v>100</v>
      </c>
      <c r="D89" s="544">
        <f t="shared" ref="D89:M89" si="19">C89-$K29</f>
        <v>98</v>
      </c>
      <c r="E89" s="544">
        <f t="shared" si="19"/>
        <v>96</v>
      </c>
      <c r="F89" s="544">
        <f t="shared" si="19"/>
        <v>94</v>
      </c>
      <c r="G89" s="544">
        <f t="shared" si="19"/>
        <v>92</v>
      </c>
      <c r="H89" s="544">
        <f t="shared" si="19"/>
        <v>90</v>
      </c>
      <c r="I89" s="544">
        <f t="shared" si="19"/>
        <v>88</v>
      </c>
      <c r="J89" s="544">
        <f t="shared" si="19"/>
        <v>86</v>
      </c>
      <c r="K89" s="544">
        <f t="shared" si="19"/>
        <v>84</v>
      </c>
      <c r="L89" s="544">
        <f t="shared" si="19"/>
        <v>82</v>
      </c>
      <c r="M89" s="545">
        <f t="shared" si="19"/>
        <v>80</v>
      </c>
      <c r="N89" s="1155"/>
      <c r="O89" s="1155"/>
      <c r="P89" s="45"/>
      <c r="Q89" s="504"/>
    </row>
    <row r="90" spans="1:17" ht="29.25" thickTop="1">
      <c r="A90" s="534"/>
      <c r="B90" s="538" t="s">
        <v>2601</v>
      </c>
      <c r="C90" s="578" t="str">
        <f>C91&amp;"(含)"&amp;"-"&amp;D91</f>
        <v>0(含)-300</v>
      </c>
      <c r="D90" s="578" t="str">
        <f t="shared" ref="D90:L90" si="20">D91&amp;"(含)"&amp;"-"&amp;E91</f>
        <v>300(含)-500</v>
      </c>
      <c r="E90" s="578" t="str">
        <f t="shared" si="20"/>
        <v>500(含)-1000</v>
      </c>
      <c r="F90" s="578" t="str">
        <f t="shared" si="20"/>
        <v>1000(含)-1500</v>
      </c>
      <c r="G90" s="578" t="str">
        <f t="shared" si="20"/>
        <v>1500(含)-2000</v>
      </c>
      <c r="H90" s="578" t="str">
        <f t="shared" si="20"/>
        <v>2000(含)-5000</v>
      </c>
      <c r="I90" s="578" t="str">
        <f t="shared" si="20"/>
        <v>5000(含)-</v>
      </c>
      <c r="J90" s="578" t="str">
        <f t="shared" si="20"/>
        <v>(含)-</v>
      </c>
      <c r="K90" s="578" t="str">
        <f t="shared" si="20"/>
        <v>(含)-</v>
      </c>
      <c r="L90" s="578" t="str">
        <f t="shared" si="20"/>
        <v>(含)-</v>
      </c>
      <c r="M90" s="622" t="str">
        <f>M91&amp;"(含)"&amp;"-"&amp;P91</f>
        <v>(含)-</v>
      </c>
      <c r="N90" s="1153"/>
      <c r="O90" s="1153"/>
      <c r="P90" s="45"/>
      <c r="Q90" s="504"/>
    </row>
    <row r="91" spans="1:17" s="471" customFormat="1">
      <c r="A91" s="593"/>
      <c r="B91" s="594"/>
      <c r="C91" s="595">
        <v>0</v>
      </c>
      <c r="D91" s="595">
        <v>300</v>
      </c>
      <c r="E91" s="595">
        <v>500</v>
      </c>
      <c r="F91" s="595">
        <v>1000</v>
      </c>
      <c r="G91" s="595">
        <v>1500</v>
      </c>
      <c r="H91" s="595">
        <v>2000</v>
      </c>
      <c r="I91" s="595">
        <v>5000</v>
      </c>
      <c r="J91" s="596"/>
      <c r="K91" s="596"/>
      <c r="L91" s="597"/>
      <c r="M91" s="598"/>
      <c r="N91" s="1156"/>
      <c r="O91" s="1156"/>
      <c r="P91" s="558"/>
      <c r="Q91" s="559"/>
    </row>
    <row r="92" spans="1:17" s="471" customFormat="1" ht="15.75" thickBot="1">
      <c r="A92" s="553"/>
      <c r="B92" s="543"/>
      <c r="C92" s="560">
        <f>D92-2</f>
        <v>98</v>
      </c>
      <c r="D92" s="536">
        <v>100</v>
      </c>
      <c r="E92" s="536">
        <f>D92-2</f>
        <v>98</v>
      </c>
      <c r="F92" s="536">
        <f t="shared" ref="F92:I92" si="21">E92-2</f>
        <v>96</v>
      </c>
      <c r="G92" s="536">
        <f t="shared" si="21"/>
        <v>94</v>
      </c>
      <c r="H92" s="536">
        <f t="shared" si="21"/>
        <v>92</v>
      </c>
      <c r="I92" s="536">
        <f t="shared" si="21"/>
        <v>90</v>
      </c>
      <c r="J92" s="536"/>
      <c r="K92" s="536"/>
      <c r="L92" s="536"/>
      <c r="M92" s="537"/>
      <c r="N92" s="1155"/>
      <c r="O92" s="1155"/>
      <c r="P92" s="558"/>
      <c r="Q92" s="559"/>
    </row>
    <row r="93" spans="1:17" ht="15" thickTop="1">
      <c r="A93" s="599"/>
      <c r="B93" s="538" t="s">
        <v>2602</v>
      </c>
      <c r="C93" s="3311" t="s">
        <v>3123</v>
      </c>
      <c r="D93" s="554"/>
      <c r="E93" s="583"/>
      <c r="F93" s="583"/>
      <c r="G93" s="583"/>
      <c r="H93" s="583"/>
      <c r="I93" s="583"/>
      <c r="J93" s="583"/>
      <c r="K93" s="584"/>
      <c r="L93" s="585"/>
      <c r="M93" s="586"/>
      <c r="N93" s="1154"/>
      <c r="O93" s="1154"/>
      <c r="P93" s="45"/>
      <c r="Q93" s="504"/>
    </row>
    <row r="94" spans="1:17" ht="15.75" thickBot="1">
      <c r="A94" s="534"/>
      <c r="B94" s="543"/>
      <c r="C94" s="544">
        <v>100</v>
      </c>
      <c r="D94" s="544">
        <f t="shared" ref="D94:M94" si="22">C94-$K31</f>
        <v>98</v>
      </c>
      <c r="E94" s="544">
        <f t="shared" si="22"/>
        <v>96</v>
      </c>
      <c r="F94" s="544">
        <f t="shared" si="22"/>
        <v>94</v>
      </c>
      <c r="G94" s="544">
        <f t="shared" si="22"/>
        <v>92</v>
      </c>
      <c r="H94" s="544">
        <f t="shared" si="22"/>
        <v>90</v>
      </c>
      <c r="I94" s="544">
        <f t="shared" si="22"/>
        <v>88</v>
      </c>
      <c r="J94" s="544">
        <f t="shared" si="22"/>
        <v>86</v>
      </c>
      <c r="K94" s="544">
        <f t="shared" si="22"/>
        <v>84</v>
      </c>
      <c r="L94" s="544">
        <f t="shared" si="22"/>
        <v>82</v>
      </c>
      <c r="M94" s="545">
        <f t="shared" si="22"/>
        <v>80</v>
      </c>
      <c r="N94" s="1155"/>
      <c r="O94" s="1155"/>
      <c r="P94" s="45"/>
      <c r="Q94" s="504"/>
    </row>
    <row r="95" spans="1:17" ht="15" thickTop="1">
      <c r="A95" s="599"/>
      <c r="B95" s="538" t="s">
        <v>2604</v>
      </c>
      <c r="C95" s="3311" t="s">
        <v>3125</v>
      </c>
      <c r="D95" s="3311" t="s">
        <v>3127</v>
      </c>
      <c r="E95" s="3311" t="s">
        <v>3129</v>
      </c>
      <c r="F95" s="3312" t="s">
        <v>3131</v>
      </c>
      <c r="G95" s="583"/>
      <c r="H95" s="583"/>
      <c r="I95" s="583"/>
      <c r="J95" s="583"/>
      <c r="K95" s="584"/>
      <c r="L95" s="585"/>
      <c r="M95" s="586"/>
      <c r="N95" s="1154"/>
      <c r="O95" s="1154"/>
      <c r="P95" s="45"/>
      <c r="Q95" s="504"/>
    </row>
    <row r="96" spans="1:17" ht="15.75" thickBot="1">
      <c r="A96" s="534"/>
      <c r="B96" s="543"/>
      <c r="C96" s="544">
        <v>100</v>
      </c>
      <c r="D96" s="544">
        <f t="shared" ref="D96:M96" si="23">C96-$K32</f>
        <v>99</v>
      </c>
      <c r="E96" s="544">
        <f t="shared" si="23"/>
        <v>98</v>
      </c>
      <c r="F96" s="544">
        <f t="shared" si="23"/>
        <v>97</v>
      </c>
      <c r="G96" s="544">
        <f t="shared" si="23"/>
        <v>96</v>
      </c>
      <c r="H96" s="544">
        <f t="shared" si="23"/>
        <v>95</v>
      </c>
      <c r="I96" s="544">
        <f t="shared" si="23"/>
        <v>94</v>
      </c>
      <c r="J96" s="544">
        <f t="shared" si="23"/>
        <v>93</v>
      </c>
      <c r="K96" s="544">
        <f t="shared" si="23"/>
        <v>92</v>
      </c>
      <c r="L96" s="544">
        <f t="shared" si="23"/>
        <v>91</v>
      </c>
      <c r="M96" s="545">
        <f t="shared" si="23"/>
        <v>90</v>
      </c>
      <c r="N96" s="1155"/>
      <c r="O96" s="1155"/>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4"/>
      <c r="O97" s="1154"/>
      <c r="P97" s="45"/>
      <c r="Q97" s="504"/>
    </row>
    <row r="98" spans="1:17">
      <c r="A98" s="599"/>
      <c r="B98" s="546"/>
      <c r="C98" s="603">
        <v>0.5</v>
      </c>
      <c r="D98" s="603">
        <v>0.6</v>
      </c>
      <c r="E98" s="603">
        <v>0.7</v>
      </c>
      <c r="F98" s="603">
        <v>0.8</v>
      </c>
      <c r="G98" s="603">
        <v>0.9</v>
      </c>
      <c r="H98" s="603">
        <v>1.0001</v>
      </c>
      <c r="I98" s="623"/>
      <c r="J98" s="623"/>
      <c r="K98" s="624"/>
      <c r="L98" s="625"/>
      <c r="M98" s="626"/>
      <c r="N98" s="1154"/>
      <c r="O98" s="1154"/>
      <c r="P98" s="45"/>
      <c r="Q98" s="504"/>
    </row>
    <row r="99" spans="1:17" ht="15.75" thickBot="1">
      <c r="A99" s="534"/>
      <c r="B99" s="543"/>
      <c r="C99" s="582">
        <v>100</v>
      </c>
      <c r="D99" s="544">
        <f>C99+$K33</f>
        <v>100</v>
      </c>
      <c r="E99" s="544">
        <f t="shared" ref="E99:M99" si="24">D99+$K33</f>
        <v>100</v>
      </c>
      <c r="F99" s="544">
        <f t="shared" si="24"/>
        <v>100</v>
      </c>
      <c r="G99" s="544">
        <f t="shared" si="24"/>
        <v>100</v>
      </c>
      <c r="H99" s="544">
        <f t="shared" si="24"/>
        <v>100</v>
      </c>
      <c r="I99" s="544">
        <f t="shared" si="24"/>
        <v>100</v>
      </c>
      <c r="J99" s="544">
        <f t="shared" si="24"/>
        <v>100</v>
      </c>
      <c r="K99" s="544">
        <f t="shared" si="24"/>
        <v>100</v>
      </c>
      <c r="L99" s="544">
        <f t="shared" si="24"/>
        <v>100</v>
      </c>
      <c r="M99" s="544">
        <f t="shared" si="24"/>
        <v>100</v>
      </c>
      <c r="N99" s="1155"/>
      <c r="O99" s="1155"/>
      <c r="P99" s="45"/>
      <c r="Q99" s="504"/>
    </row>
    <row r="100" spans="1:17" s="471" customFormat="1" ht="15" thickTop="1">
      <c r="A100" s="593"/>
      <c r="B100" s="538" t="s">
        <v>2605</v>
      </c>
      <c r="C100" s="3311" t="s">
        <v>3133</v>
      </c>
      <c r="D100" s="554"/>
      <c r="E100" s="554"/>
      <c r="F100" s="554"/>
      <c r="G100" s="554"/>
      <c r="H100" s="583"/>
      <c r="I100" s="583"/>
      <c r="J100" s="583"/>
      <c r="K100" s="584"/>
      <c r="L100" s="585"/>
      <c r="M100" s="586"/>
      <c r="N100" s="1156"/>
      <c r="O100" s="1156"/>
      <c r="P100" s="558"/>
      <c r="Q100" s="559"/>
    </row>
    <row r="101" spans="1:17" s="471" customFormat="1" ht="15.75" thickBot="1">
      <c r="A101" s="553"/>
      <c r="B101" s="543"/>
      <c r="C101" s="544">
        <v>100</v>
      </c>
      <c r="D101" s="544">
        <f>C101-$K34</f>
        <v>98</v>
      </c>
      <c r="E101" s="544">
        <f t="shared" ref="E101:M101" si="25">D101-$K34</f>
        <v>96</v>
      </c>
      <c r="F101" s="544">
        <f t="shared" si="25"/>
        <v>94</v>
      </c>
      <c r="G101" s="544">
        <f t="shared" si="25"/>
        <v>92</v>
      </c>
      <c r="H101" s="544">
        <f t="shared" si="25"/>
        <v>90</v>
      </c>
      <c r="I101" s="544">
        <f t="shared" si="25"/>
        <v>88</v>
      </c>
      <c r="J101" s="544">
        <f t="shared" si="25"/>
        <v>86</v>
      </c>
      <c r="K101" s="544">
        <f t="shared" si="25"/>
        <v>84</v>
      </c>
      <c r="L101" s="544">
        <f t="shared" si="25"/>
        <v>82</v>
      </c>
      <c r="M101" s="544">
        <f t="shared" si="25"/>
        <v>80</v>
      </c>
      <c r="N101" s="1156"/>
      <c r="O101" s="1156"/>
      <c r="P101" s="558"/>
      <c r="Q101" s="559"/>
    </row>
    <row r="102" spans="1:17" ht="15" thickTop="1">
      <c r="A102" s="599"/>
      <c r="B102" s="538" t="s">
        <v>2606</v>
      </c>
      <c r="C102" s="554" t="s">
        <v>3120</v>
      </c>
      <c r="D102" s="554" t="s">
        <v>3134</v>
      </c>
      <c r="E102" s="554" t="s">
        <v>3135</v>
      </c>
      <c r="F102" s="554" t="s">
        <v>3136</v>
      </c>
      <c r="G102" s="554" t="s">
        <v>3137</v>
      </c>
      <c r="H102" s="583"/>
      <c r="I102" s="583"/>
      <c r="J102" s="583"/>
      <c r="K102" s="584"/>
      <c r="L102" s="585"/>
      <c r="M102" s="586"/>
      <c r="N102" s="1154"/>
      <c r="O102" s="1154"/>
      <c r="P102" s="45"/>
      <c r="Q102" s="504"/>
    </row>
    <row r="103" spans="1:17" ht="15.75" thickBot="1">
      <c r="A103" s="534"/>
      <c r="B103" s="543"/>
      <c r="C103" s="544">
        <v>100</v>
      </c>
      <c r="D103" s="544">
        <f t="shared" ref="D103:M103" si="26">C103-$K35</f>
        <v>99</v>
      </c>
      <c r="E103" s="544">
        <f t="shared" si="26"/>
        <v>98</v>
      </c>
      <c r="F103" s="544">
        <f t="shared" si="26"/>
        <v>97</v>
      </c>
      <c r="G103" s="544">
        <f t="shared" si="26"/>
        <v>96</v>
      </c>
      <c r="H103" s="544">
        <f t="shared" si="26"/>
        <v>95</v>
      </c>
      <c r="I103" s="544">
        <f t="shared" si="26"/>
        <v>94</v>
      </c>
      <c r="J103" s="544">
        <f t="shared" si="26"/>
        <v>93</v>
      </c>
      <c r="K103" s="544">
        <f t="shared" si="26"/>
        <v>92</v>
      </c>
      <c r="L103" s="544">
        <f t="shared" si="26"/>
        <v>91</v>
      </c>
      <c r="M103" s="545">
        <f t="shared" si="26"/>
        <v>90</v>
      </c>
      <c r="N103" s="1155"/>
      <c r="O103" s="1155"/>
      <c r="P103" s="45"/>
      <c r="Q103" s="504"/>
    </row>
    <row r="104" spans="1:17" ht="15" thickTop="1">
      <c r="A104" s="599"/>
      <c r="B104" s="538" t="s">
        <v>2608</v>
      </c>
      <c r="C104" s="554" t="s">
        <v>3124</v>
      </c>
      <c r="D104" s="554" t="s">
        <v>3126</v>
      </c>
      <c r="E104" s="554" t="s">
        <v>3128</v>
      </c>
      <c r="F104" s="554" t="s">
        <v>3130</v>
      </c>
      <c r="G104" s="554"/>
      <c r="H104" s="583"/>
      <c r="I104" s="583"/>
      <c r="J104" s="583"/>
      <c r="K104" s="584"/>
      <c r="L104" s="585"/>
      <c r="M104" s="586"/>
      <c r="N104" s="1154"/>
      <c r="O104" s="1154"/>
      <c r="P104" s="45"/>
      <c r="Q104" s="504"/>
    </row>
    <row r="105" spans="1:17" ht="15.75" thickBot="1">
      <c r="A105" s="534"/>
      <c r="B105" s="543"/>
      <c r="C105" s="544">
        <v>100</v>
      </c>
      <c r="D105" s="544">
        <f>C105-$K36</f>
        <v>98</v>
      </c>
      <c r="E105" s="544">
        <f>D105-$K36</f>
        <v>96</v>
      </c>
      <c r="F105" s="544">
        <f>E105-$K36</f>
        <v>94</v>
      </c>
      <c r="G105" s="544">
        <f>F105-$K36</f>
        <v>92</v>
      </c>
      <c r="H105" s="544"/>
      <c r="I105" s="544"/>
      <c r="J105" s="544"/>
      <c r="K105" s="544"/>
      <c r="L105" s="544"/>
      <c r="M105" s="545"/>
      <c r="N105" s="1155"/>
      <c r="O105" s="1155"/>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5"/>
      <c r="O106" s="1155"/>
      <c r="P106" s="637"/>
      <c r="Q106" s="638"/>
    </row>
    <row r="107" spans="1:17" ht="15.75" thickBot="1">
      <c r="A107" s="534"/>
      <c r="B107" s="543"/>
      <c r="C107" s="582">
        <v>100</v>
      </c>
      <c r="D107" s="544">
        <f t="shared" ref="D107:M107" si="27">C107-$K37</f>
        <v>99</v>
      </c>
      <c r="E107" s="544">
        <f t="shared" si="27"/>
        <v>98</v>
      </c>
      <c r="F107" s="544">
        <f t="shared" si="27"/>
        <v>97</v>
      </c>
      <c r="G107" s="544">
        <f t="shared" si="27"/>
        <v>96</v>
      </c>
      <c r="H107" s="544">
        <f t="shared" si="27"/>
        <v>95</v>
      </c>
      <c r="I107" s="544">
        <f t="shared" si="27"/>
        <v>94</v>
      </c>
      <c r="J107" s="544">
        <f t="shared" si="27"/>
        <v>93</v>
      </c>
      <c r="K107" s="544">
        <f t="shared" si="27"/>
        <v>92</v>
      </c>
      <c r="L107" s="544">
        <f t="shared" si="27"/>
        <v>91</v>
      </c>
      <c r="M107" s="544">
        <f t="shared" si="27"/>
        <v>90</v>
      </c>
      <c r="N107" s="1155"/>
      <c r="O107" s="1155"/>
      <c r="P107" s="45"/>
      <c r="Q107" s="504"/>
    </row>
    <row r="108" spans="1:17" s="471" customFormat="1" ht="15" thickTop="1">
      <c r="A108" s="593"/>
      <c r="B108" s="538">
        <f>B38</f>
        <v>111</v>
      </c>
      <c r="C108" s="554"/>
      <c r="D108" s="554"/>
      <c r="E108" s="554"/>
      <c r="F108" s="554"/>
      <c r="G108" s="554"/>
      <c r="H108" s="555"/>
      <c r="I108" s="555"/>
      <c r="J108" s="555"/>
      <c r="K108" s="555"/>
      <c r="L108" s="556"/>
      <c r="M108" s="557"/>
      <c r="N108" s="1156"/>
      <c r="O108" s="1156"/>
      <c r="P108" s="558"/>
      <c r="Q108" s="559"/>
    </row>
    <row r="109" spans="1:17" s="471" customFormat="1" ht="15.75" thickBot="1">
      <c r="A109" s="553"/>
      <c r="B109" s="535"/>
      <c r="C109" s="560"/>
      <c r="D109" s="536"/>
      <c r="E109" s="536"/>
      <c r="F109" s="536"/>
      <c r="G109" s="560"/>
      <c r="H109" s="562"/>
      <c r="I109" s="562"/>
      <c r="J109" s="562"/>
      <c r="K109" s="562"/>
      <c r="L109" s="562"/>
      <c r="M109" s="563"/>
      <c r="N109" s="1156"/>
      <c r="O109" s="1156"/>
      <c r="P109" s="558"/>
      <c r="Q109" s="559"/>
    </row>
    <row r="110" spans="1:17" ht="15" thickTop="1">
      <c r="A110" s="599"/>
      <c r="B110" s="538">
        <f>B39</f>
        <v>111</v>
      </c>
      <c r="C110" s="554"/>
      <c r="D110" s="554"/>
      <c r="E110" s="554"/>
      <c r="F110" s="554"/>
      <c r="G110" s="554"/>
      <c r="H110" s="555"/>
      <c r="I110" s="555"/>
      <c r="J110" s="555"/>
      <c r="K110" s="555"/>
      <c r="L110" s="556"/>
      <c r="M110" s="557"/>
      <c r="N110" s="1154"/>
      <c r="O110" s="1154"/>
      <c r="P110" s="45"/>
      <c r="Q110" s="504"/>
    </row>
    <row r="111" spans="1:17" ht="15.75" thickBot="1">
      <c r="A111" s="534"/>
      <c r="B111" s="543"/>
      <c r="C111" s="560"/>
      <c r="D111" s="536"/>
      <c r="E111" s="536"/>
      <c r="F111" s="536"/>
      <c r="G111" s="560"/>
      <c r="H111" s="562"/>
      <c r="I111" s="562"/>
      <c r="J111" s="562"/>
      <c r="K111" s="562"/>
      <c r="L111" s="562"/>
      <c r="M111" s="563"/>
      <c r="N111" s="1155"/>
      <c r="O111" s="1155"/>
      <c r="P111" s="45"/>
      <c r="Q111" s="504"/>
    </row>
    <row r="112" spans="1:17" ht="15" thickTop="1">
      <c r="A112" s="599"/>
      <c r="B112" s="546">
        <f>B40</f>
        <v>111</v>
      </c>
      <c r="C112" s="523"/>
      <c r="D112" s="523"/>
      <c r="E112" s="523"/>
      <c r="F112" s="523"/>
      <c r="G112" s="587"/>
      <c r="H112" s="587"/>
      <c r="I112" s="587"/>
      <c r="J112" s="587"/>
      <c r="K112" s="523"/>
      <c r="L112" s="524"/>
      <c r="M112" s="590"/>
      <c r="N112" s="1154"/>
      <c r="O112" s="1154"/>
      <c r="P112" s="45"/>
      <c r="Q112" s="504"/>
    </row>
    <row r="113" spans="1:17" ht="15.75" thickBot="1">
      <c r="A113" s="2632"/>
      <c r="B113" s="569"/>
      <c r="C113" s="570"/>
      <c r="D113" s="570"/>
      <c r="E113" s="570"/>
      <c r="F113" s="570"/>
      <c r="G113" s="591"/>
      <c r="H113" s="591"/>
      <c r="I113" s="591"/>
      <c r="J113" s="591"/>
      <c r="K113" s="591"/>
      <c r="L113" s="591"/>
      <c r="M113" s="592"/>
      <c r="N113" s="1155"/>
      <c r="O113" s="1155"/>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P8:Q8"/>
    <mergeCell ref="Y8:Z8"/>
    <mergeCell ref="P9:P14"/>
    <mergeCell ref="Y9:Y14"/>
    <mergeCell ref="P15:P28"/>
    <mergeCell ref="Y15:Y28"/>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3" type="noConversion"/>
  <conditionalFormatting sqref="F46 H46">
    <cfRule type="containsText" dxfId="15" priority="16" stopIfTrue="1" operator="containsText" text="超过">
      <formula>NOT(ISERROR(SEARCH("超过",F46)))</formula>
    </cfRule>
  </conditionalFormatting>
  <conditionalFormatting sqref="H48">
    <cfRule type="containsText" dxfId="14" priority="15" stopIfTrue="1" operator="containsText" text="超过">
      <formula>NOT(ISERROR(SEARCH("超过",H48)))</formula>
    </cfRule>
  </conditionalFormatting>
  <conditionalFormatting sqref="F48">
    <cfRule type="containsText" dxfId="13" priority="14" stopIfTrue="1" operator="containsText" text="超过">
      <formula>NOT(ISERROR(SEARCH("超过",F48)))</formula>
    </cfRule>
  </conditionalFormatting>
  <conditionalFormatting sqref="F47 H47">
    <cfRule type="containsText" dxfId="12" priority="13" stopIfTrue="1" operator="containsText" text="超过">
      <formula>NOT(ISERROR(SEARCH("超过",F47)))</formula>
    </cfRule>
  </conditionalFormatting>
  <conditionalFormatting sqref="E46">
    <cfRule type="expression" dxfId="11" priority="12" stopIfTrue="1">
      <formula>$F$46="超过30%"</formula>
    </cfRule>
  </conditionalFormatting>
  <conditionalFormatting sqref="E47">
    <cfRule type="expression" dxfId="10" priority="11" stopIfTrue="1">
      <formula>$F$47="超过20%"</formula>
    </cfRule>
  </conditionalFormatting>
  <conditionalFormatting sqref="E48">
    <cfRule type="expression" dxfId="9" priority="10" stopIfTrue="1">
      <formula>$F$48="超过30%"</formula>
    </cfRule>
  </conditionalFormatting>
  <conditionalFormatting sqref="G48">
    <cfRule type="expression" dxfId="8" priority="9" stopIfTrue="1">
      <formula>$H$48="超过30%"</formula>
    </cfRule>
  </conditionalFormatting>
  <conditionalFormatting sqref="G46">
    <cfRule type="expression" dxfId="7" priority="8" stopIfTrue="1">
      <formula>$H$46="超过30%"</formula>
    </cfRule>
  </conditionalFormatting>
  <conditionalFormatting sqref="G47">
    <cfRule type="expression" dxfId="6" priority="7" stopIfTrue="1">
      <formula>$H$47="超过20%"</formula>
    </cfRule>
  </conditionalFormatting>
  <conditionalFormatting sqref="J46">
    <cfRule type="containsText" dxfId="5" priority="6" stopIfTrue="1" operator="containsText" text="超过">
      <formula>NOT(ISERROR(SEARCH("超过",J46)))</formula>
    </cfRule>
  </conditionalFormatting>
  <conditionalFormatting sqref="J48">
    <cfRule type="containsText" dxfId="4" priority="5" stopIfTrue="1" operator="containsText" text="超过">
      <formula>NOT(ISERROR(SEARCH("超过",J48)))</formula>
    </cfRule>
  </conditionalFormatting>
  <conditionalFormatting sqref="J47">
    <cfRule type="containsText" dxfId="3" priority="4" stopIfTrue="1" operator="containsText" text="超过">
      <formula>NOT(ISERROR(SEARCH("超过",J47)))</formula>
    </cfRule>
  </conditionalFormatting>
  <conditionalFormatting sqref="I46">
    <cfRule type="expression" dxfId="2" priority="3" stopIfTrue="1">
      <formula>$J$46="超过30%"</formula>
    </cfRule>
  </conditionalFormatting>
  <conditionalFormatting sqref="I47">
    <cfRule type="expression" dxfId="1" priority="2" stopIfTrue="1">
      <formula>$J$47="超过20%"</formula>
    </cfRule>
  </conditionalFormatting>
  <conditionalFormatting sqref="I48">
    <cfRule type="expression" dxfId="0" priority="1" stopIfTrue="1">
      <formula>$J$48="超过30%"</formula>
    </cfRule>
  </conditionalFormatting>
  <dataValidations count="19">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产业集聚程度</formula1>
    </dataValidation>
    <dataValidation type="list" allowBlank="1" showInputMessage="1" showErrorMessage="1" sqref="C37 E37 G37 I37">
      <formula1>内部装修维护情况</formula1>
    </dataValidation>
    <dataValidation type="list" allowBlank="1" showInputMessage="1" showErrorMessage="1" sqref="C36 E36 G36 I36">
      <formula1>工业内部装修</formula1>
    </dataValidation>
    <dataValidation type="list" allowBlank="1" showInputMessage="1" showErrorMessage="1" sqref="C35 E35 G35 I35">
      <formula1>工业基础设施水平</formula1>
    </dataValidation>
    <dataValidation type="list" allowBlank="1" showInputMessage="1" showErrorMessage="1" sqref="C34 E34 G34 I34">
      <formula1>工业物业管理</formula1>
    </dataValidation>
    <dataValidation type="list" allowBlank="1" showInputMessage="1" showErrorMessage="1" sqref="C32 E32 G32 I32">
      <formula1>工业公共部分装修</formula1>
    </dataValidation>
    <dataValidation type="list" allowBlank="1" showInputMessage="1" showErrorMessage="1" sqref="C31 E31 G31 I31">
      <formula1>工业建筑结构</formula1>
    </dataValidation>
    <dataValidation type="list" allowBlank="1" showInputMessage="1" showErrorMessage="1" sqref="C29 E29 G29 I29">
      <formula1>工业建筑类型</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91" workbookViewId="0">
      <selection activeCell="N196" sqref="A121:N196"/>
    </sheetView>
  </sheetViews>
  <sheetFormatPr defaultRowHeight="13.5"/>
  <sheetData/>
  <phoneticPr fontId="143" type="noConversion"/>
  <pageMargins left="0.7" right="0.7" top="0.75" bottom="0.75" header="0.3" footer="0.3"/>
  <pageSetup paperSize="9" scale="27"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G19" sqref="G19"/>
    </sheetView>
  </sheetViews>
  <sheetFormatPr defaultRowHeight="13.5"/>
  <cols>
    <col min="2" max="2" width="13.5" bestFit="1" customWidth="1"/>
    <col min="3" max="3" width="13.75" customWidth="1"/>
    <col min="4" max="4" width="10.5" bestFit="1" customWidth="1"/>
    <col min="5" max="5" width="9.5" bestFit="1" customWidth="1"/>
  </cols>
  <sheetData>
    <row r="1" spans="1:10">
      <c r="A1" s="3284" t="s">
        <v>3083</v>
      </c>
      <c r="B1" s="3284" t="s">
        <v>3086</v>
      </c>
      <c r="C1" s="3284" t="s">
        <v>3087</v>
      </c>
      <c r="D1" s="3284" t="s">
        <v>3089</v>
      </c>
      <c r="E1" s="3284" t="s">
        <v>3090</v>
      </c>
      <c r="F1" s="3284" t="s">
        <v>3091</v>
      </c>
      <c r="G1" s="3284" t="s">
        <v>3094</v>
      </c>
      <c r="H1" s="3284" t="s">
        <v>3093</v>
      </c>
      <c r="I1" s="3284" t="s">
        <v>3098</v>
      </c>
    </row>
    <row r="2" spans="1:10">
      <c r="A2" s="3284" t="s">
        <v>3084</v>
      </c>
      <c r="B2">
        <v>311.60000000000002</v>
      </c>
      <c r="C2" s="3284" t="s">
        <v>3088</v>
      </c>
      <c r="D2" s="3285">
        <v>42597</v>
      </c>
      <c r="E2" s="3285">
        <v>43709</v>
      </c>
      <c r="F2" s="3287" t="s">
        <v>3092</v>
      </c>
      <c r="G2">
        <v>386695.6</v>
      </c>
      <c r="H2">
        <v>3.4</v>
      </c>
      <c r="I2">
        <v>60000</v>
      </c>
      <c r="J2">
        <f>0.1/H2</f>
        <v>2.9411764705882356E-2</v>
      </c>
    </row>
    <row r="3" spans="1:10">
      <c r="A3" s="3284" t="s">
        <v>3096</v>
      </c>
      <c r="B3">
        <v>623</v>
      </c>
      <c r="C3" s="3284" t="s">
        <v>3097</v>
      </c>
      <c r="D3" s="3285">
        <v>42590</v>
      </c>
      <c r="E3" s="3285">
        <v>43684</v>
      </c>
      <c r="F3" s="3286" t="str">
        <f>F2</f>
        <v>0.1元</v>
      </c>
      <c r="G3">
        <v>742740</v>
      </c>
      <c r="H3">
        <f>ROUND(G3/B3/365,1)</f>
        <v>3.3</v>
      </c>
      <c r="I3">
        <v>100000</v>
      </c>
      <c r="J3">
        <f t="shared" ref="J3:J4" si="0">0.1/H3</f>
        <v>3.0303030303030307E-2</v>
      </c>
    </row>
    <row r="4" spans="1:10">
      <c r="B4">
        <v>310</v>
      </c>
      <c r="C4" s="3284" t="s">
        <v>3099</v>
      </c>
      <c r="D4" s="3285">
        <v>42682</v>
      </c>
      <c r="E4" s="3285">
        <v>43684</v>
      </c>
      <c r="F4" s="3286" t="str">
        <f>F3</f>
        <v>0.1元</v>
      </c>
      <c r="G4">
        <v>370000</v>
      </c>
      <c r="H4">
        <f>ROUND(G4/B4/365,1)</f>
        <v>3.3</v>
      </c>
      <c r="I4">
        <v>50000</v>
      </c>
      <c r="J4">
        <f t="shared" si="0"/>
        <v>3.0303030303030307E-2</v>
      </c>
    </row>
    <row r="5" spans="1:10">
      <c r="B5">
        <f>SUM(B2:B4)</f>
        <v>1244.5999999999999</v>
      </c>
      <c r="G5">
        <f>SUM(G2:G4)</f>
        <v>1499435.6</v>
      </c>
      <c r="I5">
        <f>SUM(I2:I4)</f>
        <v>210000</v>
      </c>
    </row>
    <row r="6" spans="1:10">
      <c r="B6">
        <f>'数据-汇总表'!E3</f>
        <v>1246.4000000000001</v>
      </c>
      <c r="F6" s="3316" t="s">
        <v>3100</v>
      </c>
      <c r="G6" s="3317">
        <f>ROUND(G5/B6/365,1)</f>
        <v>3.3</v>
      </c>
    </row>
    <row r="7" spans="1:10">
      <c r="F7" s="3317"/>
      <c r="G7" s="3316" t="s">
        <v>3142</v>
      </c>
    </row>
    <row r="9" spans="1:10" ht="14.25" thickBot="1"/>
    <row r="10" spans="1:10" s="3291" customFormat="1" ht="20.25" customHeight="1" thickBot="1">
      <c r="A10" s="3289" t="s">
        <v>3101</v>
      </c>
      <c r="B10" s="3290">
        <f>项目基本情况!B3</f>
        <v>43165</v>
      </c>
    </row>
    <row r="11" spans="1:10" s="3291" customFormat="1" ht="33" customHeight="1">
      <c r="A11" s="3292" t="s">
        <v>3102</v>
      </c>
      <c r="B11" s="3293" t="s">
        <v>3103</v>
      </c>
      <c r="C11" s="3294" t="s">
        <v>3104</v>
      </c>
      <c r="D11" s="3293" t="s">
        <v>3105</v>
      </c>
      <c r="E11" s="3295" t="s">
        <v>3106</v>
      </c>
    </row>
    <row r="12" spans="1:10" s="3291" customFormat="1" ht="20.25" customHeight="1">
      <c r="A12" s="3296">
        <v>40</v>
      </c>
      <c r="B12" s="3297">
        <f>E2</f>
        <v>43709</v>
      </c>
      <c r="C12" s="3298">
        <f>ROUNDDOWN(MIN((B12-$B$10)/365,A12),2)</f>
        <v>1.49</v>
      </c>
      <c r="D12" s="3299">
        <f>IF(ISERROR(ROUND(POWER(1+E12,A12-C12)*(POWER(1+E12,C12)-1)/(POWER(1+E12,A12)-1),3)),0,ROUND(POWER(1+E12,A12-C12)*(POWER(1+E12,C12)-1)/(POWER(1+E12,A12)-1),3))</f>
        <v>7.1999999999999995E-2</v>
      </c>
      <c r="E12" s="3300">
        <v>0.04</v>
      </c>
    </row>
    <row r="13" spans="1:10" s="3291" customFormat="1" ht="20.25" customHeight="1">
      <c r="A13" s="3296">
        <v>50</v>
      </c>
      <c r="B13" s="3297">
        <v>50028</v>
      </c>
      <c r="C13" s="3298" t="e">
        <f>ROUNDDOWN(MIN((B13-$B$1)/365,A13),2)</f>
        <v>#VALUE!</v>
      </c>
      <c r="D13" s="3299">
        <f>IF(ISERROR(ROUND(POWER(1+E13,A13-C13)*(POWER(1+E13,C13)-1)/(POWER(1+E13,A13)-1),3)),0,ROUND(POWER(1+E13,A13-C13)*(POWER(1+E13,C13)-1)/(POWER(1+E13,A13)-1),3))</f>
        <v>0</v>
      </c>
      <c r="E13" s="3300">
        <v>0.04</v>
      </c>
    </row>
    <row r="14" spans="1:10" s="3291" customFormat="1" ht="20.25" customHeight="1" thickBot="1">
      <c r="A14" s="3301">
        <v>70</v>
      </c>
      <c r="B14" s="3302">
        <v>57333</v>
      </c>
      <c r="C14" s="3303" t="e">
        <f>ROUNDDOWN(MIN((B14-$B$1)/365,A14),2)</f>
        <v>#VALUE!</v>
      </c>
      <c r="D14" s="3304">
        <f>IF(ISERROR(ROUND(POWER(1+E14,A14-C14)*(POWER(1+E14,C14)-1)/(POWER(1+E14,A14)-1),3)),0,ROUND(POWER(1+E14,A14-C14)*(POWER(1+E14,C14)-1)/(POWER(1+E14,A14)-1),3))</f>
        <v>0</v>
      </c>
      <c r="E14" s="3305">
        <v>0.04</v>
      </c>
    </row>
  </sheetData>
  <phoneticPr fontId="143" type="noConversion"/>
  <dataValidations count="1">
    <dataValidation type="list" allowBlank="1" showInputMessage="1" showErrorMessage="1" sqref="A12:A14 IW12:IW14 SS12:SS14 ACO12:ACO14 AMK12:AMK14 AWG12:AWG14 BGC12:BGC14 BPY12:BPY14 BZU12:BZU14 CJQ12:CJQ14 CTM12:CTM14 DDI12:DDI14 DNE12:DNE14 DXA12:DXA14 EGW12:EGW14 EQS12:EQS14 FAO12:FAO14 FKK12:FKK14 FUG12:FUG14 GEC12:GEC14 GNY12:GNY14 GXU12:GXU14 HHQ12:HHQ14 HRM12:HRM14 IBI12:IBI14 ILE12:ILE14 IVA12:IVA14 JEW12:JEW14 JOS12:JOS14 JYO12:JYO14 KIK12:KIK14 KSG12:KSG14 LCC12:LCC14 LLY12:LLY14 LVU12:LVU14 MFQ12:MFQ14 MPM12:MPM14 MZI12:MZI14 NJE12:NJE14 NTA12:NTA14 OCW12:OCW14 OMS12:OMS14 OWO12:OWO14 PGK12:PGK14 PQG12:PQG14 QAC12:QAC14 QJY12:QJY14 QTU12:QTU14 RDQ12:RDQ14 RNM12:RNM14 RXI12:RXI14 SHE12:SHE14 SRA12:SRA14 TAW12:TAW14 TKS12:TKS14 TUO12:TUO14 UEK12:UEK14 UOG12:UOG14 UYC12:UYC14 VHY12:VHY14 VRU12:VRU14 WBQ12:WBQ14 WLM12:WLM14 WVI12:WVI14">
      <formula1>"40,50,70"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72" t="str">
        <f>IF(项目基本情况!B9="房地产市场价值","估价结果一览表","结果表-2")</f>
        <v>结果表-2</v>
      </c>
      <c r="B1" s="2972"/>
      <c r="C1" s="2972"/>
      <c r="D1" s="2972"/>
      <c r="E1" s="2972"/>
      <c r="F1" s="2972"/>
      <c r="G1" s="2972"/>
      <c r="H1" s="2972"/>
      <c r="I1" s="2972"/>
    </row>
    <row r="2" spans="1:9" ht="30" customHeight="1" thickTop="1">
      <c r="A2" s="2973" t="s">
        <v>1641</v>
      </c>
      <c r="B2" s="2973" t="s">
        <v>1642</v>
      </c>
      <c r="C2" s="2973" t="s">
        <v>1643</v>
      </c>
      <c r="D2" s="2973" t="str">
        <f>结果表!D116</f>
        <v>出让国有建设用地使用权价值</v>
      </c>
      <c r="E2" s="2973"/>
      <c r="F2" s="2973" t="str">
        <f>结果表!F116</f>
        <v>在建建筑物价值</v>
      </c>
      <c r="G2" s="2973"/>
      <c r="H2" s="2973" t="str">
        <f>IF(项目基本情况!B9="房地产市场价值","房地产市场价值","房地产价值")</f>
        <v>房地产价值</v>
      </c>
      <c r="I2" s="2973"/>
    </row>
    <row r="3" spans="1:9" ht="15">
      <c r="A3" s="2974"/>
      <c r="B3" s="2974"/>
      <c r="C3" s="2974"/>
      <c r="D3" s="1046" t="s">
        <v>1638</v>
      </c>
      <c r="E3" s="1046" t="s">
        <v>1644</v>
      </c>
      <c r="F3" s="1046" t="s">
        <v>1638</v>
      </c>
      <c r="G3" s="1046" t="s">
        <v>1639</v>
      </c>
      <c r="H3" s="1046" t="s">
        <v>1638</v>
      </c>
      <c r="I3" s="1046" t="s">
        <v>1639</v>
      </c>
    </row>
    <row r="4" spans="1:9" ht="30">
      <c r="A4" s="1975" t="str">
        <f>项目基本情况!S2</f>
        <v>北京市昌平区超前路37号院20号楼1至4层101号房地产</v>
      </c>
      <c r="B4" s="1046">
        <f>项目基本情况!C17</f>
        <v>1246.4000000000001</v>
      </c>
      <c r="C4" s="1046">
        <f>项目基本情况!C18</f>
        <v>0</v>
      </c>
      <c r="D4" s="1046" t="e">
        <f ca="1">结果表!D118</f>
        <v>#REF!</v>
      </c>
      <c r="E4" s="1046" t="e">
        <f ca="1">结果表!E118</f>
        <v>#REF!</v>
      </c>
      <c r="F4" s="1046" t="e">
        <f ca="1">结果表!F118</f>
        <v>#REF!</v>
      </c>
      <c r="G4" s="1046" t="e">
        <f ca="1">结果表!G118</f>
        <v>#REF!</v>
      </c>
      <c r="H4" s="1046">
        <f ca="1">结果表!H118</f>
        <v>2064</v>
      </c>
      <c r="I4" s="1046">
        <f ca="1">结果表!I118</f>
        <v>16560</v>
      </c>
    </row>
    <row r="5" spans="1:9" ht="30" customHeight="1">
      <c r="A5" s="2974" t="s">
        <v>1640</v>
      </c>
      <c r="B5" s="2974"/>
      <c r="C5" s="2974"/>
      <c r="D5" s="2975" t="e">
        <f ca="1">结果表!D119</f>
        <v>#REF!</v>
      </c>
      <c r="E5" s="2975"/>
      <c r="F5" s="2975" t="e">
        <f ca="1">结果表!F119</f>
        <v>#REF!</v>
      </c>
      <c r="G5" s="2975"/>
      <c r="H5" s="2975" t="str">
        <f ca="1">结果表!H119</f>
        <v>贰仟零陆拾肆万元整</v>
      </c>
      <c r="I5" s="2975"/>
    </row>
    <row r="6" spans="1:9" ht="15.75">
      <c r="A6" s="2976" t="str">
        <f>结果表!A120</f>
        <v>估价师知悉的法定优先受偿款</v>
      </c>
      <c r="B6" s="2976"/>
      <c r="C6" s="2976"/>
      <c r="D6" s="2976">
        <f>结果表!D120</f>
        <v>0</v>
      </c>
      <c r="E6" s="2976"/>
      <c r="F6" s="2976"/>
      <c r="G6" s="2976"/>
      <c r="H6" s="2976"/>
      <c r="I6" s="2976"/>
    </row>
    <row r="7" spans="1:9" ht="15">
      <c r="A7" s="2974" t="s">
        <v>1640</v>
      </c>
      <c r="B7" s="2974"/>
      <c r="C7" s="2974"/>
      <c r="D7" s="2977" t="str">
        <f>结果表!D121</f>
        <v>零元整</v>
      </c>
      <c r="E7" s="2978"/>
      <c r="F7" s="2978"/>
      <c r="G7" s="2978"/>
      <c r="H7" s="2978"/>
      <c r="I7" s="2979"/>
    </row>
    <row r="8" spans="1:9" ht="15.75">
      <c r="A8" s="2976" t="str">
        <f>结果表!A122</f>
        <v>房地产抵押价值</v>
      </c>
      <c r="B8" s="2976"/>
      <c r="C8" s="2976"/>
      <c r="D8" s="2976">
        <f ca="1">结果表!D122</f>
        <v>2064</v>
      </c>
      <c r="E8" s="2976"/>
      <c r="F8" s="2976"/>
      <c r="G8" s="2976"/>
      <c r="H8" s="2976"/>
      <c r="I8" s="2976"/>
    </row>
    <row r="9" spans="1:9" ht="15">
      <c r="A9" s="2974" t="s">
        <v>1640</v>
      </c>
      <c r="B9" s="2974"/>
      <c r="C9" s="2974"/>
      <c r="D9" s="2975" t="str">
        <f ca="1">结果表!D123</f>
        <v>贰仟零陆拾肆万元整</v>
      </c>
      <c r="E9" s="2975"/>
      <c r="F9" s="2975"/>
      <c r="G9" s="2975"/>
      <c r="H9" s="2975"/>
      <c r="I9" s="2975"/>
    </row>
    <row r="10" spans="1:9" ht="15.75">
      <c r="A10" s="2976" t="str">
        <f>结果表!A124</f>
        <v/>
      </c>
      <c r="B10" s="2976"/>
      <c r="C10" s="2976"/>
      <c r="D10" s="2976" t="str">
        <f>结果表!D124</f>
        <v>——</v>
      </c>
      <c r="E10" s="2976"/>
      <c r="F10" s="2976"/>
      <c r="G10" s="2976"/>
      <c r="H10" s="2976"/>
      <c r="I10" s="2976"/>
    </row>
    <row r="11" spans="1:9" ht="15">
      <c r="A11" s="2974" t="s">
        <v>1640</v>
      </c>
      <c r="B11" s="2974"/>
      <c r="C11" s="2974"/>
      <c r="D11" s="2975" t="e">
        <f>结果表!D125</f>
        <v>#VALUE!</v>
      </c>
      <c r="E11" s="2975"/>
      <c r="F11" s="2975"/>
      <c r="G11" s="2975"/>
      <c r="H11" s="2975"/>
      <c r="I11" s="2975"/>
    </row>
    <row r="12" spans="1:9" ht="15.75">
      <c r="A12" s="2976" t="str">
        <f>结果表!A126</f>
        <v/>
      </c>
      <c r="B12" s="2976"/>
      <c r="C12" s="2976"/>
      <c r="D12" s="2976" t="str">
        <f>结果表!D126</f>
        <v>——</v>
      </c>
      <c r="E12" s="2976"/>
      <c r="F12" s="2976"/>
      <c r="G12" s="2976"/>
      <c r="H12" s="2976"/>
      <c r="I12" s="2976"/>
    </row>
    <row r="13" spans="1:9" ht="15.75" thickBot="1">
      <c r="A13" s="2980" t="s">
        <v>1640</v>
      </c>
      <c r="B13" s="2980"/>
      <c r="C13" s="2980"/>
      <c r="D13" s="2981" t="e">
        <f>结果表!D127</f>
        <v>#VALUE!</v>
      </c>
      <c r="E13" s="2981"/>
      <c r="F13" s="2981"/>
      <c r="G13" s="2981"/>
      <c r="H13" s="2981"/>
      <c r="I13" s="2981"/>
    </row>
    <row r="14" spans="1:9" ht="15" thickTop="1">
      <c r="A14" s="2982" t="s">
        <v>1645</v>
      </c>
      <c r="B14" s="2982"/>
      <c r="C14" s="2982"/>
      <c r="D14" s="2982"/>
      <c r="E14" s="2982"/>
      <c r="F14" s="2982"/>
      <c r="G14" s="2982"/>
      <c r="H14" s="2982"/>
      <c r="I14" s="2982"/>
    </row>
    <row r="16" spans="1:9" ht="18.75">
      <c r="A16" s="1976" t="s">
        <v>1628</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2983" t="s">
        <v>1662</v>
      </c>
      <c r="B1" s="2983"/>
      <c r="C1" s="2983"/>
      <c r="D1" s="2983"/>
    </row>
    <row r="2" spans="1:4" ht="18">
      <c r="A2" s="2984" t="s">
        <v>1646</v>
      </c>
      <c r="B2" s="2984"/>
      <c r="C2" s="2984"/>
      <c r="D2" s="2984"/>
    </row>
    <row r="3" spans="1:4" ht="18.75">
      <c r="A3" s="1979" t="s">
        <v>1647</v>
      </c>
      <c r="B3" s="1979" t="s">
        <v>1648</v>
      </c>
      <c r="C3" s="1979" t="s">
        <v>1649</v>
      </c>
      <c r="D3" s="1979" t="s">
        <v>1650</v>
      </c>
    </row>
    <row r="4" spans="1:4" ht="56.25" customHeight="1">
      <c r="A4" s="1980" t="str">
        <f>项目基本情况!B4</f>
        <v>欧红伟</v>
      </c>
      <c r="B4" s="1981">
        <f ca="1">项目基本情况!C4</f>
        <v>1120000080</v>
      </c>
      <c r="C4" s="1982"/>
      <c r="D4" s="1983" t="s">
        <v>1651</v>
      </c>
    </row>
    <row r="5" spans="1:4" ht="56.25" customHeight="1">
      <c r="A5" s="1980" t="str">
        <f>项目基本情况!D4</f>
        <v>崔锴</v>
      </c>
      <c r="B5" s="1981">
        <f ca="1">项目基本情况!E4</f>
        <v>1120100036</v>
      </c>
      <c r="C5" s="1984"/>
      <c r="D5" s="1983" t="s">
        <v>1651</v>
      </c>
    </row>
    <row r="6" spans="1:4" ht="18">
      <c r="A6" s="2984" t="s">
        <v>1652</v>
      </c>
      <c r="B6" s="2984"/>
      <c r="C6" s="2984"/>
      <c r="D6" s="2984"/>
    </row>
    <row r="7" spans="1:4" ht="18.75">
      <c r="A7" s="1979" t="s">
        <v>1647</v>
      </c>
      <c r="B7" s="1981" t="s">
        <v>1653</v>
      </c>
      <c r="C7" s="1979" t="s">
        <v>1649</v>
      </c>
      <c r="D7" s="1979" t="s">
        <v>1650</v>
      </c>
    </row>
    <row r="8" spans="1:4" ht="56.25" customHeight="1">
      <c r="A8" s="1985" t="s">
        <v>869</v>
      </c>
      <c r="B8" s="1985" t="s">
        <v>1</v>
      </c>
      <c r="C8" s="1982"/>
      <c r="D8" s="1983" t="s">
        <v>1651</v>
      </c>
    </row>
    <row r="9" spans="1:4">
      <c r="A9" s="728"/>
      <c r="B9" s="728"/>
      <c r="C9" s="728"/>
      <c r="D9" s="728"/>
    </row>
    <row r="10" spans="1:4" ht="18.75">
      <c r="A10" s="1986" t="s">
        <v>1654</v>
      </c>
      <c r="B10" s="728"/>
      <c r="C10" s="728"/>
      <c r="D10" s="728"/>
    </row>
    <row r="11" spans="1:4" ht="30" customHeight="1">
      <c r="A11" s="2985" t="s">
        <v>1655</v>
      </c>
      <c r="B11" s="2986"/>
      <c r="C11" s="2986"/>
      <c r="D11" s="2986"/>
    </row>
    <row r="12" spans="1:4" ht="15.75">
      <c r="A12" s="29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7"/>
      <c r="C12" s="2987"/>
      <c r="D12" s="2987"/>
    </row>
    <row r="13" spans="1:4" ht="30" customHeight="1">
      <c r="A13" s="29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7"/>
      <c r="C13" s="2987"/>
      <c r="D13" s="2987"/>
    </row>
    <row r="14" spans="1:4" ht="15.75" customHeight="1">
      <c r="A14" s="2986" t="str">
        <f>IF(项目基本情况!B8="抵押","4.本次评估估价师所知悉的法定优先受偿款情况说明如下：","——")</f>
        <v>4.本次评估估价师所知悉的法定优先受偿款情况说明如下：</v>
      </c>
      <c r="B14" s="2987"/>
      <c r="C14" s="2987"/>
      <c r="D14" s="2987"/>
    </row>
    <row r="15" spans="1:4" ht="42" customHeight="1">
      <c r="A15" s="2986" t="str">
        <f>IF(项目基本情况!B8="抵押","（1）"&amp;CONCATENATE(项目基本情况!L20,项目基本情况!L21,项目基本情况!L22),"——")</f>
        <v>（1）根据估价对象《不动产权证书》原件、，截至价值时点，估价对象抵押权未见登记。</v>
      </c>
      <c r="B15" s="2986"/>
      <c r="C15" s="2986"/>
      <c r="D15" s="2986"/>
    </row>
    <row r="16" spans="1:4" ht="30" customHeight="1">
      <c r="A16" s="2989" t="s">
        <v>1656</v>
      </c>
      <c r="B16" s="2989"/>
      <c r="C16" s="2989"/>
      <c r="D16" s="2989"/>
    </row>
    <row r="17" spans="1:4" ht="144" customHeight="1">
      <c r="A17" s="2989" t="s">
        <v>1657</v>
      </c>
      <c r="B17" s="2989"/>
      <c r="C17" s="2989"/>
      <c r="D17" s="2989"/>
    </row>
    <row r="18" spans="1:4" ht="15.75" customHeight="1">
      <c r="A18" s="2986" t="str">
        <f>IF(项目基本情况!B8="抵押",结果表!K120,"——")</f>
        <v>故，本次评估不存在估价师知悉的法定优先受偿款</v>
      </c>
      <c r="B18" s="2986"/>
      <c r="C18" s="2986"/>
      <c r="D18" s="2986"/>
    </row>
    <row r="19" spans="1:4" ht="46.5" customHeight="1">
      <c r="A19" s="29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6"/>
      <c r="C19" s="2986"/>
      <c r="D19" s="2986"/>
    </row>
    <row r="20" spans="1:4" ht="57.75" customHeight="1">
      <c r="A20" s="29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6"/>
      <c r="C20" s="2986"/>
      <c r="D20" s="2986"/>
    </row>
    <row r="21" spans="1:4" ht="57.75" customHeight="1">
      <c r="A21" s="29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0"/>
      <c r="C21" s="2990"/>
      <c r="D21" s="2990"/>
    </row>
    <row r="22" spans="1:4" ht="18.75" customHeight="1">
      <c r="A22" s="2991" t="s">
        <v>1658</v>
      </c>
      <c r="B22" s="2991"/>
      <c r="C22" s="2991"/>
      <c r="D22" s="2991"/>
    </row>
    <row r="23" spans="1:4">
      <c r="A23" s="1987"/>
      <c r="B23" s="1959"/>
      <c r="C23" s="1959"/>
      <c r="D23" s="1959"/>
    </row>
    <row r="24" spans="1:4">
      <c r="A24" s="1987"/>
      <c r="B24" s="1959"/>
      <c r="C24" s="1959"/>
      <c r="D24" s="1959"/>
    </row>
    <row r="25" spans="1:4" ht="18.75">
      <c r="A25" s="1988" t="s">
        <v>1659</v>
      </c>
    </row>
    <row r="26" spans="1:4" ht="18">
      <c r="A26" s="1957"/>
    </row>
    <row r="27" spans="1:4" ht="18.75">
      <c r="A27" s="1957" t="s">
        <v>1660</v>
      </c>
    </row>
    <row r="30" spans="1:4" ht="18.75">
      <c r="D30" s="1988" t="s">
        <v>1661</v>
      </c>
    </row>
    <row r="31" spans="1:4" ht="13.5" customHeight="1">
      <c r="C31" s="2988">
        <v>42551</v>
      </c>
      <c r="D31" s="298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A25" sqref="A25:G25"/>
      <selection pane="bottomLeft" activeCell="A25" sqref="A25:G25"/>
    </sheetView>
  </sheetViews>
  <sheetFormatPr defaultColWidth="14.5" defaultRowHeight="14.25"/>
  <cols>
    <col min="1" max="1" width="14.5" style="1995" customWidth="1"/>
    <col min="2" max="16384" width="14.5" style="1977"/>
  </cols>
  <sheetData>
    <row r="1" spans="1:7" s="1992" customFormat="1" ht="18.75">
      <c r="A1" s="1991" t="s">
        <v>1663</v>
      </c>
    </row>
    <row r="3" spans="1:7">
      <c r="A3" s="1993" t="s">
        <v>82</v>
      </c>
      <c r="B3" s="1977" t="s">
        <v>1664</v>
      </c>
      <c r="G3" s="1994"/>
    </row>
    <row r="4" spans="1:7">
      <c r="G4" s="1994"/>
    </row>
    <row r="5" spans="1:7">
      <c r="A5" s="1996" t="s">
        <v>73</v>
      </c>
      <c r="B5" s="1977" t="s">
        <v>1665</v>
      </c>
      <c r="G5" s="1994"/>
    </row>
    <row r="6" spans="1:7">
      <c r="G6" s="1994"/>
    </row>
    <row r="7" spans="1:7">
      <c r="A7" s="1997" t="s">
        <v>135</v>
      </c>
      <c r="B7" s="1977" t="s">
        <v>1666</v>
      </c>
      <c r="G7" s="1994"/>
    </row>
    <row r="8" spans="1:7">
      <c r="G8" s="1994"/>
    </row>
    <row r="9" spans="1:7">
      <c r="A9" s="1998" t="s">
        <v>74</v>
      </c>
      <c r="B9" s="1977" t="s">
        <v>1667</v>
      </c>
    </row>
    <row r="11" spans="1:7">
      <c r="A11" s="1999" t="s">
        <v>75</v>
      </c>
      <c r="B11" s="2000" t="s">
        <v>72</v>
      </c>
    </row>
    <row r="13" spans="1:7">
      <c r="A13" s="2001" t="s">
        <v>1668</v>
      </c>
    </row>
    <row r="15" spans="1:7" ht="13.5">
      <c r="A15" s="2997" t="s">
        <v>1669</v>
      </c>
      <c r="B15" s="2992" t="s">
        <v>136</v>
      </c>
      <c r="C15" s="2993"/>
    </row>
    <row r="16" spans="1:7" ht="13.5">
      <c r="A16" s="2998"/>
      <c r="B16" s="2992" t="s">
        <v>69</v>
      </c>
      <c r="C16" s="2993"/>
    </row>
    <row r="17" spans="1:3" ht="13.5">
      <c r="A17" s="2998"/>
      <c r="B17" s="2995" t="s">
        <v>1670</v>
      </c>
      <c r="C17" s="2002" t="s">
        <v>1669</v>
      </c>
    </row>
    <row r="18" spans="1:3" ht="13.5">
      <c r="A18" s="2998"/>
      <c r="B18" s="2995"/>
      <c r="C18" s="2002" t="s">
        <v>1671</v>
      </c>
    </row>
    <row r="19" spans="1:3" ht="13.5">
      <c r="A19" s="2998"/>
      <c r="B19" s="2995"/>
      <c r="C19" s="2002" t="s">
        <v>1672</v>
      </c>
    </row>
    <row r="20" spans="1:3" ht="13.5">
      <c r="A20" s="2999"/>
      <c r="B20" s="2994" t="s">
        <v>1673</v>
      </c>
      <c r="C20" s="2993"/>
    </row>
    <row r="21" spans="1:3" ht="13.5">
      <c r="A21" s="2003" t="s">
        <v>1674</v>
      </c>
      <c r="B21" s="2004"/>
      <c r="C21" s="2005"/>
    </row>
    <row r="22" spans="1:3" ht="13.5">
      <c r="A22" s="2996" t="s">
        <v>1675</v>
      </c>
      <c r="B22" s="2994" t="s">
        <v>1676</v>
      </c>
      <c r="C22" s="2993"/>
    </row>
    <row r="23" spans="1:3" ht="13.5">
      <c r="A23" s="2996"/>
      <c r="B23" s="2994" t="s">
        <v>1677</v>
      </c>
      <c r="C23" s="2993"/>
    </row>
    <row r="24" spans="1:3" ht="13.5">
      <c r="A24" s="2996"/>
      <c r="B24" s="2994" t="s">
        <v>1678</v>
      </c>
      <c r="C24" s="2993"/>
    </row>
    <row r="25" spans="1:3" ht="13.5">
      <c r="A25" s="2996"/>
      <c r="B25" s="2995" t="s">
        <v>1679</v>
      </c>
      <c r="C25" s="2002" t="s">
        <v>1680</v>
      </c>
    </row>
    <row r="26" spans="1:3" ht="13.5">
      <c r="A26" s="2996"/>
      <c r="B26" s="2995"/>
      <c r="C26" s="2002" t="s">
        <v>1681</v>
      </c>
    </row>
    <row r="27" spans="1:3" ht="13.5">
      <c r="A27" s="2996"/>
      <c r="B27" s="2995"/>
      <c r="C27" s="2002" t="s">
        <v>1682</v>
      </c>
    </row>
    <row r="28" spans="1:3" ht="13.5">
      <c r="A28" s="2996"/>
      <c r="B28" s="2995"/>
      <c r="C28" s="2002" t="s">
        <v>1683</v>
      </c>
    </row>
    <row r="29" spans="1:3" ht="13.5">
      <c r="A29" s="2996"/>
      <c r="B29" s="2995"/>
      <c r="C29" s="2002" t="s">
        <v>1684</v>
      </c>
    </row>
    <row r="30" spans="1:3" ht="13.5">
      <c r="A30" s="2996"/>
      <c r="B30" s="2995"/>
      <c r="C30" s="2002" t="s">
        <v>1685</v>
      </c>
    </row>
    <row r="31" spans="1:3" ht="13.5">
      <c r="A31" s="2996"/>
      <c r="B31" s="2995"/>
      <c r="C31" s="2002" t="s">
        <v>1686</v>
      </c>
    </row>
    <row r="32" spans="1:3" ht="13.5">
      <c r="A32" s="2996"/>
      <c r="B32" s="2995"/>
      <c r="C32" s="2002" t="s">
        <v>1687</v>
      </c>
    </row>
    <row r="33" spans="1:3" ht="13.5">
      <c r="A33" s="2996"/>
      <c r="B33" s="2995"/>
      <c r="C33" s="2002" t="s">
        <v>1688</v>
      </c>
    </row>
    <row r="34" spans="1:3">
      <c r="A34" s="2006" t="s">
        <v>76</v>
      </c>
    </row>
    <row r="37" spans="1:3">
      <c r="A37" s="2006" t="s">
        <v>1689</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43166</v>
      </c>
      <c r="C2" s="1022" t="s">
        <v>826</v>
      </c>
      <c r="D2" s="1022"/>
    </row>
    <row r="3" spans="1:6" ht="24" customHeight="1">
      <c r="A3" s="1023" t="s">
        <v>827</v>
      </c>
      <c r="B3" s="1024" t="s">
        <v>828</v>
      </c>
      <c r="C3" s="2342" t="s">
        <v>829</v>
      </c>
      <c r="D3" s="2345" t="s">
        <v>830</v>
      </c>
      <c r="E3" s="1025" t="s">
        <v>831</v>
      </c>
      <c r="F3" s="1024" t="s">
        <v>829</v>
      </c>
    </row>
    <row r="4" spans="1:6" ht="24" customHeight="1">
      <c r="A4" s="1704" t="s">
        <v>832</v>
      </c>
      <c r="B4" s="1025">
        <f ca="1">IF(C4&lt;B2,"已过期",1119970066)</f>
        <v>1119970066</v>
      </c>
      <c r="C4" s="2343">
        <v>43849</v>
      </c>
      <c r="D4" s="2346" t="s">
        <v>832</v>
      </c>
      <c r="E4" s="1025">
        <f ca="1">IF(F4&lt;B2,"已过期",96010014)</f>
        <v>96010014</v>
      </c>
      <c r="F4" s="1033">
        <v>47118</v>
      </c>
    </row>
    <row r="5" spans="1:6" ht="24" customHeight="1">
      <c r="A5" s="1704" t="s">
        <v>833</v>
      </c>
      <c r="B5" s="1025">
        <f ca="1">IF(C5&lt;B2,"已过期",1119970074)</f>
        <v>1119970074</v>
      </c>
      <c r="C5" s="2343">
        <v>43849</v>
      </c>
      <c r="D5" s="2346" t="s">
        <v>833</v>
      </c>
      <c r="E5" s="1025">
        <f ca="1">IF(F5&lt;B2,"已过期",2002110027)</f>
        <v>2002110027</v>
      </c>
      <c r="F5" s="1033">
        <v>46752</v>
      </c>
    </row>
    <row r="6" spans="1:6" ht="24" customHeight="1">
      <c r="A6" s="1704" t="s">
        <v>834</v>
      </c>
      <c r="B6" s="1025">
        <f ca="1">IF(C6&lt;B2,"已过期",1119970111)</f>
        <v>1119970111</v>
      </c>
      <c r="C6" s="2343">
        <v>43849</v>
      </c>
      <c r="D6" s="2346" t="s">
        <v>834</v>
      </c>
      <c r="E6" s="1025">
        <f ca="1">IF(F6&lt;B2,"已过期",94010078)</f>
        <v>94010078</v>
      </c>
      <c r="F6" s="1033">
        <v>46387</v>
      </c>
    </row>
    <row r="7" spans="1:6" ht="24" customHeight="1">
      <c r="A7" s="1704" t="s">
        <v>835</v>
      </c>
      <c r="B7" s="1025">
        <f ca="1">IF(C7&lt;B2,"已过期",1120050019)</f>
        <v>1120050019</v>
      </c>
      <c r="C7" s="2343">
        <v>43359</v>
      </c>
      <c r="D7" s="2346" t="s">
        <v>835</v>
      </c>
      <c r="E7" s="1025">
        <f ca="1">IF(F7&lt;B2,"已过期",2002110030)</f>
        <v>2002110030</v>
      </c>
      <c r="F7" s="1033">
        <v>46387</v>
      </c>
    </row>
    <row r="8" spans="1:6" ht="24" customHeight="1">
      <c r="A8" s="1704" t="s">
        <v>836</v>
      </c>
      <c r="B8" s="1025">
        <f ca="1">IF(C8&lt;B2,"已过期",1120000080)</f>
        <v>1120000080</v>
      </c>
      <c r="C8" s="2343">
        <v>43849</v>
      </c>
      <c r="D8" s="2346" t="s">
        <v>836</v>
      </c>
      <c r="E8" s="1025">
        <f ca="1">IF(F8&lt;B2,"已过期",2000110082)</f>
        <v>2000110082</v>
      </c>
      <c r="F8" s="1033">
        <v>46387</v>
      </c>
    </row>
    <row r="9" spans="1:6" ht="24" customHeight="1">
      <c r="A9" s="1704" t="s">
        <v>837</v>
      </c>
      <c r="B9" s="1025">
        <f ca="1">IF(C9&lt;B2,"已过期",1419970001)</f>
        <v>1419970001</v>
      </c>
      <c r="C9" s="2343">
        <v>43867</v>
      </c>
      <c r="D9" s="2346" t="s">
        <v>837</v>
      </c>
      <c r="E9" s="1025">
        <f ca="1">IF(F9&lt;B2,"已过期",2002110125)</f>
        <v>2002110125</v>
      </c>
      <c r="F9" s="1033">
        <v>47118</v>
      </c>
    </row>
    <row r="10" spans="1:6" ht="24" customHeight="1">
      <c r="A10" s="1704" t="s">
        <v>838</v>
      </c>
      <c r="B10" s="1025">
        <f ca="1">IF(C10&lt;B2,"已过期",1120060040)</f>
        <v>1120060040</v>
      </c>
      <c r="C10" s="2343">
        <v>43483</v>
      </c>
      <c r="D10" s="2346" t="s">
        <v>838</v>
      </c>
      <c r="E10" s="1025">
        <f ca="1">IF(F10&lt;B2,"已过期",2004110096)</f>
        <v>2004110096</v>
      </c>
      <c r="F10" s="1033">
        <v>47118</v>
      </c>
    </row>
    <row r="11" spans="1:6" ht="24" customHeight="1">
      <c r="A11" s="1704" t="s">
        <v>839</v>
      </c>
      <c r="B11" s="1025">
        <f ca="1">IF(C11&lt;B2,"已过期",1120100036)</f>
        <v>1120100036</v>
      </c>
      <c r="C11" s="2343">
        <v>43622</v>
      </c>
      <c r="D11" s="2346" t="s">
        <v>839</v>
      </c>
      <c r="E11" s="1025">
        <f ca="1">IF(F11&lt;B2,"已过期",2010110070)</f>
        <v>2010110070</v>
      </c>
      <c r="F11" s="1033">
        <v>47907</v>
      </c>
    </row>
    <row r="12" spans="1:6" ht="24" customHeight="1">
      <c r="A12" s="1704"/>
      <c r="B12" s="1025"/>
      <c r="C12" s="2343"/>
      <c r="D12" s="2346"/>
      <c r="E12" s="1025"/>
      <c r="F12" s="1025"/>
    </row>
    <row r="13" spans="1:6" ht="24" customHeight="1">
      <c r="A13" s="1704" t="s">
        <v>840</v>
      </c>
      <c r="B13" s="1025">
        <f ca="1">IF(C13&lt;B2,"已过期",1120070131)</f>
        <v>1120070131</v>
      </c>
      <c r="C13" s="2343">
        <v>43814</v>
      </c>
      <c r="D13" s="2346" t="s">
        <v>840</v>
      </c>
      <c r="E13" s="1025">
        <v>2014110011</v>
      </c>
      <c r="F13" s="1033">
        <v>49302</v>
      </c>
    </row>
    <row r="14" spans="1:6" ht="24" customHeight="1">
      <c r="A14" s="1704" t="s">
        <v>841</v>
      </c>
      <c r="B14" s="1025">
        <f ca="1">IF(C14&lt;B2,"已过期",1120130020)</f>
        <v>1120130020</v>
      </c>
      <c r="C14" s="2343">
        <v>43622</v>
      </c>
      <c r="D14" s="2346"/>
      <c r="E14" s="1025"/>
      <c r="F14" s="1025"/>
    </row>
    <row r="15" spans="1:6" ht="24" customHeight="1">
      <c r="A15" s="1705" t="s">
        <v>1149</v>
      </c>
      <c r="B15" s="1025">
        <v>1120070085</v>
      </c>
      <c r="C15" s="2343">
        <v>43814</v>
      </c>
      <c r="D15" s="2347" t="s">
        <v>1149</v>
      </c>
      <c r="E15" s="1025">
        <v>2004110128</v>
      </c>
      <c r="F15" s="1026">
        <v>47118</v>
      </c>
    </row>
    <row r="16" spans="1:6" ht="24" customHeight="1">
      <c r="A16" s="1704" t="s">
        <v>842</v>
      </c>
      <c r="B16" s="1025">
        <f ca="1">IF(C16&lt;B2,"已过期",1120140022)</f>
        <v>1120140022</v>
      </c>
      <c r="C16" s="2343">
        <v>44029</v>
      </c>
      <c r="D16" s="2346" t="s">
        <v>842</v>
      </c>
      <c r="E16" s="1025">
        <f ca="1">IF(F16&lt;B2,"已过期",2008110059)</f>
        <v>2008110059</v>
      </c>
      <c r="F16" s="1033">
        <v>47177</v>
      </c>
    </row>
    <row r="17" spans="1:7" ht="24" customHeight="1">
      <c r="A17" s="1704"/>
      <c r="B17" s="1025"/>
      <c r="C17" s="2343"/>
      <c r="D17" s="2346"/>
      <c r="E17" s="1025"/>
      <c r="F17" s="1033"/>
    </row>
    <row r="18" spans="1:7" ht="24" customHeight="1">
      <c r="A18" s="1704"/>
      <c r="B18" s="1025"/>
      <c r="C18" s="2343"/>
      <c r="D18" s="2346"/>
      <c r="E18" s="1025"/>
      <c r="F18" s="1033"/>
    </row>
    <row r="19" spans="1:7" ht="24" customHeight="1">
      <c r="A19" s="1704"/>
      <c r="B19" s="1025"/>
      <c r="C19" s="2343"/>
      <c r="D19" s="2346"/>
      <c r="E19" s="1025"/>
      <c r="F19" s="1025"/>
    </row>
    <row r="20" spans="1:7" ht="24" customHeight="1">
      <c r="A20" s="1704"/>
      <c r="B20" s="1025"/>
      <c r="C20" s="2343"/>
      <c r="D20" s="2346"/>
      <c r="E20" s="1025"/>
      <c r="F20" s="1025"/>
    </row>
    <row r="21" spans="1:7" ht="24" customHeight="1">
      <c r="A21" s="1704"/>
      <c r="B21" s="1025"/>
      <c r="C21" s="2343"/>
      <c r="D21" s="2346" t="s">
        <v>843</v>
      </c>
      <c r="E21" s="1025">
        <f ca="1">IF(F21&lt;B2,"已过期",2011110090)</f>
        <v>2011110090</v>
      </c>
      <c r="F21" s="1033">
        <v>48302</v>
      </c>
    </row>
    <row r="22" spans="1:7" ht="24" customHeight="1">
      <c r="A22" s="1704" t="s">
        <v>844</v>
      </c>
      <c r="B22" s="1025">
        <f ca="1">IF(C22&lt;B2,"已过期",1120020033)</f>
        <v>1120020033</v>
      </c>
      <c r="C22" s="2343">
        <v>43304</v>
      </c>
      <c r="D22" s="2346" t="s">
        <v>844</v>
      </c>
      <c r="E22" s="1025">
        <f ca="1">IF(F22&lt;B2,"已过期",2000110137)</f>
        <v>2000110137</v>
      </c>
      <c r="F22" s="1033">
        <v>46387</v>
      </c>
    </row>
    <row r="23" spans="1:7" ht="24" customHeight="1">
      <c r="A23" s="1704" t="s">
        <v>845</v>
      </c>
      <c r="B23" s="1025">
        <f ca="1">IF(C23&lt;B2,"已过期",1120130048)</f>
        <v>1120130048</v>
      </c>
      <c r="C23" s="2343">
        <v>43686</v>
      </c>
      <c r="D23" s="2346"/>
      <c r="E23" s="1025"/>
      <c r="F23" s="1025"/>
    </row>
    <row r="24" spans="1:7" s="1027" customFormat="1" ht="24" customHeight="1">
      <c r="A24" s="1705" t="s">
        <v>1333</v>
      </c>
      <c r="B24" s="1705" t="s">
        <v>1333</v>
      </c>
      <c r="C24" s="2344" t="s">
        <v>1333</v>
      </c>
      <c r="D24" s="2347" t="s">
        <v>1333</v>
      </c>
      <c r="E24" s="1705" t="s">
        <v>1333</v>
      </c>
      <c r="F24" s="1705" t="s">
        <v>1333</v>
      </c>
    </row>
    <row r="25" spans="1:7" ht="24" customHeight="1">
      <c r="A25" s="3000" t="s">
        <v>846</v>
      </c>
      <c r="B25" s="3000"/>
      <c r="C25" s="3000"/>
      <c r="D25" s="3000"/>
      <c r="E25" s="3000"/>
      <c r="F25" s="3000"/>
      <c r="G25" s="3000"/>
    </row>
    <row r="26" spans="1:7" s="1028" customFormat="1" ht="24" customHeight="1">
      <c r="A26" s="3001" t="s">
        <v>847</v>
      </c>
      <c r="B26" s="3001"/>
      <c r="C26" s="3002"/>
      <c r="D26" s="3003" t="s">
        <v>848</v>
      </c>
      <c r="E26" s="3001"/>
      <c r="F26" s="3001"/>
    </row>
    <row r="27" spans="1:7" s="1030" customFormat="1" ht="24" customHeight="1">
      <c r="A27" s="1029" t="s">
        <v>849</v>
      </c>
      <c r="B27" s="1024" t="s">
        <v>850</v>
      </c>
      <c r="C27" s="2342" t="s">
        <v>851</v>
      </c>
      <c r="D27" s="2350" t="s">
        <v>849</v>
      </c>
      <c r="E27" s="1024" t="s">
        <v>850</v>
      </c>
      <c r="F27" s="1024" t="s">
        <v>851</v>
      </c>
    </row>
    <row r="28" spans="1:7" s="1030" customFormat="1" ht="24" customHeight="1">
      <c r="A28" s="1031" t="s">
        <v>852</v>
      </c>
      <c r="B28" s="1032" t="s">
        <v>853</v>
      </c>
      <c r="C28" s="2348">
        <v>43725</v>
      </c>
      <c r="D28" s="2351" t="s">
        <v>854</v>
      </c>
      <c r="E28" s="1031" t="s">
        <v>855</v>
      </c>
      <c r="F28" s="1060">
        <v>44377</v>
      </c>
    </row>
    <row r="29" spans="1:7" s="1030" customFormat="1" ht="24" customHeight="1">
      <c r="A29" s="1031"/>
      <c r="B29" s="1031"/>
      <c r="C29" s="2349"/>
      <c r="D29" s="2351" t="s">
        <v>856</v>
      </c>
      <c r="E29" s="1204" t="s">
        <v>1384</v>
      </c>
      <c r="F29" s="1205">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142</vt:i4>
      </vt:variant>
    </vt:vector>
  </HeadingPairs>
  <TitlesOfParts>
    <vt:vector size="18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比较法-工业</vt:lpstr>
      <vt:lpstr>收益法</vt:lpstr>
      <vt:lpstr>收益法 (元)</vt:lpstr>
      <vt:lpstr>收益法（汇总）</vt:lpstr>
      <vt:lpstr>酒店收入计算</vt:lpstr>
      <vt:lpstr>比较法-住宅</vt:lpstr>
      <vt:lpstr>比较法-商业</vt:lpstr>
      <vt:lpstr>比较法-办公</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比较法-租金</vt:lpstr>
      <vt:lpstr>案例</vt:lpstr>
      <vt:lpstr>租约</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'比较法-租金'!工业公共部分装修</vt:lpstr>
      <vt:lpstr>工业公共部分装修</vt:lpstr>
      <vt:lpstr>'比较法-租金'!工业基础设施水平</vt:lpstr>
      <vt:lpstr>工业基础设施水平</vt:lpstr>
      <vt:lpstr>'比较法-租金'!工业建筑结构</vt:lpstr>
      <vt:lpstr>工业建筑结构</vt:lpstr>
      <vt:lpstr>'比较法-租金'!工业建筑类型</vt:lpstr>
      <vt:lpstr>工业建筑类型</vt:lpstr>
      <vt:lpstr>'比较法-租金'!工业交易情况</vt:lpstr>
      <vt:lpstr>工业交易情况</vt:lpstr>
      <vt:lpstr>'比较法-租金'!工业内部装修</vt:lpstr>
      <vt:lpstr>工业内部装修</vt:lpstr>
      <vt:lpstr>'比较法-租金'!工业物业管理</vt:lpstr>
      <vt:lpstr>工业物业管理</vt:lpstr>
      <vt:lpstr>'比较法-租金'!工业用途</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2018-03-07T04:27:45Z</cp:lastPrinted>
  <dcterms:created xsi:type="dcterms:W3CDTF">2015-07-13T07:17:23Z</dcterms:created>
  <dcterms:modified xsi:type="dcterms:W3CDTF">2018-03-07T05:08:43Z</dcterms:modified>
</cp:coreProperties>
</file>