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5" windowWidth="7575" windowHeight="525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东" sheetId="77" r:id="rId14"/>
    <sheet name="西" sheetId="78" r:id="rId15"/>
    <sheet name="数据-汇总表" sheetId="6" r:id="rId16"/>
    <sheet name="数据-取费表" sheetId="1" r:id="rId17"/>
    <sheet name="估价对象房地状况" sheetId="20" state="hidden" r:id="rId18"/>
    <sheet name="租约台账" sheetId="80" r:id="rId19"/>
    <sheet name="系统读取表" sheetId="74" r:id="rId20"/>
    <sheet name="结果表" sheetId="9" r:id="rId21"/>
    <sheet name="成本法" sheetId="68" r:id="rId22"/>
    <sheet name="成本法 (元)" sheetId="69" state="hidden" r:id="rId23"/>
    <sheet name="假设开发法" sheetId="12" state="hidden" r:id="rId24"/>
    <sheet name="基准地价修正" sheetId="43"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5">'数据-汇总表'!$A$1:$P$32</definedName>
    <definedName name="八级">区片价!$O$1:$O$40</definedName>
    <definedName name="办公层高" localSheetId="13">'[1]比较法-办公'!$B$119:$M$119</definedName>
    <definedName name="办公层高" localSheetId="14">'[2]比较法-办公'!$B$119:$M$119</definedName>
    <definedName name="办公层高">'比较法-办公'!$B$119:$M$119</definedName>
    <definedName name="办公朝向" localSheetId="13">'[1]比较法-办公'!$B$91:$M$91</definedName>
    <definedName name="办公朝向" localSheetId="14">'[2]比较法-办公'!$B$91:$M$91</definedName>
    <definedName name="办公朝向">'比较法-办公'!$B$91:$M$91</definedName>
    <definedName name="办公道路级别" localSheetId="13">'[1]比较法-办公'!$B$87:$M$87</definedName>
    <definedName name="办公道路级别" localSheetId="14">'[2]比较法-办公'!$B$87:$M$87</definedName>
    <definedName name="办公道路级别">'比较法-办公'!$B$87:$M$87</definedName>
    <definedName name="办公公共部分装修" localSheetId="13">'[1]比较法-办公'!$B$108:$M$108</definedName>
    <definedName name="办公公共部分装修" localSheetId="14">'[2]比较法-办公'!$B$108:$M$108</definedName>
    <definedName name="办公公共部分装修">'比较法-办公'!$B$108:$M$108</definedName>
    <definedName name="办公基础设施水平" localSheetId="13">'[1]比较法-办公'!$B$117:$M$117</definedName>
    <definedName name="办公基础设施水平" localSheetId="14">'[2]比较法-办公'!$B$117:$M$117</definedName>
    <definedName name="办公基础设施水平">'比较法-办公'!$B$117:$M$117</definedName>
    <definedName name="办公集聚程度" localSheetId="13">[1]定义!$M$1:$M$6</definedName>
    <definedName name="办公集聚程度" localSheetId="14">[2]定义!$M$1:$M$6</definedName>
    <definedName name="办公集聚程度">定义!$M$1:$M$6</definedName>
    <definedName name="办公建筑结构" localSheetId="13">'[1]比较法-办公'!$B$106:$M$106</definedName>
    <definedName name="办公建筑结构" localSheetId="14">'[2]比较法-办公'!$B$106:$M$106</definedName>
    <definedName name="办公建筑结构">'比较法-办公'!$B$106:$M$106</definedName>
    <definedName name="办公建筑类型" localSheetId="13">'[1]比较法-办公'!$B$101:$M$101</definedName>
    <definedName name="办公建筑类型" localSheetId="14">'[2]比较法-办公'!$B$101:$M$101</definedName>
    <definedName name="办公建筑类型">'比较法-办公'!$B$101:$M$101</definedName>
    <definedName name="办公交易情况" localSheetId="13">'[1]比较法-办公'!$A$62:$M$62</definedName>
    <definedName name="办公交易情况" localSheetId="14">'[2]比较法-办公'!$A$62:$M$62</definedName>
    <definedName name="办公交易情况">'比较法-办公'!$A$62:$M$62</definedName>
    <definedName name="办公楼层" localSheetId="13">'[1]比较法-办公'!$B$89:$M$89</definedName>
    <definedName name="办公楼层" localSheetId="14">'[2]比较法-办公'!$B$89:$M$89</definedName>
    <definedName name="办公楼层">'比较法-办公'!$B$89:$M$89</definedName>
    <definedName name="办公内部装修" localSheetId="13">'[1]比较法-办公'!$B$123:$M$123</definedName>
    <definedName name="办公内部装修" localSheetId="14">'[2]比较法-办公'!$B$123:$M$123</definedName>
    <definedName name="办公内部装修">'比较法-办公'!$B$123:$M$123</definedName>
    <definedName name="办公物业管理" localSheetId="13">'[1]比较法-办公'!$B$115:$M$115</definedName>
    <definedName name="办公物业管理" localSheetId="14">'[2]比较法-办公'!$B$115:$M$115</definedName>
    <definedName name="办公物业管理">'比较法-办公'!$B$115:$M$115</definedName>
    <definedName name="办公用途" localSheetId="13">'[1]比较法-办公'!$B$64:$M$64</definedName>
    <definedName name="办公用途" localSheetId="14">'[2]比较法-办公'!$B$64:$M$64</definedName>
    <definedName name="办公用途">'比较法-办公'!$B$64:$M$64</definedName>
    <definedName name="仓储公共部分装修" localSheetId="13">'[1]比较法-仓储'!$B$77:$M$77</definedName>
    <definedName name="仓储公共部分装修" localSheetId="14">'[2]比较法-仓储'!$B$77:$M$77</definedName>
    <definedName name="仓储公共部分装修">'比较法-仓储'!$B$77:$M$77</definedName>
    <definedName name="仓储交易情况" localSheetId="13">'[1]比较法-仓储'!$A$49:$M$49</definedName>
    <definedName name="仓储交易情况" localSheetId="14">'[2]比较法-仓储'!$A$49:$M$49</definedName>
    <definedName name="仓储交易情况">'比较法-仓储'!$A$49:$M$49</definedName>
    <definedName name="仓储楼层" localSheetId="13">'[1]比较法-仓储'!$B$69:$M$69</definedName>
    <definedName name="仓储楼层" localSheetId="14">'[2]比较法-仓储'!$B$69:$M$69</definedName>
    <definedName name="仓储楼层">'比较法-仓储'!$B$69:$M$69</definedName>
    <definedName name="仓储物业等级" localSheetId="13">'[1]比较法-仓储'!$B$82:$M$82</definedName>
    <definedName name="仓储物业等级" localSheetId="14">'[2]比较法-仓储'!$B$82:$M$82</definedName>
    <definedName name="仓储物业等级">'比较法-仓储'!$B$82:$M$82</definedName>
    <definedName name="仓储用途" localSheetId="13">'[1]比较法-仓储'!$B$51:$M$51</definedName>
    <definedName name="仓储用途" localSheetId="14">'[2]比较法-仓储'!$B$51:$M$51</definedName>
    <definedName name="仓储用途">'比较法-仓储'!$B$51:$M$51</definedName>
    <definedName name="产业集聚程度" localSheetId="13">[1]定义!$N$1:$N$6</definedName>
    <definedName name="产业集聚程度" localSheetId="14">[2]定义!$N$1:$N$6</definedName>
    <definedName name="产业集聚程度">定义!$N$1:$N$6</definedName>
    <definedName name="车位公共部分装修" localSheetId="13">'[1]比较法-车位'!$B$83:$M$83</definedName>
    <definedName name="车位公共部分装修" localSheetId="14">'[2]比较法-车位'!$B$83:$M$83</definedName>
    <definedName name="车位公共部分装修">'比较法-车位'!$B$83:$M$83</definedName>
    <definedName name="车位交易情况" localSheetId="13">'[1]比较法-车位'!$A$51:$M$51</definedName>
    <definedName name="车位交易情况" localSheetId="14">'[2]比较法-车位'!$A$51:$M$51</definedName>
    <definedName name="车位交易情况">'比较法-车位'!$A$51:$M$51</definedName>
    <definedName name="车位类型" localSheetId="13">'[1]比较法-车位'!$B$93:$M$93</definedName>
    <definedName name="车位类型" localSheetId="14">'[2]比较法-车位'!$B$93:$M$93</definedName>
    <definedName name="车位类型">'比较法-车位'!$B$93:$M$93</definedName>
    <definedName name="车位楼层" localSheetId="13">'[1]比较法-车位'!$B$71:$M$71</definedName>
    <definedName name="车位楼层" localSheetId="14">'[2]比较法-车位'!$B$71:$M$71</definedName>
    <definedName name="车位楼层">'比较法-车位'!$B$71:$M$71</definedName>
    <definedName name="车位配套类型" localSheetId="13">'[1]比较法-车位'!$B$79:$M$79</definedName>
    <definedName name="车位配套类型" localSheetId="14">'[2]比较法-车位'!$B$79:$M$79</definedName>
    <definedName name="车位配套类型">'比较法-车位'!$B$79:$M$79</definedName>
    <definedName name="车位物业等级" localSheetId="13">'[1]比较法-车位'!$B$88:$M$88</definedName>
    <definedName name="车位物业等级" localSheetId="14">'[2]比较法-车位'!$B$88:$M$88</definedName>
    <definedName name="车位物业等级">'比较法-车位'!$B$88:$M$88</definedName>
    <definedName name="车位用途" localSheetId="13">'[1]比较法-车位'!$B$53:$M$53</definedName>
    <definedName name="车位用途" localSheetId="14">'[2]比较法-车位'!$B$53:$M$53</definedName>
    <definedName name="车位用途">'比较法-车位'!$B$53:$M$53</definedName>
    <definedName name="城镇土地纳税等级分级范围" localSheetId="13">'[1]数据-取费表'!$A$53:$A$63</definedName>
    <definedName name="城镇土地纳税等级分级范围" localSheetId="14">'[2]数据-取费表'!$A$53:$A$63</definedName>
    <definedName name="城镇土地纳税等级分级范围">'数据-取费表'!$A$53:$A$63</definedName>
    <definedName name="单价内涵" localSheetId="13">[1]定义!$V$1:$V$3</definedName>
    <definedName name="单价内涵" localSheetId="14">[2]定义!$V$1:$V$3</definedName>
    <definedName name="单价内涵">定义!$V$1:$V$3</definedName>
    <definedName name="地类判定" localSheetId="13">[1]定义!$H$1:$H$9</definedName>
    <definedName name="地类判定" localSheetId="14">[2]定义!$H$1:$H$9</definedName>
    <definedName name="地类判定">定义!$H$1:$H$9</definedName>
    <definedName name="二级">区片价!$I$1:$I$20</definedName>
    <definedName name="二级分类" localSheetId="13">[1]修正!$C$17:$C$39</definedName>
    <definedName name="二级分类" localSheetId="14">[2]修正!$C$17:$C$39</definedName>
    <definedName name="二级分类">修正!$C$17:$C$39</definedName>
    <definedName name="法定最高年限" localSheetId="13">[1]定义!$G$1:$G$4</definedName>
    <definedName name="法定最高年限" localSheetId="14">[2]定义!$G$1:$G$4</definedName>
    <definedName name="法定最高年限">定义!$G$1:$G$4</definedName>
    <definedName name="工业公共部分装修" localSheetId="13">'[1]比较法-工业'!$B$95:$M$95</definedName>
    <definedName name="工业公共部分装修" localSheetId="14">'[2]比较法-工业'!$B$95:$M$95</definedName>
    <definedName name="工业公共部分装修">'比较法-工业'!$B$95:$M$95</definedName>
    <definedName name="工业基础设施水平" localSheetId="13">'[1]比较法-工业'!$B$102:$M$102</definedName>
    <definedName name="工业基础设施水平" localSheetId="14">'[2]比较法-工业'!$B$102:$M$102</definedName>
    <definedName name="工业基础设施水平">'比较法-工业'!$B$102:$M$102</definedName>
    <definedName name="工业建筑结构" localSheetId="13">'[1]比较法-工业'!$B$93:$M$93</definedName>
    <definedName name="工业建筑结构" localSheetId="14">'[2]比较法-工业'!$B$93:$M$93</definedName>
    <definedName name="工业建筑结构">'比较法-工业'!$B$93:$M$93</definedName>
    <definedName name="工业建筑类型" localSheetId="13">'[1]比较法-工业'!$B$88:$M$88</definedName>
    <definedName name="工业建筑类型" localSheetId="14">'[2]比较法-工业'!$B$88:$M$88</definedName>
    <definedName name="工业建筑类型">'比较法-工业'!$B$88:$M$88</definedName>
    <definedName name="工业交易情况" localSheetId="13">'[1]比较法-工业'!$A$55:$M$55</definedName>
    <definedName name="工业交易情况" localSheetId="14">'[2]比较法-工业'!$A$55:$M$55</definedName>
    <definedName name="工业交易情况">'比较法-工业'!$A$55:$M$55</definedName>
    <definedName name="工业内部装修" localSheetId="13">'[1]比较法-工业'!$B$104:$M$104</definedName>
    <definedName name="工业内部装修" localSheetId="14">'[2]比较法-工业'!$B$104:$M$104</definedName>
    <definedName name="工业内部装修">'比较法-工业'!$B$104:$M$104</definedName>
    <definedName name="工业物业管理" localSheetId="13">'[1]比较法-工业'!$B$100:$M$100</definedName>
    <definedName name="工业物业管理" localSheetId="14">'[2]比较法-工业'!$B$100:$M$100</definedName>
    <definedName name="工业物业管理">'比较法-工业'!$B$100:$M$100</definedName>
    <definedName name="工业用途" localSheetId="13">'[1]比较法-工业'!$B$57:$M$57</definedName>
    <definedName name="工业用途" localSheetId="14">'[2]比较法-工业'!$B$57:$M$57</definedName>
    <definedName name="工业用途">'比较法-工业'!$B$57:$M$57</definedName>
    <definedName name="公共配套设施" localSheetId="13">[1]定义!$Q$1:$Q$6</definedName>
    <definedName name="公共配套设施" localSheetId="14">[2]定义!$Q$1:$Q$6</definedName>
    <definedName name="公共配套设施">定义!$Q$1:$Q$6</definedName>
    <definedName name="估价方法" localSheetId="13">[1]定义!$B$1:$B$50</definedName>
    <definedName name="估价方法" localSheetId="14">[2]定义!$B$1:$B$50</definedName>
    <definedName name="估价方法">定义!$B$1:$B$50</definedName>
    <definedName name="环境" localSheetId="13">[1]定义!$S$1:$S$6</definedName>
    <definedName name="环境" localSheetId="14">[2]定义!$S$1:$S$6</definedName>
    <definedName name="环境">定义!$S$1:$S$6</definedName>
    <definedName name="基础设施水平" localSheetId="13">[1]定义!$R$1:$R$6</definedName>
    <definedName name="基础设施水平" localSheetId="14">[2]定义!$R$1:$R$6</definedName>
    <definedName name="基础设施水平">定义!$R$1:$R$6</definedName>
    <definedName name="季度">基准地价修正!$Q$19:$AD$19</definedName>
    <definedName name="价值类型2" localSheetId="13">[1]定义!$B$54:$B$56</definedName>
    <definedName name="价值类型2" localSheetId="14">[2]定义!$B$54:$B$56</definedName>
    <definedName name="价值类型2">定义!$B$54:$B$56</definedName>
    <definedName name="交通便捷度" localSheetId="13">[1]定义!$O$1:$O$6</definedName>
    <definedName name="交通便捷度" localSheetId="14">[2]定义!$O$1:$O$6</definedName>
    <definedName name="交通便捷度">定义!$O$1:$O$6</definedName>
    <definedName name="九级">区片价!$P$1:$P$46</definedName>
    <definedName name="居住社区成熟度" localSheetId="13">[1]定义!$K$1:$K$6</definedName>
    <definedName name="居住社区成熟度" localSheetId="14">[2]定义!$K$1:$K$6</definedName>
    <definedName name="居住社区成熟度">定义!$K$1:$K$6</definedName>
    <definedName name="类别" localSheetId="13">[1]定义!$J$1:$J$3</definedName>
    <definedName name="类别" localSheetId="14">[2]定义!$J$1:$J$3</definedName>
    <definedName name="类别">定义!$J$1:$J$3</definedName>
    <definedName name="临街状况" localSheetId="13">[1]定义!$T$1:$T$5</definedName>
    <definedName name="临街状况" localSheetId="14">[2]定义!$T$1:$T$5</definedName>
    <definedName name="临街状况">定义!$T$1:$T$5</definedName>
    <definedName name="六级">区片价!$M$1:$M$49</definedName>
    <definedName name="内部装修维护情况" localSheetId="13">[1]定义!$U$1:$U$6</definedName>
    <definedName name="内部装修维护情况" localSheetId="14">[2]定义!$U$1:$U$6</definedName>
    <definedName name="内部装修维护情况">定义!$U$1:$U$6</definedName>
    <definedName name="判定" localSheetId="13">[1]定义!$D$1:$D$4</definedName>
    <definedName name="判定" localSheetId="14">[2]定义!$D$1:$D$4</definedName>
    <definedName name="判定">定义!$D$1:$D$4</definedName>
    <definedName name="七级">区片价!$N$1:$N$49</definedName>
    <definedName name="七通一平" localSheetId="13">[1]修正!$A$6:$A$14</definedName>
    <definedName name="七通一平" localSheetId="14">[2]修正!$A$6:$A$14</definedName>
    <definedName name="七通一平">修正!$A$6:$A$14</definedName>
    <definedName name="区域土地利用方向" localSheetId="13">[1]定义!$P$1:$P$6</definedName>
    <definedName name="区域土地利用方向" localSheetId="14">[2]定义!$P$1:$P$6</definedName>
    <definedName name="区域土地利用方向">定义!$P$1:$P$6</definedName>
    <definedName name="三级">区片价!$J$1:$J$21</definedName>
    <definedName name="商业层高" localSheetId="13">'[1]比较法-商业'!$B$116:$M$116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13">[1]定义!$L$1:$L$6</definedName>
    <definedName name="商业繁华度" localSheetId="14">[2]定义!$L$1:$L$6</definedName>
    <definedName name="商业繁华度">定义!$L$1:$L$6</definedName>
    <definedName name="商业公共部分装修" localSheetId="13">'[1]比较法-商业'!$B$107:$M$107</definedName>
    <definedName name="商业公共部分装修" localSheetId="14">'[2]比较法-商业'!$B$107:$M$107</definedName>
    <definedName name="商业公共部分装修">'比较法-商业'!$B$107:$M$107</definedName>
    <definedName name="商业基础设施水平" localSheetId="13">'[1]比较法-商业'!$B$112:$M$112</definedName>
    <definedName name="商业基础设施水平" localSheetId="14">'[2]比较法-商业'!$B$112:$M$112</definedName>
    <definedName name="商业基础设施水平">'比较法-商业'!$B$112:$M$112</definedName>
    <definedName name="商业建筑结构" localSheetId="13">'[1]比较法-商业'!$B$105:$M$105</definedName>
    <definedName name="商业建筑结构" localSheetId="14">'[2]比较法-商业'!$B$105:$M$105</definedName>
    <definedName name="商业建筑结构">'比较法-商业'!$B$105:$M$105</definedName>
    <definedName name="商业交易情况" localSheetId="13">'[1]比较法-商业'!$A$61:$M$61</definedName>
    <definedName name="商业交易情况" localSheetId="14">'[2]比较法-商业'!$A$61:$M$61</definedName>
    <definedName name="商业交易情况">'比较法-商业'!$A$61:$M$61</definedName>
    <definedName name="商业街名称" localSheetId="13">[1]修正!$C$59:$C$119</definedName>
    <definedName name="商业街名称" localSheetId="14">[2]修正!$C$59:$C$119</definedName>
    <definedName name="商业街名称">修正!$C$59:$C$119</definedName>
    <definedName name="商业进深比" localSheetId="13">'[1]比较法-商业'!$B$120:$M$120</definedName>
    <definedName name="商业进深比" localSheetId="14">'[2]比较法-商业'!$B$120:$M$120</definedName>
    <definedName name="商业进深比">'比较法-商业'!$B$120:$M$120</definedName>
    <definedName name="商业类型" localSheetId="13">'[1]比较法-商业'!$B$100:$M$100</definedName>
    <definedName name="商业类型" localSheetId="14">'[2]比较法-商业'!$B$100:$M$100</definedName>
    <definedName name="商业类型">'比较法-商业'!$B$100:$M$100</definedName>
    <definedName name="商业临街状况" localSheetId="13">'[1]比较法-商业'!$B$86:$M$86</definedName>
    <definedName name="商业临街状况" localSheetId="14">'[2]比较法-商业'!$B$86:$M$86</definedName>
    <definedName name="商业临街状况">'比较法-商业'!$B$86:$M$86</definedName>
    <definedName name="商业楼层" localSheetId="13">'[1]比较法-商业'!$B$92:$M$92</definedName>
    <definedName name="商业楼层" localSheetId="14">'[2]比较法-商业'!$B$92:$M$92</definedName>
    <definedName name="商业楼层">'比较法-商业'!$B$92:$M$92</definedName>
    <definedName name="商业内部装修" localSheetId="13">'[1]比较法-商业'!$B$122:$M$122</definedName>
    <definedName name="商业内部装修" localSheetId="14">'[2]比较法-商业'!$B$122:$M$122</definedName>
    <definedName name="商业内部装修">'比较法-商业'!$B$122:$M$122</definedName>
    <definedName name="商业人流量" localSheetId="13">'[1]比较法-商业'!$B$90:$M$90</definedName>
    <definedName name="商业人流量" localSheetId="14">'[2]比较法-商业'!$B$90:$M$90</definedName>
    <definedName name="商业人流量">'比较法-商业'!$B$90:$M$90</definedName>
    <definedName name="商业业态" localSheetId="13">'[1]比较法-商业'!$B$114:$M$114</definedName>
    <definedName name="商业业态" localSheetId="14">'[2]比较法-商业'!$B$114:$M$114</definedName>
    <definedName name="商业业态">'比较法-商业'!$B$114:$M$114</definedName>
    <definedName name="商业用途" localSheetId="13">'[1]比较法-商业'!$B$63:$M$63</definedName>
    <definedName name="商业用途" localSheetId="14">'[2]比较法-商业'!$B$63:$M$63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 localSheetId="14">'[2]比较法-仓储'!$B$89:$M$89</definedName>
    <definedName name="是否封闭">'比较法-仓储'!$B$89:$M$89</definedName>
    <definedName name="是否直接入户" localSheetId="13">'[1]比较法-车位'!$B$95:$M$95</definedName>
    <definedName name="是否直接入户" localSheetId="14">'[2]比较法-车位'!$B$95:$M$95</definedName>
    <definedName name="是否直接入户">'比较法-车位'!$B$95:$M$95</definedName>
    <definedName name="四级">区片价!$K$1:$K$28</definedName>
    <definedName name="套工道路等级" localSheetId="13">'[1]土地比较法-工业'!$B$97:$M$97</definedName>
    <definedName name="套工道路等级" localSheetId="14">'[2]土地比较法-工业'!$B$97:$M$97</definedName>
    <definedName name="套工道路等级">'土地比较法-工业'!$B$97:$M$97</definedName>
    <definedName name="套工地质条件" localSheetId="13">'[1]土地比较法-工业'!$B$114:$M$114</definedName>
    <definedName name="套工地质条件" localSheetId="14">'[2]土地比较法-工业'!$B$114:$M$114</definedName>
    <definedName name="套工地质条件">'土地比较法-工业'!$B$114:$M$114</definedName>
    <definedName name="套工交易情况" localSheetId="13">'[1]土地比较法-住宅、综合'!$A$73:$M$73</definedName>
    <definedName name="套工交易情况" localSheetId="14">'[2]土地比较法-住宅、综合'!$A$73:$M$73</definedName>
    <definedName name="套工交易情况">'土地比较法-住宅、综合'!$A$73:$M$73</definedName>
    <definedName name="套工土地级别" localSheetId="13">'[1]土地比较法-工业'!$B$99:$M$99</definedName>
    <definedName name="套工土地级别" localSheetId="14">'[2]土地比较法-工业'!$B$99:$M$99</definedName>
    <definedName name="套工土地级别">'土地比较法-工业'!$B$99:$M$99</definedName>
    <definedName name="套工用途" localSheetId="13">'[1]土地比较法-工业'!$B$70:$M$70</definedName>
    <definedName name="套工用途" localSheetId="14">'[2]土地比较法-工业'!$B$70:$M$70</definedName>
    <definedName name="套工用途">'土地比较法-工业'!$B$70:$M$70</definedName>
    <definedName name="套工宗地开发程度" localSheetId="13">'[1]土地比较法-工业'!$B$112:$M$112</definedName>
    <definedName name="套工宗地开发程度" localSheetId="14">'[2]土地比较法-工业'!$B$112:$M$112</definedName>
    <definedName name="套工宗地开发程度">'土地比较法-工业'!$B$112:$M$112</definedName>
    <definedName name="套工宗地形状" localSheetId="13">'[1]土地比较法-工业'!$B$110:$M$110</definedName>
    <definedName name="套工宗地形状" localSheetId="14">'[2]土地比较法-工业'!$B$110:$M$110</definedName>
    <definedName name="套工宗地形状">'土地比较法-工业'!$B$110:$M$110</definedName>
    <definedName name="套综道路等级" localSheetId="13">'[1]土地比较法-住宅、综合'!$B$106:$M$106</definedName>
    <definedName name="套综道路等级" localSheetId="14">'[2]土地比较法-住宅、综合'!$B$106:$M$106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14">'[2]土地比较法-住宅、综合'!$B$125:$M$125</definedName>
    <definedName name="套综工程地质条件">'土地比较法-住宅、综合'!$B$125:$M$125</definedName>
    <definedName name="套综交易情况" localSheetId="13">'[1]土地比较法-住宅、综合'!$A$73:$M$73</definedName>
    <definedName name="套综交易情况" localSheetId="14">'[2]土地比较法-住宅、综合'!$A$73:$M$73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14">'[2]土地比较法-住宅、综合'!$B$121:$M$121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14">'[2]土地比较法-住宅、综合'!$B$108:$M$108</definedName>
    <definedName name="套综土地级别">'土地比较法-住宅、综合'!$B$108:$M$108</definedName>
    <definedName name="套综用途" localSheetId="13">'[1]土地比较法-住宅、综合'!$B$75:$M$75</definedName>
    <definedName name="套综用途" localSheetId="14">'[2]土地比较法-住宅、综合'!$B$75:$M$75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14">'[2]土地比较法-住宅、综合'!$B$123:$M$123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14">'[2]土地比较法-住宅、综合'!$B$119:$M$119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 localSheetId="14">[2]定义!$C$1:$C$14</definedName>
    <definedName name="土地级别">定义!$C$1:$C$14</definedName>
    <definedName name="土地利用方向">定义!$P$1:$P$6</definedName>
    <definedName name="土地年限区间" localSheetId="13">[1]定义!$I$1:$I$8</definedName>
    <definedName name="土地年限区间" localSheetId="14">[2]定义!$I$1:$I$8</definedName>
    <definedName name="土地年限区间">定义!$I$1:$I$8</definedName>
    <definedName name="位置" localSheetId="13">[1]定义!$E$2:$E$4</definedName>
    <definedName name="位置" localSheetId="14">[2]定义!$E$2:$E$4</definedName>
    <definedName name="位置">定义!$E$2:$E$4</definedName>
    <definedName name="五等判定" localSheetId="13">[1]定义!$W$1:$W$6</definedName>
    <definedName name="五等判定" localSheetId="14">[2]定义!$W$1:$W$6</definedName>
    <definedName name="五等判定">定义!$W$1:$W$6</definedName>
    <definedName name="五级">区片价!$L$1:$L$35</definedName>
    <definedName name="项目类型" localSheetId="13">'[1]数据-汇总表'!$C$17:$C$26</definedName>
    <definedName name="项目类型" localSheetId="14">'[2]数据-汇总表'!$C$17:$C$26</definedName>
    <definedName name="项目类型">'数据-汇总表'!$C$17:$C$26</definedName>
    <definedName name="写字楼等级" localSheetId="13">'[1]比较法-办公'!$B$113:$M$113</definedName>
    <definedName name="写字楼等级" localSheetId="14">'[2]比较法-办公'!$B$113:$M$113</definedName>
    <definedName name="写字楼等级">'比较法-办公'!$B$113:$M$113</definedName>
    <definedName name="一级">区片价!$H$1:$H$6</definedName>
    <definedName name="一修多修正项2" localSheetId="13">[1]典型户型修正!$5:$5</definedName>
    <definedName name="一修多修正项2" localSheetId="14">[2]典型户型修正!$5:$5</definedName>
    <definedName name="一修多修正项2">典型户型修正!$5:$5</definedName>
    <definedName name="一修多修正项3" localSheetId="13">[1]典型户型修正!$7:$7</definedName>
    <definedName name="一修多修正项3" localSheetId="14">[2]典型户型修正!$7:$7</definedName>
    <definedName name="一修多修正项3">典型户型修正!$7:$7</definedName>
    <definedName name="一修多修正项4" localSheetId="13">[1]典型户型修正!$9:$9</definedName>
    <definedName name="一修多修正项4" localSheetId="14">[2]典型户型修正!$9:$9</definedName>
    <definedName name="一修多修正项4">典型户型修正!$9:$9</definedName>
    <definedName name="一修多修正项5" localSheetId="13">[1]典型户型修正!$11:$11</definedName>
    <definedName name="一修多修正项5" localSheetId="14">[2]典型户型修正!$11:$11</definedName>
    <definedName name="一修多修正项5">典型户型修正!$11:$11</definedName>
    <definedName name="一修多修正项6" localSheetId="13">[1]典型户型修正!$13:$13</definedName>
    <definedName name="一修多修正项6" localSheetId="14">[2]典型户型修正!$13:$13</definedName>
    <definedName name="一修多修正项6">典型户型修正!$13:$13</definedName>
    <definedName name="一修多修正项7" localSheetId="13">[1]典型户型修正!$15:$15</definedName>
    <definedName name="一修多修正项7" localSheetId="14">[2]典型户型修正!$15:$15</definedName>
    <definedName name="一修多修正项7">典型户型修正!$15:$15</definedName>
    <definedName name="一修多修正项8" localSheetId="13">[1]典型户型修正!$17:$17</definedName>
    <definedName name="一修多修正项8" localSheetId="14">[2]典型户型修正!$17:$17</definedName>
    <definedName name="一修多修正项8">典型户型修正!$17:$17</definedName>
    <definedName name="用途明细" localSheetId="13">[1]定义!$A$1:$A$50</definedName>
    <definedName name="用途明细" localSheetId="14">[2]定义!$A$1:$A$50</definedName>
    <definedName name="用途明细">定义!$A$1:$A$50</definedName>
    <definedName name="有无电梯" localSheetId="13">'[1]比较法-仓储'!$B$84:$M$84</definedName>
    <definedName name="有无电梯" localSheetId="14">'[2]比较法-仓储'!$B$84:$M$84</definedName>
    <definedName name="有无电梯">'比较法-仓储'!$B$84:$M$84</definedName>
    <definedName name="主用途" localSheetId="13">[1]定义!$F$1:$F$10</definedName>
    <definedName name="主用途" localSheetId="14">[2]定义!$F$1:$F$10</definedName>
    <definedName name="主用途">定义!$F$1:$F$10</definedName>
    <definedName name="住宅朝向" localSheetId="13">'[1]比较法-住宅'!$B$88:$M$88</definedName>
    <definedName name="住宅朝向" localSheetId="14">'[2]比较法-住宅'!$B$88:$M$88</definedName>
    <definedName name="住宅朝向">'比较法-住宅'!$B$88:$M$88</definedName>
    <definedName name="住宅房型" localSheetId="13">'[1]比较法-住宅'!$B$118:$M$118</definedName>
    <definedName name="住宅房型" localSheetId="14">'[2]比较法-住宅'!$B$118:$M$118</definedName>
    <definedName name="住宅房型">'比较法-住宅'!$B$118:$M$118</definedName>
    <definedName name="住宅公共部分装修" localSheetId="13">'[1]比较法-住宅'!$B$109:$M$109</definedName>
    <definedName name="住宅公共部分装修" localSheetId="14">'[2]比较法-住宅'!$B$109:$M$109</definedName>
    <definedName name="住宅公共部分装修">'比较法-住宅'!$B$109:$M$109</definedName>
    <definedName name="住宅基础设施水平" localSheetId="13">'[1]比较法-住宅'!$B$116:$M$116</definedName>
    <definedName name="住宅基础设施水平" localSheetId="14">'[2]比较法-住宅'!$B$116:$M$116</definedName>
    <definedName name="住宅基础设施水平">'比较法-住宅'!$B$116:$M$116</definedName>
    <definedName name="住宅建筑结构" localSheetId="13">'[1]比较法-住宅'!$B$105:$M$105</definedName>
    <definedName name="住宅建筑结构" localSheetId="14">'[2]比较法-住宅'!$B$105:$M$105</definedName>
    <definedName name="住宅建筑结构">'比较法-住宅'!$B$105:$M$105</definedName>
    <definedName name="住宅建筑类型" localSheetId="13">'[1]比较法-住宅'!$B$100:$M$100</definedName>
    <definedName name="住宅建筑类型" localSheetId="14">'[2]比较法-住宅'!$B$100:$M$100</definedName>
    <definedName name="住宅建筑类型">'比较法-住宅'!$B$100:$M$100</definedName>
    <definedName name="住宅建筑品质" localSheetId="13">'[1]比较法-住宅'!$B$107:$M$107</definedName>
    <definedName name="住宅建筑品质" localSheetId="14">'[2]比较法-住宅'!$B$107:$M$107</definedName>
    <definedName name="住宅建筑品质">'比较法-住宅'!$B$107:$M$107</definedName>
    <definedName name="住宅交易情况" localSheetId="13">'[1]比较法-住宅'!$A$61:$M$61</definedName>
    <definedName name="住宅交易情况" localSheetId="14">'[2]比较法-住宅'!$A$61:$M$61</definedName>
    <definedName name="住宅交易情况">'比较法-住宅'!$A$61:$M$61</definedName>
    <definedName name="住宅楼层" localSheetId="13">'[1]比较法-住宅'!$B$86:$M$86</definedName>
    <definedName name="住宅楼层" localSheetId="14">'[2]比较法-住宅'!$B$86:$M$86</definedName>
    <definedName name="住宅楼层">'比较法-住宅'!$B$86:$M$86</definedName>
    <definedName name="住宅内部装修" localSheetId="13">'[1]比较法-住宅'!$B$122:$M$122</definedName>
    <definedName name="住宅内部装修" localSheetId="14">'[2]比较法-住宅'!$B$122:$M$122</definedName>
    <definedName name="住宅内部装修">'比较法-住宅'!$B$122:$M$122</definedName>
    <definedName name="住宅物业管理" localSheetId="13">'[1]比较法-住宅'!$B$114:$M$114</definedName>
    <definedName name="住宅物业管理" localSheetId="14">'[2]比较法-住宅'!$B$114:$M$114</definedName>
    <definedName name="住宅物业管理">'比较法-住宅'!$B$114:$M$114</definedName>
    <definedName name="住宅用途" localSheetId="13">'[1]比较法-住宅'!$B$63:$M$63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 localSheetId="14">[2]估价师及机构信息!$A$3:$A$24</definedName>
    <definedName name="注册房地产估价师">估价师及机构信息!$A$3:$A$24</definedName>
  </definedNames>
  <calcPr calcId="144525" iterate="1"/>
</workbook>
</file>

<file path=xl/calcChain.xml><?xml version="1.0" encoding="utf-8"?>
<calcChain xmlns="http://schemas.openxmlformats.org/spreadsheetml/2006/main">
  <c r="I7" i="6" l="1"/>
  <c r="U6" i="1"/>
  <c r="N53" i="80"/>
  <c r="M53" i="80"/>
  <c r="N2" i="80"/>
  <c r="M2" i="80"/>
  <c r="L2" i="80"/>
  <c r="K3" i="80" l="1"/>
  <c r="K4" i="80"/>
  <c r="K5" i="80"/>
  <c r="K6" i="80"/>
  <c r="K7" i="80"/>
  <c r="K8" i="80"/>
  <c r="K9" i="80"/>
  <c r="K10"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K38" i="80"/>
  <c r="K39" i="80"/>
  <c r="K40" i="80"/>
  <c r="K41" i="80"/>
  <c r="K42" i="80"/>
  <c r="K43" i="80"/>
  <c r="K44" i="80"/>
  <c r="K45" i="80"/>
  <c r="K46" i="80"/>
  <c r="K47" i="80"/>
  <c r="K48" i="80"/>
  <c r="K49" i="80"/>
  <c r="K50" i="80"/>
  <c r="K51" i="80"/>
  <c r="K52" i="80"/>
  <c r="K53" i="80"/>
  <c r="L53" i="80" s="1"/>
  <c r="K54" i="80"/>
  <c r="K55" i="80"/>
  <c r="K56" i="80"/>
  <c r="K57" i="80"/>
  <c r="K58" i="80"/>
  <c r="K2" i="80"/>
  <c r="I14" i="78" l="1"/>
  <c r="M13" i="78"/>
  <c r="M11" i="78"/>
  <c r="M10" i="78"/>
  <c r="M9" i="78"/>
  <c r="M7" i="78"/>
  <c r="M14" i="78" s="1"/>
  <c r="Y6" i="1" l="1"/>
  <c r="N22" i="1"/>
  <c r="N19" i="1"/>
  <c r="G41" i="43"/>
  <c r="D29" i="43"/>
  <c r="B29" i="1"/>
  <c r="F19" i="6"/>
  <c r="B5" i="4"/>
  <c r="B7" i="4"/>
  <c r="C11" i="4"/>
  <c r="I13" i="4"/>
  <c r="A3" i="3"/>
  <c r="I13" i="3"/>
  <c r="I24" i="77"/>
  <c r="L23" i="77"/>
  <c r="L22" i="77"/>
  <c r="L21" i="77"/>
  <c r="L20" i="77"/>
  <c r="L19" i="77"/>
  <c r="L18" i="77"/>
  <c r="L14" i="77"/>
  <c r="L13" i="77"/>
  <c r="L12" i="77"/>
  <c r="L11" i="77"/>
  <c r="L10" i="77"/>
  <c r="L9" i="77"/>
  <c r="L8" i="77"/>
  <c r="L7" i="77"/>
  <c r="L24" i="77" s="1"/>
  <c r="D3" i="4" l="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A19" i="62"/>
  <c r="A12" i="62"/>
  <c r="B58" i="72" s="1"/>
  <c r="A120" i="9"/>
  <c r="H2" i="52"/>
  <c r="A1" i="52"/>
  <c r="A3" i="53"/>
  <c r="Q12" i="71"/>
  <c r="P12" i="71"/>
  <c r="O12" i="71"/>
  <c r="N1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59"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A4" i="51" s="1"/>
  <c r="B6" i="72" s="1"/>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7" i="43"/>
  <c r="D67" i="43"/>
  <c r="D60" i="43"/>
  <c r="D61" i="43"/>
  <c r="D62" i="43"/>
  <c r="D63" i="43"/>
  <c r="D64" i="43"/>
  <c r="D65" i="43"/>
  <c r="D66" i="43"/>
  <c r="D59" i="43"/>
  <c r="E59" i="43" s="1"/>
  <c r="B57"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58" i="15"/>
  <c r="Q51"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A15" i="62" s="1"/>
  <c r="B61" i="72" s="1"/>
  <c r="L20" i="4"/>
  <c r="A5" i="62"/>
  <c r="B72" i="72" s="1"/>
  <c r="A4" i="62"/>
  <c r="B70" i="72" s="1"/>
  <c r="F33" i="9"/>
  <c r="B13" i="53"/>
  <c r="B29" i="72" s="1"/>
  <c r="R35" i="4"/>
  <c r="Q35" i="4"/>
  <c r="P35" i="4"/>
  <c r="O35" i="4"/>
  <c r="N35" i="4"/>
  <c r="M35" i="4"/>
  <c r="L35" i="4"/>
  <c r="K34" i="4"/>
  <c r="T34" i="4" s="1"/>
  <c r="G13" i="1"/>
  <c r="I15" i="4"/>
  <c r="H15" i="4"/>
  <c r="G15" i="4"/>
  <c r="E15" i="4"/>
  <c r="D15" i="4"/>
  <c r="F7" i="1"/>
  <c r="G7" i="1" s="1"/>
  <c r="L21" i="4"/>
  <c r="F19" i="4"/>
  <c r="F2" i="52"/>
  <c r="B50" i="72" s="1"/>
  <c r="D2" i="52"/>
  <c r="B46" i="72"/>
  <c r="B8" i="53"/>
  <c r="B23" i="72"/>
  <c r="L4" i="9"/>
  <c r="A24" i="51" s="1"/>
  <c r="B18" i="72" s="1"/>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C18" i="9" s="1"/>
  <c r="D18" i="9" s="1"/>
  <c r="I55" i="9"/>
  <c r="F55" i="9" s="1"/>
  <c r="O53" i="9" s="1"/>
  <c r="D89" i="9"/>
  <c r="C89" i="9"/>
  <c r="C87" i="9" s="1"/>
  <c r="J55" i="9"/>
  <c r="B31" i="1"/>
  <c r="E19" i="69" s="1"/>
  <c r="B52" i="1"/>
  <c r="M20" i="15" s="1"/>
  <c r="T4" i="1"/>
  <c r="F15" i="15"/>
  <c r="F17" i="15"/>
  <c r="F18" i="15"/>
  <c r="F20" i="15"/>
  <c r="F21" i="15"/>
  <c r="D3" i="35"/>
  <c r="E59" i="9"/>
  <c r="N55" i="9"/>
  <c r="K55" i="9"/>
  <c r="F59" i="9"/>
  <c r="N54" i="9"/>
  <c r="N53" i="9"/>
  <c r="E48" i="9"/>
  <c r="N52" i="9"/>
  <c r="O55" i="9"/>
  <c r="F56" i="9"/>
  <c r="O54" i="9"/>
  <c r="D101" i="9"/>
  <c r="C101" i="9"/>
  <c r="H104" i="9"/>
  <c r="D10" i="53" s="1"/>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J11" i="39"/>
  <c r="W11" i="39"/>
  <c r="F11" i="39"/>
  <c r="AA11" i="39"/>
  <c r="S11" i="39"/>
  <c r="G4" i="4"/>
  <c r="I4" i="4"/>
  <c r="K5" i="4"/>
  <c r="B47" i="48" s="1"/>
  <c r="N2" i="43"/>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H113" i="43"/>
  <c r="F48" i="43"/>
  <c r="H52" i="43" s="1"/>
  <c r="N7" i="43"/>
  <c r="F70" i="43"/>
  <c r="H73" i="43" s="1"/>
  <c r="M6" i="43"/>
  <c r="M11" i="43"/>
  <c r="D17" i="43"/>
  <c r="F39" i="43"/>
  <c r="I17" i="43"/>
  <c r="F35" i="43"/>
  <c r="J17" i="43"/>
  <c r="F6" i="1"/>
  <c r="U17" i="39"/>
  <c r="S14" i="35"/>
  <c r="U43" i="21"/>
  <c r="U35" i="21"/>
  <c r="AC35" i="21"/>
  <c r="U10" i="2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E57" i="40" s="1"/>
  <c r="K6" i="1"/>
  <c r="M6" i="1" s="1"/>
  <c r="O6" i="1"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C6" i="43" s="1"/>
  <c r="N10" i="43"/>
  <c r="M1" i="43"/>
  <c r="M8" i="43"/>
  <c r="N8" i="43"/>
  <c r="N9" i="43"/>
  <c r="D120" i="9"/>
  <c r="D6" i="52" s="1"/>
  <c r="F34" i="67"/>
  <c r="F62" i="67"/>
  <c r="M20" i="67"/>
  <c r="F34" i="15"/>
  <c r="F62" i="15" s="1"/>
  <c r="G13" i="3"/>
  <c r="G5" i="3" s="1"/>
  <c r="B3" i="3" s="1"/>
  <c r="BA13" i="3"/>
  <c r="BA5" i="3"/>
  <c r="BL17" i="3"/>
  <c r="AZ17" i="3"/>
  <c r="BL13" i="3"/>
  <c r="G30" i="6"/>
  <c r="G31" i="6" s="1"/>
  <c r="J56" i="9"/>
  <c r="J57" i="9"/>
  <c r="J59" i="9" s="1"/>
  <c r="J61" i="9" s="1"/>
  <c r="U29" i="34"/>
  <c r="E14" i="6"/>
  <c r="E32" i="6"/>
  <c r="L19" i="6"/>
  <c r="G1" i="68"/>
  <c r="K1" i="12"/>
  <c r="F30" i="6"/>
  <c r="E28" i="6"/>
  <c r="AR12" i="1"/>
  <c r="T12" i="1"/>
  <c r="T10" i="1"/>
  <c r="E19" i="68"/>
  <c r="E1" i="73"/>
  <c r="G41" i="69"/>
  <c r="G22" i="69"/>
  <c r="G41" i="68"/>
  <c r="G22" i="68"/>
  <c r="G27" i="12"/>
  <c r="G26" i="12"/>
  <c r="G41" i="11"/>
  <c r="G22" i="11"/>
  <c r="G25" i="12"/>
  <c r="C100" i="43"/>
  <c r="E48" i="43"/>
  <c r="B46" i="43" s="1"/>
  <c r="E70" i="43"/>
  <c r="B68" i="43"/>
  <c r="F100" i="43"/>
  <c r="H17" i="43"/>
  <c r="H54" i="43"/>
  <c r="H70" i="43"/>
  <c r="C17" i="43"/>
  <c r="F33" i="43"/>
  <c r="K17" i="43"/>
  <c r="F34" i="43"/>
  <c r="M7" i="43"/>
  <c r="N6" i="43"/>
  <c r="M2" i="43"/>
  <c r="M10" i="43"/>
  <c r="N3" i="43"/>
  <c r="F81" i="43" s="1"/>
  <c r="N11" i="43"/>
  <c r="F38" i="43"/>
  <c r="F37" i="43"/>
  <c r="M9" i="43"/>
  <c r="N12" i="43"/>
  <c r="N5" i="43"/>
  <c r="M5" i="43"/>
  <c r="M12" i="43"/>
  <c r="M4" i="43"/>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C48" i="35"/>
  <c r="D48" i="35"/>
  <c r="C4" i="12"/>
  <c r="H66" i="43"/>
  <c r="H65" i="43"/>
  <c r="H64" i="43"/>
  <c r="H63" i="43"/>
  <c r="H55" i="43"/>
  <c r="H56" i="43"/>
  <c r="H72" i="43"/>
  <c r="L20" i="6"/>
  <c r="B6" i="1"/>
  <c r="E6" i="1" s="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52" i="9"/>
  <c r="AQ9" i="1"/>
  <c r="K15" i="1"/>
  <c r="T9" i="1"/>
  <c r="C77" i="9"/>
  <c r="C74" i="9" s="1"/>
  <c r="S7" i="1"/>
  <c r="AR7" i="1"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121" i="9"/>
  <c r="D7" i="52" s="1"/>
  <c r="K14" i="1"/>
  <c r="M14" i="1" s="1"/>
  <c r="O14" i="1" s="1"/>
  <c r="BL5" i="3"/>
  <c r="E263" i="3"/>
  <c r="E244" i="3"/>
  <c r="E301" i="3"/>
  <c r="E262" i="3"/>
  <c r="E245" i="3"/>
  <c r="E196" i="3"/>
  <c r="E159" i="3"/>
  <c r="E136" i="3"/>
  <c r="E191" i="3"/>
  <c r="E156"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R22" i="31"/>
  <c r="B21" i="31"/>
  <c r="O19" i="43"/>
  <c r="E52" i="37"/>
  <c r="F52" i="37"/>
  <c r="E48" i="35"/>
  <c r="E59" i="34"/>
  <c r="F59" i="34"/>
  <c r="C65" i="40"/>
  <c r="D63" i="40"/>
  <c r="E63" i="40" s="1"/>
  <c r="F63" i="40" s="1"/>
  <c r="AP7" i="1"/>
  <c r="C36"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F1" i="67"/>
  <c r="Q52" i="67"/>
  <c r="AC11" i="37"/>
  <c r="W11" i="37"/>
  <c r="W11" i="34"/>
  <c r="AC11" i="34"/>
  <c r="R7" i="1"/>
  <c r="C13" i="12"/>
  <c r="F11" i="12"/>
  <c r="E65" i="40"/>
  <c r="R8" i="1"/>
  <c r="G63" i="40"/>
  <c r="G65" i="40" s="1"/>
  <c r="F65" i="40"/>
  <c r="H63" i="40"/>
  <c r="H65" i="40" s="1"/>
  <c r="I63" i="40"/>
  <c r="I65" i="40" s="1"/>
  <c r="J63" i="40"/>
  <c r="K63" i="40" s="1"/>
  <c r="J65" i="40"/>
  <c r="E2" i="70"/>
  <c r="AE7" i="1"/>
  <c r="AE8" i="1"/>
  <c r="H109" i="9"/>
  <c r="H110" i="9"/>
  <c r="D18" i="53" s="1"/>
  <c r="B35" i="72" s="1"/>
  <c r="D124" i="9"/>
  <c r="D16" i="53"/>
  <c r="B34" i="72" s="1"/>
  <c r="D10" i="52"/>
  <c r="H14" i="74"/>
  <c r="D125" i="9"/>
  <c r="D11" i="52" s="1"/>
  <c r="B7" i="74"/>
  <c r="J7" i="33"/>
  <c r="W7" i="33" s="1"/>
  <c r="F7" i="33"/>
  <c r="S7" i="33" s="1"/>
  <c r="H7" i="33"/>
  <c r="AB7" i="33" s="1"/>
  <c r="T48" i="33" s="1"/>
  <c r="G48" i="33" s="1"/>
  <c r="AA7" i="33"/>
  <c r="R48" i="33" s="1"/>
  <c r="H111" i="9"/>
  <c r="D126" i="9" s="1"/>
  <c r="D19" i="53"/>
  <c r="B38" i="72" s="1"/>
  <c r="D59" i="9"/>
  <c r="M55" i="9"/>
  <c r="AD3" i="71"/>
  <c r="L48" i="15"/>
  <c r="F4" i="73"/>
  <c r="E2" i="68"/>
  <c r="B10" i="76"/>
  <c r="AO11" i="1"/>
  <c r="E9" i="76"/>
  <c r="F36" i="15"/>
  <c r="AO10" i="1"/>
  <c r="AO8" i="1"/>
  <c r="F8" i="67"/>
  <c r="AO9" i="1"/>
  <c r="F38" i="67"/>
  <c r="L48" i="67"/>
  <c r="F6" i="15"/>
  <c r="F40" i="67"/>
  <c r="F43" i="67"/>
  <c r="B13" i="76"/>
  <c r="M24" i="15"/>
  <c r="F20" i="31"/>
  <c r="E11" i="76"/>
  <c r="E8" i="76"/>
  <c r="D5" i="73"/>
  <c r="L47" i="67"/>
  <c r="F7" i="67"/>
  <c r="F9" i="15"/>
  <c r="M6" i="67"/>
  <c r="F40" i="15"/>
  <c r="M6" i="15"/>
  <c r="D6" i="73"/>
  <c r="M28" i="67"/>
  <c r="D2" i="35"/>
  <c r="M23" i="67"/>
  <c r="F8" i="15"/>
  <c r="D2" i="34"/>
  <c r="B8" i="76"/>
  <c r="D2" i="33"/>
  <c r="F16" i="15"/>
  <c r="F26" i="67"/>
  <c r="B9" i="76"/>
  <c r="B12" i="76"/>
  <c r="M23" i="15"/>
  <c r="AO12" i="1"/>
  <c r="M29" i="67"/>
  <c r="C76" i="15"/>
  <c r="AO7" i="1"/>
  <c r="D2" i="21"/>
  <c r="B7" i="76"/>
  <c r="M26" i="15"/>
  <c r="M8" i="67"/>
  <c r="B11" i="76"/>
  <c r="D7" i="73"/>
  <c r="F13" i="67"/>
  <c r="M28" i="15"/>
  <c r="F6" i="67"/>
  <c r="F42" i="67"/>
  <c r="C76" i="67"/>
  <c r="F7" i="15"/>
  <c r="M21" i="67"/>
  <c r="F5" i="73"/>
  <c r="J15" i="15"/>
  <c r="M27" i="67"/>
  <c r="D4" i="73"/>
  <c r="F41" i="67"/>
  <c r="E2" i="69"/>
  <c r="E13" i="76"/>
  <c r="D2" i="37"/>
  <c r="M8" i="15"/>
  <c r="F3" i="73"/>
  <c r="D3" i="73"/>
  <c r="E12" i="76"/>
  <c r="E10" i="76"/>
  <c r="F37" i="67"/>
  <c r="F37" i="15"/>
  <c r="M29" i="15"/>
  <c r="F7" i="73"/>
  <c r="M22" i="67"/>
  <c r="F35" i="67"/>
  <c r="AO13" i="1"/>
  <c r="F13" i="15"/>
  <c r="F42" i="15"/>
  <c r="M9" i="15"/>
  <c r="F9" i="67"/>
  <c r="L47" i="15"/>
  <c r="F36" i="67"/>
  <c r="J15" i="67"/>
  <c r="F26" i="15"/>
  <c r="F16" i="67"/>
  <c r="M24" i="67"/>
  <c r="F43" i="15"/>
  <c r="M9" i="67"/>
  <c r="E7" i="76"/>
  <c r="M26" i="67"/>
  <c r="M22" i="15"/>
  <c r="F6" i="73"/>
  <c r="D2" i="36"/>
  <c r="F38" i="15"/>
  <c r="G11" i="1" l="1"/>
  <c r="G9" i="1"/>
  <c r="G12" i="1"/>
  <c r="G10" i="1"/>
  <c r="G8" i="1"/>
  <c r="D20" i="53"/>
  <c r="B40" i="72" s="1"/>
  <c r="I14" i="74"/>
  <c r="B8" i="74" s="1"/>
  <c r="D12" i="52"/>
  <c r="D127" i="9"/>
  <c r="D13" i="52" s="1"/>
  <c r="H112" i="9"/>
  <c r="D21" i="53" s="1"/>
  <c r="B39" i="72" s="1"/>
  <c r="B19" i="53"/>
  <c r="B37" i="72" s="1"/>
  <c r="A2" i="9"/>
  <c r="A4" i="52"/>
  <c r="B41" i="72" s="1"/>
  <c r="K120" i="9"/>
  <c r="A18" i="62" s="1"/>
  <c r="B64" i="72" s="1"/>
  <c r="D9" i="53"/>
  <c r="B25" i="72" s="1"/>
  <c r="B24" i="72"/>
  <c r="E10" i="43"/>
  <c r="E8" i="43"/>
  <c r="E11" i="43"/>
  <c r="E9" i="43"/>
  <c r="H77" i="43"/>
  <c r="H76" i="43"/>
  <c r="H51" i="43"/>
  <c r="H67" i="43"/>
  <c r="H59" i="43"/>
  <c r="H60" i="43"/>
  <c r="H61" i="43"/>
  <c r="H71" i="43"/>
  <c r="H78" i="43"/>
  <c r="H53" i="43"/>
  <c r="H50" i="43"/>
  <c r="H83" i="43"/>
  <c r="G83" i="43" s="1"/>
  <c r="H82" i="43"/>
  <c r="G82" i="43" s="1"/>
  <c r="H81" i="43"/>
  <c r="G81" i="43" s="1"/>
  <c r="H88" i="43"/>
  <c r="G88" i="43" s="1"/>
  <c r="H86" i="43"/>
  <c r="G86" i="43" s="1"/>
  <c r="H87" i="43"/>
  <c r="G87" i="43" s="1"/>
  <c r="H85" i="43"/>
  <c r="G85" i="43" s="1"/>
  <c r="H84" i="43"/>
  <c r="G84" i="43" s="1"/>
  <c r="C94" i="9"/>
  <c r="C92" i="9"/>
  <c r="F54" i="9"/>
  <c r="F28" i="15"/>
  <c r="C28" i="15" s="1"/>
  <c r="M18" i="67"/>
  <c r="D68" i="9"/>
  <c r="M18" i="15"/>
  <c r="F32" i="15"/>
  <c r="F60" i="15" s="1"/>
  <c r="F30" i="69"/>
  <c r="F32" i="67"/>
  <c r="F60" i="67" s="1"/>
  <c r="F31" i="12"/>
  <c r="C31" i="12" s="1"/>
  <c r="F28" i="67"/>
  <c r="C28" i="67" s="1"/>
  <c r="F30" i="11"/>
  <c r="F30" i="68"/>
  <c r="C36" i="11"/>
  <c r="C40" i="69"/>
  <c r="E19" i="11"/>
  <c r="F34" i="68"/>
  <c r="C36" i="68" s="1"/>
  <c r="L27" i="6"/>
  <c r="T13" i="1"/>
  <c r="AR11" i="1"/>
  <c r="T11" i="1"/>
  <c r="AR10" i="1"/>
  <c r="C34" i="69"/>
  <c r="C38" i="69" s="1"/>
  <c r="T7" i="1"/>
  <c r="K16" i="1"/>
  <c r="P10" i="1"/>
  <c r="D17" i="53"/>
  <c r="B36" i="72" s="1"/>
  <c r="F27" i="6"/>
  <c r="E51" i="40"/>
  <c r="E56"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7" i="6"/>
  <c r="E15" i="6"/>
  <c r="E60" i="40" s="1"/>
  <c r="E65" i="39"/>
  <c r="E62" i="39"/>
  <c r="E5" i="6"/>
  <c r="D19" i="12" s="1"/>
  <c r="C19" i="12" s="1"/>
  <c r="E11" i="6"/>
  <c r="E56" i="40" s="1"/>
  <c r="E10" i="6"/>
  <c r="E13" i="6"/>
  <c r="F22" i="43"/>
  <c r="F101" i="43"/>
  <c r="E22" i="43"/>
  <c r="H22" i="43"/>
  <c r="H101" i="43"/>
  <c r="H106" i="43" s="1"/>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4" i="43"/>
  <c r="S7" i="43"/>
  <c r="J22" i="43"/>
  <c r="B113" i="43"/>
  <c r="K101" i="43"/>
  <c r="N101" i="43"/>
  <c r="G101" i="43"/>
  <c r="C101" i="43"/>
  <c r="J101" i="43"/>
  <c r="N104" i="46"/>
  <c r="L101" i="43"/>
  <c r="L109" i="43" s="1"/>
  <c r="D101" i="43"/>
  <c r="M101" i="43"/>
  <c r="I101" i="43"/>
  <c r="E101" i="43"/>
  <c r="S2" i="43"/>
  <c r="S5" i="43"/>
  <c r="C23" i="43"/>
  <c r="S3" i="43"/>
  <c r="L102" i="43"/>
  <c r="L104" i="43"/>
  <c r="E64" i="39"/>
  <c r="E59" i="40"/>
  <c r="E61" i="39"/>
  <c r="E16" i="6"/>
  <c r="F31" i="6"/>
  <c r="P14" i="1"/>
  <c r="P6" i="1"/>
  <c r="M7" i="1"/>
  <c r="Q16" i="1"/>
  <c r="P11" i="1"/>
  <c r="E30" i="6"/>
  <c r="K21" i="6"/>
  <c r="M21" i="6" s="1"/>
  <c r="I21" i="6" s="1"/>
  <c r="S21" i="6" s="1"/>
  <c r="K22" i="6"/>
  <c r="M22" i="6" s="1"/>
  <c r="I22" i="6" s="1"/>
  <c r="S22" i="6" s="1"/>
  <c r="K25" i="6"/>
  <c r="M25" i="6" s="1"/>
  <c r="I25" i="6" s="1"/>
  <c r="S25" i="6" s="1"/>
  <c r="K23" i="6"/>
  <c r="M23" i="6" s="1"/>
  <c r="I23" i="6" s="1"/>
  <c r="S23" i="6" s="1"/>
  <c r="H107" i="43"/>
  <c r="H105" i="43"/>
  <c r="D9" i="69"/>
  <c r="C9" i="69" s="1"/>
  <c r="E31" i="6"/>
  <c r="AZ13" i="3"/>
  <c r="AZ5" i="3" s="1"/>
  <c r="O9" i="1"/>
  <c r="P9" i="1" s="1"/>
  <c r="O8" i="1"/>
  <c r="P8" i="1" s="1"/>
  <c r="T35" i="4"/>
  <c r="A19" i="51" s="1"/>
  <c r="B14" i="72" s="1"/>
  <c r="H49" i="43"/>
  <c r="H74" i="43"/>
  <c r="O17" i="43"/>
  <c r="M17" i="43"/>
  <c r="N17" i="43"/>
  <c r="L17" i="43"/>
  <c r="E17" i="43"/>
  <c r="E48" i="33"/>
  <c r="R49" i="33"/>
  <c r="G52" i="33"/>
  <c r="H52" i="33" s="1"/>
  <c r="U7" i="33"/>
  <c r="AC7" i="33"/>
  <c r="V48" i="33" s="1"/>
  <c r="I48" i="33" s="1"/>
  <c r="K65" i="40"/>
  <c r="L63" i="40"/>
  <c r="G59" i="34"/>
  <c r="G52" i="37"/>
  <c r="E46" i="36"/>
  <c r="D58" i="21"/>
  <c r="F48" i="35"/>
  <c r="C70" i="39"/>
  <c r="D68" i="39"/>
  <c r="P61" i="15"/>
  <c r="J53" i="15"/>
  <c r="F7" i="71"/>
  <c r="F6" i="71" s="1"/>
  <c r="F5" i="71" s="1"/>
  <c r="Y6" i="71"/>
  <c r="Z6" i="71" s="1"/>
  <c r="B7" i="49"/>
  <c r="E4" i="4" s="1"/>
  <c r="B5" i="62" s="1"/>
  <c r="B73" i="72" s="1"/>
  <c r="E7" i="49"/>
  <c r="B15" i="49"/>
  <c r="AB3" i="71"/>
  <c r="X3" i="71"/>
  <c r="C7" i="71"/>
  <c r="E7" i="71"/>
  <c r="E6" i="71" s="1"/>
  <c r="E5" i="71" s="1"/>
  <c r="E10" i="49"/>
  <c r="B6" i="49"/>
  <c r="E14" i="49"/>
  <c r="AF3" i="71"/>
  <c r="P24" i="43" s="1"/>
  <c r="B66" i="40" s="1"/>
  <c r="P21" i="43"/>
  <c r="P22" i="43"/>
  <c r="C23" i="12"/>
  <c r="B13" i="49"/>
  <c r="C4" i="4"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15"/>
  <c r="F59" i="67"/>
  <c r="F59" i="15"/>
  <c r="F31" i="67"/>
  <c r="M17" i="67"/>
  <c r="F31" i="15"/>
  <c r="C16" i="67"/>
  <c r="G1" i="73"/>
  <c r="C14" i="67"/>
  <c r="C17" i="15"/>
  <c r="C16" i="15"/>
  <c r="C14" i="15"/>
  <c r="C17" i="67"/>
  <c r="L105" i="43" l="1"/>
  <c r="M84" i="43"/>
  <c r="N84" i="43" s="1"/>
  <c r="K84" i="43"/>
  <c r="M87" i="43"/>
  <c r="N87" i="43" s="1"/>
  <c r="K87" i="43"/>
  <c r="J87" i="43" s="1"/>
  <c r="M88" i="43"/>
  <c r="N88" i="43" s="1"/>
  <c r="K88" i="43"/>
  <c r="M82" i="43"/>
  <c r="N82" i="43" s="1"/>
  <c r="K82" i="43"/>
  <c r="C7" i="43"/>
  <c r="M85" i="43"/>
  <c r="N85" i="43" s="1"/>
  <c r="K85" i="43"/>
  <c r="M86" i="43"/>
  <c r="N86" i="43" s="1"/>
  <c r="K86" i="43"/>
  <c r="M81" i="43"/>
  <c r="K81" i="43"/>
  <c r="J81" i="43" s="1"/>
  <c r="M83" i="43"/>
  <c r="K83" i="43"/>
  <c r="J83" i="43" s="1"/>
  <c r="C35" i="69"/>
  <c r="G17" i="43"/>
  <c r="C30" i="11"/>
  <c r="C48" i="11"/>
  <c r="C30" i="69"/>
  <c r="C48" i="69"/>
  <c r="C48" i="68"/>
  <c r="C30" i="68"/>
  <c r="C18" i="15"/>
  <c r="C15" i="15"/>
  <c r="D22" i="43"/>
  <c r="C21" i="43" s="1"/>
  <c r="K20" i="6"/>
  <c r="M20" i="6" s="1"/>
  <c r="I20" i="6" s="1"/>
  <c r="S20" i="6" s="1"/>
  <c r="K24" i="6"/>
  <c r="M24" i="6" s="1"/>
  <c r="I24" i="6" s="1"/>
  <c r="S24" i="6" s="1"/>
  <c r="K26" i="6"/>
  <c r="M26" i="6" s="1"/>
  <c r="I26" i="6" s="1"/>
  <c r="S26" i="6" s="1"/>
  <c r="K19" i="6"/>
  <c r="S6" i="1" s="1"/>
  <c r="AC6" i="3"/>
  <c r="E6" i="3" s="1"/>
  <c r="D9" i="68"/>
  <c r="C9" i="68" s="1"/>
  <c r="D9" i="11"/>
  <c r="C9" i="11" s="1"/>
  <c r="E58" i="40"/>
  <c r="E63" i="39"/>
  <c r="E66" i="39" s="1"/>
  <c r="C104" i="43"/>
  <c r="C106" i="43"/>
  <c r="C107" i="43"/>
  <c r="C103" i="43"/>
  <c r="C102" i="43"/>
  <c r="C109" i="43"/>
  <c r="C105" i="43"/>
  <c r="N102" i="43"/>
  <c r="N105" i="43"/>
  <c r="N107" i="43"/>
  <c r="N103" i="43"/>
  <c r="N106" i="43"/>
  <c r="N104" i="43"/>
  <c r="N109" i="43"/>
  <c r="B115" i="43"/>
  <c r="I115" i="43"/>
  <c r="J115" i="43" s="1"/>
  <c r="K115" i="43" s="1"/>
  <c r="L115" i="43" s="1"/>
  <c r="M115" i="43" s="1"/>
  <c r="D118" i="43"/>
  <c r="E118" i="43" s="1"/>
  <c r="F118" i="43" s="1"/>
  <c r="G118" i="43"/>
  <c r="H118" i="43" s="1"/>
  <c r="B118" i="43"/>
  <c r="C118" i="43" s="1"/>
  <c r="I116" i="43"/>
  <c r="J116" i="43" s="1"/>
  <c r="K116" i="43" s="1"/>
  <c r="L116" i="43" s="1"/>
  <c r="M116" i="43" s="1"/>
  <c r="D115" i="43"/>
  <c r="E115" i="43" s="1"/>
  <c r="F115" i="43" s="1"/>
  <c r="G115" i="43" s="1"/>
  <c r="H115" i="43" s="1"/>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F104" i="43"/>
  <c r="F102" i="43"/>
  <c r="F103" i="43"/>
  <c r="F107" i="43"/>
  <c r="F106" i="43"/>
  <c r="F105" i="43"/>
  <c r="F109" i="43"/>
  <c r="I109" i="43"/>
  <c r="I102" i="43"/>
  <c r="I106" i="43"/>
  <c r="I103" i="43"/>
  <c r="I104" i="43"/>
  <c r="I107" i="43"/>
  <c r="I105" i="43"/>
  <c r="D109" i="43"/>
  <c r="D103" i="43"/>
  <c r="D104" i="43"/>
  <c r="D107" i="43"/>
  <c r="D105" i="43"/>
  <c r="D106" i="43"/>
  <c r="D102" i="43"/>
  <c r="E102" i="43"/>
  <c r="E106" i="43"/>
  <c r="E103" i="43"/>
  <c r="E109" i="43"/>
  <c r="E104" i="43"/>
  <c r="E107" i="43"/>
  <c r="E105" i="43"/>
  <c r="M109" i="43"/>
  <c r="M102" i="43"/>
  <c r="M106" i="43"/>
  <c r="M103" i="43"/>
  <c r="M104" i="43"/>
  <c r="M107" i="43"/>
  <c r="M105" i="43"/>
  <c r="L106" i="43"/>
  <c r="L103" i="43"/>
  <c r="L107" i="43"/>
  <c r="J104" i="43"/>
  <c r="J107" i="43"/>
  <c r="J102" i="43"/>
  <c r="J106" i="43"/>
  <c r="J105" i="43"/>
  <c r="J103" i="43"/>
  <c r="J109" i="43"/>
  <c r="G105" i="43"/>
  <c r="G102" i="43"/>
  <c r="G107" i="43"/>
  <c r="G104" i="43"/>
  <c r="G109" i="43"/>
  <c r="G103" i="43"/>
  <c r="G106" i="43"/>
  <c r="K103" i="43"/>
  <c r="K102" i="43"/>
  <c r="K106" i="43"/>
  <c r="K107" i="43"/>
  <c r="K104" i="43"/>
  <c r="K105" i="43"/>
  <c r="K109" i="43"/>
  <c r="H102" i="43"/>
  <c r="H104" i="43"/>
  <c r="H103" i="43"/>
  <c r="H109" i="43"/>
  <c r="AY6" i="3"/>
  <c r="E3" i="6"/>
  <c r="O7" i="1"/>
  <c r="O16" i="1" s="1"/>
  <c r="M16" i="1"/>
  <c r="P7" i="1"/>
  <c r="P16" i="1" s="1"/>
  <c r="C11" i="12" s="1"/>
  <c r="F27" i="69"/>
  <c r="F28" i="12"/>
  <c r="C29" i="12" s="1"/>
  <c r="D28" i="12" s="1"/>
  <c r="F27" i="11"/>
  <c r="F27" i="68"/>
  <c r="C16" i="43"/>
  <c r="D5" i="43" s="1"/>
  <c r="K4" i="4"/>
  <c r="B46" i="48" s="1"/>
  <c r="B4" i="72" s="1"/>
  <c r="B4" i="62"/>
  <c r="B71" i="72" s="1"/>
  <c r="G48" i="35"/>
  <c r="E58" i="21"/>
  <c r="H52" i="37"/>
  <c r="M63" i="40"/>
  <c r="L65" i="40"/>
  <c r="I52" i="33"/>
  <c r="J52" i="33" s="1"/>
  <c r="I53" i="33"/>
  <c r="J53" i="33" s="1"/>
  <c r="C49" i="33"/>
  <c r="C48" i="33"/>
  <c r="D70" i="39"/>
  <c r="E68" i="39"/>
  <c r="F46" i="36"/>
  <c r="H59" i="34"/>
  <c r="G53" i="33"/>
  <c r="H53" i="33" s="1"/>
  <c r="E53" i="33"/>
  <c r="F53" i="33" s="1"/>
  <c r="E52" i="33"/>
  <c r="F52" i="33" s="1"/>
  <c r="Q52" i="15"/>
  <c r="F1" i="15"/>
  <c r="P23" i="43"/>
  <c r="B71" i="39" s="1"/>
  <c r="C6" i="71"/>
  <c r="C5" i="71" s="1"/>
  <c r="D5" i="71" s="1"/>
  <c r="D7" i="71"/>
  <c r="P25" i="43"/>
  <c r="C49" i="67"/>
  <c r="C49" i="15"/>
  <c r="B40" i="1"/>
  <c r="C18" i="67"/>
  <c r="C15" i="67"/>
  <c r="M11" i="15"/>
  <c r="J10" i="15" s="1"/>
  <c r="J5" i="15" s="1"/>
  <c r="F11" i="67"/>
  <c r="F11" i="15"/>
  <c r="M11" i="67"/>
  <c r="J10" i="67" s="1"/>
  <c r="J5" i="67" s="1"/>
  <c r="Q73" i="67"/>
  <c r="Q60" i="67"/>
  <c r="P28" i="43"/>
  <c r="G20" i="43" s="1"/>
  <c r="M28" i="43"/>
  <c r="N28" i="43"/>
  <c r="O28" i="43"/>
  <c r="Q61" i="67"/>
  <c r="Q74" i="67"/>
  <c r="AE6" i="1"/>
  <c r="AG6" i="1" l="1"/>
  <c r="H6" i="1"/>
  <c r="H16" i="1" s="1"/>
  <c r="L52" i="15"/>
  <c r="D86" i="43"/>
  <c r="J86" i="43"/>
  <c r="D85" i="43"/>
  <c r="J85" i="43"/>
  <c r="D83" i="43"/>
  <c r="N83" i="43"/>
  <c r="N81" i="43"/>
  <c r="D81" i="43"/>
  <c r="D82" i="43"/>
  <c r="J82" i="43"/>
  <c r="D88" i="43"/>
  <c r="J88" i="43"/>
  <c r="D84" i="43"/>
  <c r="J84" i="43"/>
  <c r="E41" i="43"/>
  <c r="C41" i="43" s="1"/>
  <c r="C20" i="43"/>
  <c r="C19" i="15"/>
  <c r="AQ6" i="1"/>
  <c r="T6" i="1"/>
  <c r="T16" i="1" s="1"/>
  <c r="S16" i="1"/>
  <c r="AR6" i="1"/>
  <c r="K27" i="6"/>
  <c r="M19" i="6"/>
  <c r="C115" i="43"/>
  <c r="D113" i="43" s="1"/>
  <c r="C15" i="12"/>
  <c r="C12" i="12"/>
  <c r="C47" i="11"/>
  <c r="D45" i="11" s="1"/>
  <c r="C29" i="11"/>
  <c r="D27" i="11" s="1"/>
  <c r="C47" i="69"/>
  <c r="D45" i="69" s="1"/>
  <c r="C29" i="69"/>
  <c r="D27" i="69" s="1"/>
  <c r="AY103" i="3"/>
  <c r="AY98"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87"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AY539" i="3"/>
  <c r="AY105" i="3"/>
  <c r="AY100" i="3"/>
  <c r="AY69" i="3"/>
  <c r="AY84" i="3"/>
  <c r="AY52" i="3"/>
  <c r="AY20" i="3"/>
  <c r="AY198" i="3"/>
  <c r="AY193" i="3"/>
  <c r="AY162"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BO6" i="3"/>
  <c r="AY555" i="3"/>
  <c r="AY89" i="3"/>
  <c r="AY85" i="3"/>
  <c r="AY53" i="3"/>
  <c r="AY68" i="3"/>
  <c r="AY36" i="3"/>
  <c r="AY25" i="3"/>
  <c r="AY182" i="3"/>
  <c r="AY178"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578" i="3"/>
  <c r="AY99" i="3"/>
  <c r="AY63" i="3"/>
  <c r="AY46" i="3"/>
  <c r="AY192" i="3"/>
  <c r="AY156" i="3"/>
  <c r="AY135" i="3"/>
  <c r="AY285" i="3"/>
  <c r="AY249" i="3"/>
  <c r="AY232" i="3"/>
  <c r="AY378"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31" i="3"/>
  <c r="BA6" i="3"/>
  <c r="AY94" i="3"/>
  <c r="AY78" i="3"/>
  <c r="AY35" i="3"/>
  <c r="AY187" i="3"/>
  <c r="AY167" i="3"/>
  <c r="AY127" i="3"/>
  <c r="AY280" i="3"/>
  <c r="AY264" i="3"/>
  <c r="AY221" i="3"/>
  <c r="AY376"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29" i="68"/>
  <c r="D27" i="68" s="1"/>
  <c r="C47" i="68"/>
  <c r="D45" i="68" s="1"/>
  <c r="C34" i="11"/>
  <c r="N16" i="1"/>
  <c r="L16" i="1"/>
  <c r="C34" i="68"/>
  <c r="D3" i="34"/>
  <c r="D3" i="33"/>
  <c r="B2" i="33" s="1"/>
  <c r="B3" i="33" s="1"/>
  <c r="E6" i="6"/>
  <c r="C17" i="4"/>
  <c r="B4" i="52" s="1"/>
  <c r="B43" i="72" s="1"/>
  <c r="L18" i="9"/>
  <c r="D3" i="37"/>
  <c r="D37" i="11"/>
  <c r="C37" i="11" s="1"/>
  <c r="M18" i="9"/>
  <c r="B118" i="9" s="1"/>
  <c r="B14" i="74" s="1"/>
  <c r="D3" i="21"/>
  <c r="D19" i="11"/>
  <c r="C19" i="11" s="1"/>
  <c r="D14" i="12"/>
  <c r="C5" i="43"/>
  <c r="F68" i="39"/>
  <c r="E70" i="39"/>
  <c r="H48" i="35"/>
  <c r="I59" i="34"/>
  <c r="G46" i="36"/>
  <c r="N63" i="40"/>
  <c r="M65" i="40"/>
  <c r="I52" i="37"/>
  <c r="J52" i="37" s="1"/>
  <c r="K52" i="37" s="1"/>
  <c r="L52" i="37" s="1"/>
  <c r="M52" i="37" s="1"/>
  <c r="N52" i="37" s="1"/>
  <c r="O52" i="37" s="1"/>
  <c r="H7" i="37"/>
  <c r="F7" i="37"/>
  <c r="F58" i="21"/>
  <c r="G58" i="21" s="1"/>
  <c r="H58" i="21" s="1"/>
  <c r="I58" i="21" s="1"/>
  <c r="J58" i="21" s="1"/>
  <c r="K58" i="21" s="1"/>
  <c r="L58" i="21" s="1"/>
  <c r="M58" i="21" s="1"/>
  <c r="N58" i="21" s="1"/>
  <c r="O58" i="21" s="1"/>
  <c r="D6" i="71"/>
  <c r="M20" i="43" s="1"/>
  <c r="C19" i="43" s="1"/>
  <c r="C19" i="67"/>
  <c r="C20" i="67" s="1"/>
  <c r="C26" i="67" s="1"/>
  <c r="J24" i="67"/>
  <c r="J26" i="67"/>
  <c r="J29" i="67" s="1"/>
  <c r="J18" i="67"/>
  <c r="C53" i="67"/>
  <c r="C48" i="67" s="1"/>
  <c r="C10" i="67"/>
  <c r="C5" i="67" s="1"/>
  <c r="C20" i="15"/>
  <c r="C26" i="15" s="1"/>
  <c r="J24" i="15"/>
  <c r="J18" i="15"/>
  <c r="C53" i="15"/>
  <c r="C48" i="15" s="1"/>
  <c r="C10" i="15"/>
  <c r="C5" i="15" s="1"/>
  <c r="F24" i="67"/>
  <c r="C24" i="67" s="1"/>
  <c r="F22" i="68"/>
  <c r="F22" i="11"/>
  <c r="F22" i="69"/>
  <c r="F25" i="12"/>
  <c r="F24" i="15"/>
  <c r="C24" i="15" s="1"/>
  <c r="F41" i="15"/>
  <c r="M27" i="15"/>
  <c r="F69" i="15" l="1"/>
  <c r="G6" i="1"/>
  <c r="G16" i="1" s="1"/>
  <c r="H10" i="40" s="1"/>
  <c r="Q59" i="15"/>
  <c r="Q72" i="15"/>
  <c r="N59" i="15"/>
  <c r="L58" i="15"/>
  <c r="M59" i="15"/>
  <c r="L59" i="15" s="1"/>
  <c r="E81" i="43"/>
  <c r="B79" i="43" s="1"/>
  <c r="C24" i="43" s="1"/>
  <c r="T14" i="43" s="1"/>
  <c r="V14" i="43" s="1"/>
  <c r="M27" i="6"/>
  <c r="I19" i="6"/>
  <c r="D17" i="12"/>
  <c r="C17" i="12" s="1"/>
  <c r="C14" i="12"/>
  <c r="C16" i="12" s="1"/>
  <c r="D10" i="11"/>
  <c r="C10" i="11" s="1"/>
  <c r="D20" i="12"/>
  <c r="C20" i="12" s="1"/>
  <c r="C18" i="12" s="1"/>
  <c r="D10" i="68"/>
  <c r="D10" i="69"/>
  <c r="C38" i="11"/>
  <c r="C35" i="11"/>
  <c r="D25" i="6"/>
  <c r="D15" i="6"/>
  <c r="D22" i="6"/>
  <c r="D21" i="6"/>
  <c r="D24" i="6"/>
  <c r="D20" i="6"/>
  <c r="D6" i="6"/>
  <c r="D9" i="6"/>
  <c r="D10" i="6"/>
  <c r="L19" i="9"/>
  <c r="D29" i="6"/>
  <c r="H25" i="6"/>
  <c r="H22" i="6"/>
  <c r="H21" i="6"/>
  <c r="H24" i="6"/>
  <c r="H19" i="6"/>
  <c r="H20" i="6"/>
  <c r="M19" i="9"/>
  <c r="C118" i="9" s="1"/>
  <c r="C14" i="74" s="1"/>
  <c r="D19" i="6"/>
  <c r="D26" i="6"/>
  <c r="C18" i="4"/>
  <c r="D8" i="6"/>
  <c r="D23" i="6"/>
  <c r="D14" i="6"/>
  <c r="D5" i="6"/>
  <c r="D12" i="6"/>
  <c r="D11" i="6"/>
  <c r="D13" i="6"/>
  <c r="D28" i="6"/>
  <c r="D30" i="6" s="1"/>
  <c r="E61" i="40"/>
  <c r="H23" i="6"/>
  <c r="H26" i="6"/>
  <c r="C20" i="11"/>
  <c r="C28" i="11" s="1"/>
  <c r="C27" i="11" s="1"/>
  <c r="C38" i="68"/>
  <c r="C35" i="68"/>
  <c r="F50" i="11"/>
  <c r="F50" i="68"/>
  <c r="F50" i="69"/>
  <c r="AB7" i="37"/>
  <c r="T42" i="37" s="1"/>
  <c r="G42" i="37" s="1"/>
  <c r="U7" i="37"/>
  <c r="H7" i="21"/>
  <c r="F70" i="39"/>
  <c r="G68" i="39"/>
  <c r="F7" i="21"/>
  <c r="AA7" i="37"/>
  <c r="R42" i="37" s="1"/>
  <c r="S7" i="37"/>
  <c r="O63" i="40"/>
  <c r="O65" i="40" s="1"/>
  <c r="N65" i="40"/>
  <c r="J7" i="40" s="1"/>
  <c r="H46" i="36"/>
  <c r="J59" i="34"/>
  <c r="I48" i="35"/>
  <c r="J7" i="37"/>
  <c r="J7" i="21"/>
  <c r="C37"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C38" i="43" l="1"/>
  <c r="G38" i="43" s="1"/>
  <c r="I38" i="43" s="1"/>
  <c r="C36" i="43"/>
  <c r="E36" i="43" s="1"/>
  <c r="F10" i="40"/>
  <c r="S10" i="40" s="1"/>
  <c r="J10" i="39"/>
  <c r="AC10" i="39" s="1"/>
  <c r="H10" i="39"/>
  <c r="U10" i="39" s="1"/>
  <c r="F10" i="39"/>
  <c r="AA10" i="39" s="1"/>
  <c r="J10" i="40"/>
  <c r="W10" i="40" s="1"/>
  <c r="T3" i="43"/>
  <c r="V3" i="43" s="1"/>
  <c r="C29" i="43"/>
  <c r="C30" i="43" s="1"/>
  <c r="E30" i="43" s="1"/>
  <c r="C35" i="43"/>
  <c r="E35" i="43" s="1"/>
  <c r="C39" i="43"/>
  <c r="E39" i="43" s="1"/>
  <c r="T6" i="43"/>
  <c r="V6" i="43" s="1"/>
  <c r="T5" i="43"/>
  <c r="V5" i="43" s="1"/>
  <c r="T2" i="43"/>
  <c r="V2" i="43" s="1"/>
  <c r="T8" i="43"/>
  <c r="V8" i="43" s="1"/>
  <c r="T13" i="43"/>
  <c r="V13" i="43" s="1"/>
  <c r="Q73" i="15"/>
  <c r="Q60" i="15"/>
  <c r="Q61" i="15"/>
  <c r="Q74" i="15"/>
  <c r="T16" i="43"/>
  <c r="V16" i="43" s="1"/>
  <c r="T15" i="43"/>
  <c r="V15" i="43" s="1"/>
  <c r="C33" i="43"/>
  <c r="G33" i="43" s="1"/>
  <c r="I33" i="43" s="1"/>
  <c r="T9" i="43"/>
  <c r="V9" i="43" s="1"/>
  <c r="T7" i="43"/>
  <c r="V7" i="43" s="1"/>
  <c r="T12" i="43"/>
  <c r="V12" i="43" s="1"/>
  <c r="T10" i="43"/>
  <c r="V10" i="43" s="1"/>
  <c r="T11" i="43"/>
  <c r="V11" i="43" s="1"/>
  <c r="C34" i="43"/>
  <c r="G34" i="43" s="1"/>
  <c r="I34" i="43" s="1"/>
  <c r="T4" i="43"/>
  <c r="V4" i="43" s="1"/>
  <c r="AC10" i="40"/>
  <c r="AB10" i="40"/>
  <c r="U10" i="40"/>
  <c r="W10" i="39"/>
  <c r="H27" i="6"/>
  <c r="C33" i="11"/>
  <c r="C42" i="11" s="1"/>
  <c r="D16" i="6"/>
  <c r="I27" i="6"/>
  <c r="S19" i="6"/>
  <c r="S27" i="6" s="1"/>
  <c r="R26" i="6"/>
  <c r="R20" i="6"/>
  <c r="R21" i="6"/>
  <c r="C10" i="69"/>
  <c r="C8" i="69" s="1"/>
  <c r="C5" i="69" s="1"/>
  <c r="D19" i="69"/>
  <c r="C21" i="12"/>
  <c r="R23" i="6"/>
  <c r="A7" i="51"/>
  <c r="B7" i="72" s="1"/>
  <c r="C4" i="52"/>
  <c r="B45" i="72" s="1"/>
  <c r="A10" i="51"/>
  <c r="B9" i="72" s="1"/>
  <c r="D27" i="6"/>
  <c r="D31" i="6" s="1"/>
  <c r="R19" i="6"/>
  <c r="R24" i="6"/>
  <c r="R22" i="6"/>
  <c r="R25" i="6"/>
  <c r="C10" i="68"/>
  <c r="D19" i="68"/>
  <c r="W7" i="40"/>
  <c r="AC7" i="40"/>
  <c r="V42" i="40" s="1"/>
  <c r="I42" i="40" s="1"/>
  <c r="W7" i="37"/>
  <c r="AC7" i="37"/>
  <c r="V42" i="37" s="1"/>
  <c r="I42" i="37" s="1"/>
  <c r="S7" i="21"/>
  <c r="AA7" i="21"/>
  <c r="R48" i="21" s="1"/>
  <c r="F7" i="40"/>
  <c r="AC7" i="21"/>
  <c r="V48" i="21" s="1"/>
  <c r="I48" i="21" s="1"/>
  <c r="W7" i="21"/>
  <c r="J48" i="35"/>
  <c r="K59" i="34"/>
  <c r="I46" i="36"/>
  <c r="H7" i="40"/>
  <c r="E42" i="37"/>
  <c r="R43" i="37"/>
  <c r="H68" i="39"/>
  <c r="G70" i="39"/>
  <c r="AB7" i="21"/>
  <c r="T48" i="21" s="1"/>
  <c r="G48" i="21" s="1"/>
  <c r="U7" i="21"/>
  <c r="G46" i="37"/>
  <c r="H46" i="37" s="1"/>
  <c r="G47" i="37"/>
  <c r="H47" i="37" s="1"/>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E38" i="43" l="1"/>
  <c r="AA10" i="40"/>
  <c r="E29" i="43"/>
  <c r="G36" i="43"/>
  <c r="I36" i="43" s="1"/>
  <c r="G35" i="43"/>
  <c r="I35" i="43" s="1"/>
  <c r="G39" i="43"/>
  <c r="I39" i="43" s="1"/>
  <c r="AB10" i="39"/>
  <c r="S10" i="39"/>
  <c r="E34" i="43"/>
  <c r="E33" i="43"/>
  <c r="C39" i="11"/>
  <c r="C43" i="11" s="1"/>
  <c r="C41" i="11" s="1"/>
  <c r="R27" i="6"/>
  <c r="R6" i="1"/>
  <c r="C19" i="69"/>
  <c r="C24" i="69" s="1"/>
  <c r="D37" i="69"/>
  <c r="C37" i="69" s="1"/>
  <c r="C33" i="69" s="1"/>
  <c r="C19" i="68"/>
  <c r="D37" i="68"/>
  <c r="C37" i="68" s="1"/>
  <c r="C33" i="68" s="1"/>
  <c r="I5" i="6"/>
  <c r="I6" i="6"/>
  <c r="C22" i="12"/>
  <c r="C27" i="12" s="1"/>
  <c r="C25" i="12" s="1"/>
  <c r="C23" i="69"/>
  <c r="U7" i="40"/>
  <c r="AB7" i="40"/>
  <c r="T42" i="40" s="1"/>
  <c r="G42" i="40" s="1"/>
  <c r="J46" i="36"/>
  <c r="K46" i="36" s="1"/>
  <c r="L46" i="36" s="1"/>
  <c r="M46" i="36" s="1"/>
  <c r="N46" i="36" s="1"/>
  <c r="O46" i="36" s="1"/>
  <c r="F7" i="36" s="1"/>
  <c r="H7" i="36"/>
  <c r="G52" i="21"/>
  <c r="H52" i="21" s="1"/>
  <c r="G53" i="21"/>
  <c r="H53" i="21" s="1"/>
  <c r="I68" i="39"/>
  <c r="H70" i="39"/>
  <c r="E47" i="37"/>
  <c r="F47" i="37" s="1"/>
  <c r="E46" i="37"/>
  <c r="F46" i="37" s="1"/>
  <c r="J7" i="36"/>
  <c r="L59" i="34"/>
  <c r="K48" i="35"/>
  <c r="I52" i="21"/>
  <c r="J52" i="21" s="1"/>
  <c r="E48" i="21"/>
  <c r="R49" i="21"/>
  <c r="I47" i="37"/>
  <c r="J47" i="37" s="1"/>
  <c r="I46" i="37"/>
  <c r="J46" i="37" s="1"/>
  <c r="I46" i="40"/>
  <c r="J46" i="40" s="1"/>
  <c r="C42" i="37"/>
  <c r="C43" i="37"/>
  <c r="B2" i="37" s="1"/>
  <c r="B3" i="37" s="1"/>
  <c r="S7" i="40"/>
  <c r="AA7" i="40"/>
  <c r="R42" i="40"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F35" i="15"/>
  <c r="M21" i="15"/>
  <c r="C27" i="43" l="1"/>
  <c r="C26" i="43"/>
  <c r="J20" i="15"/>
  <c r="J17" i="15" s="1"/>
  <c r="F63" i="15"/>
  <c r="C62" i="15" s="1"/>
  <c r="C34" i="15"/>
  <c r="C31" i="15" s="1"/>
  <c r="C59" i="15"/>
  <c r="C30" i="15"/>
  <c r="C39" i="15" s="1"/>
  <c r="Q69" i="15" s="1"/>
  <c r="Q68" i="15" s="1"/>
  <c r="R16" i="1"/>
  <c r="C46" i="11"/>
  <c r="C45" i="11" s="1"/>
  <c r="C49" i="11" s="1"/>
  <c r="C51" i="11" s="1"/>
  <c r="C20" i="69"/>
  <c r="C25" i="69" s="1"/>
  <c r="C22" i="69" s="1"/>
  <c r="C52" i="11"/>
  <c r="B2" i="11" s="1"/>
  <c r="B3" i="11" s="1"/>
  <c r="C39" i="68"/>
  <c r="C43" i="68" s="1"/>
  <c r="C42" i="68"/>
  <c r="C39" i="69"/>
  <c r="C42" i="69"/>
  <c r="C28" i="69"/>
  <c r="C27" i="69" s="1"/>
  <c r="C30" i="12"/>
  <c r="C28" i="12" s="1"/>
  <c r="C32" i="12" s="1"/>
  <c r="B2" i="12" s="1"/>
  <c r="B3" i="12" s="1"/>
  <c r="C24" i="68"/>
  <c r="AC7" i="36"/>
  <c r="V36" i="36" s="1"/>
  <c r="I36" i="36" s="1"/>
  <c r="W7" i="36"/>
  <c r="J68" i="39"/>
  <c r="I70" i="39"/>
  <c r="AA7" i="36"/>
  <c r="R36" i="36" s="1"/>
  <c r="S7" i="36"/>
  <c r="E42" i="40"/>
  <c r="R43" i="40"/>
  <c r="C48" i="21"/>
  <c r="C49" i="21"/>
  <c r="B2" i="21" s="1"/>
  <c r="B3" i="21" s="1"/>
  <c r="E52" i="21"/>
  <c r="F52" i="21" s="1"/>
  <c r="E53" i="21"/>
  <c r="F53" i="21" s="1"/>
  <c r="I53" i="21"/>
  <c r="J53" i="21" s="1"/>
  <c r="L48" i="35"/>
  <c r="M59" i="34"/>
  <c r="U7" i="36"/>
  <c r="AB7" i="36"/>
  <c r="T36" i="36" s="1"/>
  <c r="G36" i="36" s="1"/>
  <c r="G46" i="40"/>
  <c r="H46" i="40" s="1"/>
  <c r="G47" i="40"/>
  <c r="H47" i="40" s="1"/>
  <c r="J16" i="67"/>
  <c r="J25" i="67" s="1"/>
  <c r="J16" i="15"/>
  <c r="J25" i="15" s="1"/>
  <c r="J26" i="15" s="1"/>
  <c r="J29" i="15" s="1"/>
  <c r="C40" i="67"/>
  <c r="Q69" i="67"/>
  <c r="Q68" i="67" s="1"/>
  <c r="C58" i="15"/>
  <c r="C67" i="15" s="1"/>
  <c r="C68" i="15" s="1"/>
  <c r="C58" i="67"/>
  <c r="C67" i="67" s="1"/>
  <c r="C68" i="67" s="1"/>
  <c r="C80" i="67"/>
  <c r="C79" i="67" s="1"/>
  <c r="L51" i="15"/>
  <c r="L51" i="67"/>
  <c r="E6" i="76"/>
  <c r="E2" i="76" l="1"/>
  <c r="B2" i="43"/>
  <c r="C80" i="15"/>
  <c r="C79" i="15" s="1"/>
  <c r="C40" i="15"/>
  <c r="Q65" i="15" s="1"/>
  <c r="C41" i="68"/>
  <c r="C31" i="69"/>
  <c r="C46" i="68"/>
  <c r="C45" i="68" s="1"/>
  <c r="C56" i="11"/>
  <c r="C57" i="11" s="1"/>
  <c r="C46" i="69"/>
  <c r="C45" i="69" s="1"/>
  <c r="C43" i="69"/>
  <c r="C41" i="69" s="1"/>
  <c r="N59" i="34"/>
  <c r="O59" i="34" s="1"/>
  <c r="J7" i="34" s="1"/>
  <c r="F7" i="34"/>
  <c r="M48" i="35"/>
  <c r="N48" i="35" s="1"/>
  <c r="O48" i="35" s="1"/>
  <c r="H7" i="35"/>
  <c r="F7" i="35"/>
  <c r="C42" i="40"/>
  <c r="C43" i="40"/>
  <c r="G40" i="36"/>
  <c r="H40" i="36" s="1"/>
  <c r="G41" i="36"/>
  <c r="H41" i="36" s="1"/>
  <c r="H7" i="34"/>
  <c r="J7" i="35"/>
  <c r="E46" i="40"/>
  <c r="F46" i="40" s="1"/>
  <c r="E47" i="40"/>
  <c r="F47" i="40" s="1"/>
  <c r="I47" i="40"/>
  <c r="J47" i="40" s="1"/>
  <c r="E36" i="36"/>
  <c r="R37" i="36"/>
  <c r="K68" i="39"/>
  <c r="J70" i="39"/>
  <c r="I41" i="36"/>
  <c r="J41" i="36" s="1"/>
  <c r="I40" i="36"/>
  <c r="J40" i="36" s="1"/>
  <c r="Q67" i="67"/>
  <c r="L57" i="67"/>
  <c r="L60" i="67" s="1"/>
  <c r="Q67" i="15"/>
  <c r="L57" i="15"/>
  <c r="L60" i="15" s="1"/>
  <c r="L46" i="15" s="1"/>
  <c r="C71" i="67"/>
  <c r="C45" i="67"/>
  <c r="C46" i="67" s="1"/>
  <c r="Q56" i="67"/>
  <c r="Q47" i="67"/>
  <c r="Q53" i="67" s="1"/>
  <c r="Q65" i="67"/>
  <c r="C43" i="67"/>
  <c r="D2" i="67"/>
  <c r="C83" i="67"/>
  <c r="C82" i="67" s="1"/>
  <c r="C71" i="15"/>
  <c r="B6" i="76"/>
  <c r="C49" i="68" l="1"/>
  <c r="C51" i="68" s="1"/>
  <c r="B2" i="76"/>
  <c r="B3" i="76" s="1"/>
  <c r="C6" i="68"/>
  <c r="C7" i="68" s="1"/>
  <c r="C5" i="68" s="1"/>
  <c r="B3" i="43"/>
  <c r="Q47" i="15"/>
  <c r="Q53" i="15" s="1"/>
  <c r="C46" i="15"/>
  <c r="C83" i="15"/>
  <c r="C82" i="15" s="1"/>
  <c r="B2" i="15"/>
  <c r="Q56" i="15"/>
  <c r="C43" i="15"/>
  <c r="C49" i="69"/>
  <c r="C51" i="69" s="1"/>
  <c r="C52" i="69" s="1"/>
  <c r="B2" i="69" s="1"/>
  <c r="B3" i="69" s="1"/>
  <c r="L68" i="39"/>
  <c r="K70" i="39"/>
  <c r="E40" i="36"/>
  <c r="F40" i="36" s="1"/>
  <c r="E41" i="36"/>
  <c r="F41" i="36" s="1"/>
  <c r="U7" i="35"/>
  <c r="AB7" i="35"/>
  <c r="T38" i="35" s="1"/>
  <c r="G38" i="35" s="1"/>
  <c r="S7" i="34"/>
  <c r="AA7" i="34"/>
  <c r="R49" i="34" s="1"/>
  <c r="W7" i="35"/>
  <c r="AC7" i="35"/>
  <c r="V38" i="35" s="1"/>
  <c r="I38" i="35" s="1"/>
  <c r="C36" i="36"/>
  <c r="C37" i="36"/>
  <c r="B2" i="36" s="1"/>
  <c r="B3" i="36" s="1"/>
  <c r="AB7" i="34"/>
  <c r="T49" i="34" s="1"/>
  <c r="G49" i="34" s="1"/>
  <c r="U7" i="34"/>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AA7" i="35"/>
  <c r="R38" i="35" s="1"/>
  <c r="S7" i="35"/>
  <c r="W7" i="34"/>
  <c r="AC7" i="34"/>
  <c r="V49" i="34" s="1"/>
  <c r="I49" i="34" s="1"/>
  <c r="Q57" i="15"/>
  <c r="Q66" i="15"/>
  <c r="Q75" i="15" s="1"/>
  <c r="Q66" i="67"/>
  <c r="Q75" i="67" s="1"/>
  <c r="Q57" i="67"/>
  <c r="Q62" i="67" s="1"/>
  <c r="B2" i="67"/>
  <c r="B3" i="67"/>
  <c r="AO6" i="1"/>
  <c r="D19" i="9"/>
  <c r="D102" i="9" l="1"/>
  <c r="D21" i="9"/>
  <c r="B3" i="15"/>
  <c r="Q62" i="15"/>
  <c r="C23" i="68"/>
  <c r="C20" i="68"/>
  <c r="C25" i="68" s="1"/>
  <c r="B6" i="70"/>
  <c r="B2" i="70" s="1"/>
  <c r="B3" i="70" s="1"/>
  <c r="C57" i="69"/>
  <c r="C56" i="69" s="1"/>
  <c r="E38" i="35"/>
  <c r="R39" i="35"/>
  <c r="I42" i="35"/>
  <c r="J42" i="35" s="1"/>
  <c r="I43" i="35"/>
  <c r="J43" i="35" s="1"/>
  <c r="R50" i="34"/>
  <c r="E49" i="34"/>
  <c r="G42" i="35"/>
  <c r="H42" i="35" s="1"/>
  <c r="G43" i="35"/>
  <c r="H43" i="35" s="1"/>
  <c r="I53" i="34"/>
  <c r="J53" i="34" s="1"/>
  <c r="I54" i="34"/>
  <c r="J54" i="34" s="1"/>
  <c r="G53" i="34"/>
  <c r="H53" i="34" s="1"/>
  <c r="G54" i="34"/>
  <c r="H54" i="34" s="1"/>
  <c r="M68" i="39"/>
  <c r="L70" i="39"/>
  <c r="D20" i="9"/>
  <c r="D103" i="9" l="1"/>
  <c r="C22" i="68"/>
  <c r="C28" i="68"/>
  <c r="C27" i="68" s="1"/>
  <c r="E54" i="34"/>
  <c r="F54" i="34" s="1"/>
  <c r="E53" i="34"/>
  <c r="F53" i="34" s="1"/>
  <c r="C38" i="35"/>
  <c r="C39" i="35"/>
  <c r="B2" i="35" s="1"/>
  <c r="B3" i="35" s="1"/>
  <c r="N68" i="39"/>
  <c r="M70" i="39"/>
  <c r="C50" i="34"/>
  <c r="B2" i="34" s="1"/>
  <c r="B3" i="34" s="1"/>
  <c r="C49" i="34"/>
  <c r="E43" i="35"/>
  <c r="F43" i="35" s="1"/>
  <c r="E42" i="35"/>
  <c r="F42" i="35" s="1"/>
  <c r="C31" i="68" l="1"/>
  <c r="C52" i="68" s="1"/>
  <c r="B2" i="68" s="1"/>
  <c r="O68" i="39"/>
  <c r="O70" i="39" s="1"/>
  <c r="N70" i="39"/>
  <c r="C19" i="9"/>
  <c r="D22" i="9" l="1"/>
  <c r="G19" i="9"/>
  <c r="C102" i="9"/>
  <c r="C21" i="9"/>
  <c r="B3" i="68"/>
  <c r="C57" i="68"/>
  <c r="C56" i="68" s="1"/>
  <c r="J7" i="39"/>
  <c r="H7" i="39"/>
  <c r="F7" i="39"/>
  <c r="C20" i="9"/>
  <c r="D34" i="9"/>
  <c r="D35" i="9"/>
  <c r="G20" i="9" l="1"/>
  <c r="C103" i="9"/>
  <c r="C32" i="9"/>
  <c r="G21" i="9"/>
  <c r="AB7" i="39"/>
  <c r="T47" i="39" s="1"/>
  <c r="G47" i="39" s="1"/>
  <c r="U7" i="39"/>
  <c r="S7" i="39"/>
  <c r="AA7" i="39"/>
  <c r="R47" i="39" s="1"/>
  <c r="AC7" i="39"/>
  <c r="V47" i="39" s="1"/>
  <c r="I47" i="39" s="1"/>
  <c r="W7" i="39"/>
  <c r="C35" i="9" l="1"/>
  <c r="F118" i="9" s="1"/>
  <c r="H118" i="9"/>
  <c r="E47" i="39"/>
  <c r="I52" i="39" s="1"/>
  <c r="J52" i="39" s="1"/>
  <c r="R48" i="39"/>
  <c r="I51" i="39"/>
  <c r="J51" i="39" s="1"/>
  <c r="G52" i="39"/>
  <c r="H52" i="39" s="1"/>
  <c r="G51" i="39"/>
  <c r="H51" i="39" s="1"/>
  <c r="C34" i="9" l="1"/>
  <c r="D118" i="9" s="1"/>
  <c r="D119" i="9" s="1"/>
  <c r="D5" i="52" s="1"/>
  <c r="B49" i="72" s="1"/>
  <c r="D14" i="74"/>
  <c r="H119" i="9"/>
  <c r="H5" i="52" s="1"/>
  <c r="C104" i="9"/>
  <c r="I118" i="9"/>
  <c r="H101" i="9"/>
  <c r="H4" i="52"/>
  <c r="F4" i="52"/>
  <c r="B51" i="72" s="1"/>
  <c r="G118" i="9"/>
  <c r="G4" i="52" s="1"/>
  <c r="B52" i="72" s="1"/>
  <c r="F119" i="9"/>
  <c r="F5" i="52" s="1"/>
  <c r="B53" i="72" s="1"/>
  <c r="C48" i="39"/>
  <c r="C47" i="39"/>
  <c r="E52" i="39"/>
  <c r="F52" i="39" s="1"/>
  <c r="E51" i="39"/>
  <c r="F51" i="39" s="1"/>
  <c r="D4" i="52" l="1"/>
  <c r="B47" i="72" s="1"/>
  <c r="I4" i="52"/>
  <c r="E118" i="9"/>
  <c r="E4" i="52" s="1"/>
  <c r="B48" i="72" s="1"/>
  <c r="C105" i="9"/>
  <c r="H102" i="9"/>
  <c r="D7" i="53" s="1"/>
  <c r="B21" i="72" s="1"/>
  <c r="D45" i="9"/>
  <c r="M48" i="9"/>
  <c r="H107" i="9"/>
  <c r="D5" i="53"/>
  <c r="E14" i="74"/>
  <c r="F14"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M49" i="9" l="1"/>
  <c r="H108" i="9"/>
  <c r="D15" i="53" s="1"/>
  <c r="B31" i="72" s="1"/>
  <c r="D122" i="9"/>
  <c r="D13" i="53"/>
  <c r="D55" i="9"/>
  <c r="M53" i="9" s="1"/>
  <c r="C93" i="9"/>
  <c r="C86" i="9" s="1"/>
  <c r="C78" i="9"/>
  <c r="C73" i="9" s="1"/>
  <c r="D53" i="9"/>
  <c r="C64" i="9"/>
  <c r="C63" i="9" s="1"/>
  <c r="C67" i="9" s="1"/>
  <c r="C68" i="9" s="1"/>
  <c r="D54" i="9" s="1"/>
  <c r="D52" i="9"/>
  <c r="C85" i="9"/>
  <c r="C72" i="9"/>
  <c r="B20" i="72"/>
  <c r="D6" i="53"/>
  <c r="B22" i="72" s="1"/>
  <c r="C95" i="9" l="1"/>
  <c r="C96" i="9" s="1"/>
  <c r="E96" i="9" s="1"/>
  <c r="E97" i="9" s="1"/>
  <c r="G14" i="74"/>
  <c r="D8" i="52"/>
  <c r="D123" i="9"/>
  <c r="D9" i="52" s="1"/>
  <c r="L68" i="9"/>
  <c r="M68" i="9" s="1"/>
  <c r="L66" i="9"/>
  <c r="M66" i="9" s="1"/>
  <c r="L63" i="9"/>
  <c r="M63" i="9" s="1"/>
  <c r="L65" i="9"/>
  <c r="M65" i="9" s="1"/>
  <c r="L64" i="9"/>
  <c r="M64" i="9" s="1"/>
  <c r="L67" i="9"/>
  <c r="M67" i="9" s="1"/>
  <c r="C79" i="9"/>
  <c r="B30" i="72"/>
  <c r="D14" i="53"/>
  <c r="B32" i="72" s="1"/>
  <c r="C97" i="9" l="1"/>
  <c r="D58" i="9" s="1"/>
  <c r="D56" i="9" s="1"/>
  <c r="M54" i="9" s="1"/>
  <c r="N57" i="9" s="1"/>
  <c r="N59" i="9" s="1"/>
  <c r="N61" i="9" s="1"/>
  <c r="M69" i="9"/>
  <c r="N69" i="9" s="1"/>
  <c r="C80" i="9"/>
  <c r="E80" i="9" s="1"/>
  <c r="E81" i="9" s="1"/>
  <c r="P57" i="9" l="1"/>
  <c r="N60" i="9"/>
  <c r="N58" i="9"/>
  <c r="C81" i="9"/>
  <c r="B15" i="74" l="1"/>
  <c r="B1" i="74" s="1"/>
  <c r="C7" i="74" l="1"/>
  <c r="C8" i="74"/>
  <c r="C15" i="74"/>
  <c r="B2" i="74" s="1"/>
  <c r="D8" i="74" l="1"/>
  <c r="D7" i="74"/>
  <c r="D15" i="74" l="1"/>
  <c r="F15" i="74" l="1"/>
  <c r="E15" i="74"/>
  <c r="B5" i="74"/>
  <c r="D5" i="74" l="1"/>
  <c r="C5" i="74"/>
  <c r="G15" i="74" l="1"/>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admin</author>
  </authors>
  <commentList>
    <comment ref="B6" authorId="0">
      <text>
        <r>
          <rPr>
            <b/>
            <sz val="9"/>
            <color indexed="81"/>
            <rFont val="宋体"/>
            <family val="3"/>
            <charset val="134"/>
          </rPr>
          <t>USER-:</t>
        </r>
        <r>
          <rPr>
            <sz val="9"/>
            <color indexed="81"/>
            <rFont val="宋体"/>
            <family val="3"/>
            <charset val="134"/>
          </rPr>
          <t xml:space="preserve">
2017年1月 名称变更
</t>
        </r>
      </text>
    </comment>
    <comment ref="B9" authorId="0">
      <text>
        <r>
          <rPr>
            <b/>
            <sz val="9"/>
            <color indexed="81"/>
            <rFont val="宋体"/>
            <family val="3"/>
            <charset val="134"/>
          </rPr>
          <t>USER-:</t>
        </r>
        <r>
          <rPr>
            <sz val="9"/>
            <color indexed="81"/>
            <rFont val="宋体"/>
            <family val="3"/>
            <charset val="134"/>
          </rPr>
          <t xml:space="preserve">
原：万达电影院线股份有限公司</t>
        </r>
      </text>
    </comment>
    <comment ref="B11" authorId="0">
      <text>
        <r>
          <rPr>
            <b/>
            <sz val="9"/>
            <color indexed="81"/>
            <rFont val="宋体"/>
            <family val="3"/>
            <charset val="134"/>
          </rPr>
          <t>USER-:</t>
        </r>
        <r>
          <rPr>
            <sz val="9"/>
            <color indexed="81"/>
            <rFont val="宋体"/>
            <family val="3"/>
            <charset val="134"/>
          </rPr>
          <t xml:space="preserve">
原名：上海商霖华通投资咨询有限公司北京分公司</t>
        </r>
      </text>
    </comment>
    <comment ref="G24" authorId="1">
      <text>
        <r>
          <rPr>
            <b/>
            <sz val="9"/>
            <color indexed="81"/>
            <rFont val="宋体"/>
            <family val="3"/>
            <charset val="134"/>
          </rPr>
          <t>admin:</t>
        </r>
        <r>
          <rPr>
            <sz val="9"/>
            <color indexed="81"/>
            <rFont val="宋体"/>
            <family val="3"/>
            <charset val="134"/>
          </rPr>
          <t xml:space="preserve">
2019.6.15租金为9</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<sst xmlns="http://schemas.openxmlformats.org/spreadsheetml/2006/main" count="7898" uniqueCount="3467">
  <si>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</si>
  <si>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</si>
  <si>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</si>
  <si>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</si>
  <si>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</si>
  <si>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</si>
  <si>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</si>
  <si>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</si>
  <si>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</si>
  <si>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</si>
  <si>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</si>
  <si>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</si>
  <si>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</si>
  <si>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</si>
  <si>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</si>
  <si>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</si>
  <si>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</si>
  <si>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</si>
  <si>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</si>
  <si>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</si>
  <si>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</si>
  <si>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</si>
  <si>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</si>
  <si>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</si>
  <si>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</si>
  <si>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</si>
  <si>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</si>
  <si>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</si>
  <si>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</si>
  <si>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</si>
  <si>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</si>
  <si>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</si>
  <si>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</si>
  <si>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</si>
  <si>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</si>
  <si>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</si>
  <si>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</si>
  <si>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</si>
  <si>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</si>
  <si>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</si>
  <si>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</si>
  <si>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</si>
  <si>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</si>
  <si>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</si>
  <si>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</si>
  <si>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</si>
  <si>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</si>
  <si>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</si>
  <si>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</si>
  <si>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</si>
  <si>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</si>
  <si>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</si>
  <si>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</si>
  <si>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</si>
  <si>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</si>
  <si>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</si>
  <si>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</si>
  <si>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</si>
  <si>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</si>
  <si>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</si>
  <si>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</si>
  <si>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</si>
  <si>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</si>
  <si>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</si>
  <si>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</si>
  <si>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</si>
  <si>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</si>
  <si>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</si>
  <si>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</si>
  <si>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</si>
  <si>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</si>
  <si>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</si>
  <si>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</si>
  <si>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</si>
  <si>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</si>
  <si>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</si>
  <si>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</si>
  <si>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</si>
  <si>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</si>
  <si>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</si>
  <si>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</si>
  <si>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</si>
  <si>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</si>
  <si>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</si>
  <si>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</si>
  <si>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</si>
  <si>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</si>
  <si>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</si>
  <si>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</si>
  <si>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</si>
  <si>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</si>
  <si>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</si>
  <si>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</si>
  <si>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</si>
  <si>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</si>
  <si>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</si>
  <si>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</si>
  <si>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</si>
  <si>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</si>
  <si>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</si>
  <si>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</si>
  <si>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</si>
  <si>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</si>
  <si>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</si>
  <si>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</si>
  <si>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</si>
  <si>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</si>
  <si>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</si>
  <si>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</si>
  <si>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</si>
  <si>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</si>
  <si>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</si>
  <si>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</si>
  <si>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</si>
  <si>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</si>
  <si>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</si>
  <si>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</si>
  <si>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</si>
  <si>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</si>
  <si>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</si>
  <si>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</si>
  <si>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</si>
  <si>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</si>
  <si>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</si>
  <si>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</si>
  <si>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</si>
  <si>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</si>
  <si>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</si>
  <si>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</si>
  <si>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</si>
  <si>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</si>
  <si>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</si>
  <si>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</si>
  <si>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</si>
  <si>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</si>
  <si>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</si>
  <si>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</si>
  <si>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</si>
  <si>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</si>
  <si>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</si>
  <si>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</si>
  <si>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</si>
  <si>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</si>
  <si>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</si>
  <si>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</si>
  <si>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</si>
  <si>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</si>
  <si>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</si>
  <si>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</si>
  <si>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</si>
  <si>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</si>
  <si>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</si>
  <si>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</si>
  <si>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</si>
  <si>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</si>
  <si>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</si>
  <si>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</si>
  <si>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</si>
  <si>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</si>
  <si>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</si>
  <si>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</si>
  <si>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</si>
  <si>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</si>
  <si>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</si>
  <si>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</si>
  <si>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</si>
  <si>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</si>
  <si>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</si>
  <si>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</si>
  <si>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</si>
  <si>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</si>
  <si>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</si>
  <si>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</si>
  <si>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</si>
  <si>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</si>
  <si>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</si>
  <si>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</si>
  <si>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</si>
  <si>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</si>
  <si>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</si>
  <si>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</si>
  <si>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</si>
  <si>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</si>
  <si>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</si>
  <si>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</si>
  <si>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</si>
  <si>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</si>
  <si>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</si>
  <si>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</si>
  <si>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</si>
  <si>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</si>
  <si>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</si>
  <si>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</si>
  <si>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</si>
  <si>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</si>
  <si>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</si>
  <si>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</si>
  <si>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</si>
  <si>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</si>
  <si>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</si>
  <si>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</si>
  <si>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</si>
  <si>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</si>
  <si>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</si>
  <si>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</si>
  <si>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</si>
  <si>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</si>
  <si>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</si>
  <si>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</si>
  <si>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</si>
  <si>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</si>
  <si>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</si>
  <si>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</si>
  <si>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</si>
  <si>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</si>
  <si>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</si>
  <si>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</si>
  <si>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</si>
  <si>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</si>
  <si>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</si>
  <si>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</si>
  <si>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</si>
  <si>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</si>
  <si>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</si>
  <si>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</si>
  <si>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</si>
  <si>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</si>
  <si>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</si>
  <si>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</si>
  <si>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</si>
  <si>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</si>
  <si>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</si>
  <si>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</si>
  <si>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</si>
  <si>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</si>
  <si>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</si>
  <si>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</si>
  <si>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</si>
  <si>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</si>
  <si>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</si>
  <si>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</si>
  <si>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</si>
  <si>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</si>
  <si>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</si>
  <si>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</si>
  <si>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</si>
  <si>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</si>
  <si>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</si>
  <si>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</si>
  <si>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</si>
  <si>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</si>
  <si>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</si>
  <si>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</si>
  <si>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</si>
  <si>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</si>
  <si>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</si>
  <si>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</si>
  <si>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</si>
  <si>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</si>
  <si>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</si>
  <si>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</si>
  <si>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</si>
  <si>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</si>
  <si>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</si>
  <si>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</si>
  <si>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</si>
  <si>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</si>
  <si>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</si>
  <si>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</si>
  <si>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</si>
  <si>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</si>
  <si>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</si>
  <si>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</si>
  <si>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</si>
  <si>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</si>
  <si>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</si>
  <si>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</si>
  <si>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</si>
  <si>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</si>
  <si>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</si>
  <si>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</si>
  <si>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</si>
  <si>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</si>
  <si>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</si>
  <si>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</si>
  <si>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</si>
  <si>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</si>
  <si>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</si>
  <si>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</si>
  <si>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</si>
  <si>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</si>
  <si>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</si>
  <si>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</si>
  <si>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</si>
  <si>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</si>
  <si>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</si>
  <si>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</si>
  <si>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</si>
  <si>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</si>
  <si>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</si>
  <si>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</si>
  <si>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</si>
  <si>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</si>
  <si>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</si>
  <si>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</si>
  <si>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</si>
  <si>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</si>
  <si>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</si>
  <si>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</si>
  <si>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</si>
  <si>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</si>
  <si>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</si>
  <si>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</si>
  <si>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</si>
  <si>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</si>
  <si>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</si>
  <si>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</si>
  <si>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</si>
  <si>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</si>
  <si>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</si>
  <si>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</si>
  <si>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</si>
  <si>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</si>
  <si>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</si>
  <si>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</si>
  <si>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</si>
  <si>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</si>
  <si>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</si>
  <si>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</si>
  <si>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</si>
  <si>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</si>
  <si>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</si>
  <si>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</si>
  <si>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</si>
  <si>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</si>
  <si>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</si>
  <si>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</si>
  <si>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</si>
  <si>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</si>
  <si>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</si>
  <si>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</si>
  <si>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</si>
  <si>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</si>
  <si>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</si>
  <si>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</si>
  <si>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</si>
  <si>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</si>
  <si>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</si>
  <si>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</si>
  <si>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</si>
  <si>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</si>
  <si>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</si>
  <si>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</si>
  <si>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</si>
  <si>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</si>
  <si>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</si>
  <si>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</si>
  <si>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</si>
  <si>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</si>
  <si>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</si>
  <si>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</si>
  <si>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</si>
  <si>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</si>
  <si>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</si>
  <si>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</si>
  <si>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</si>
  <si>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</si>
  <si>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</si>
  <si>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</si>
  <si>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</si>
  <si>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</si>
  <si>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</si>
  <si>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</si>
  <si>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</si>
  <si>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</si>
  <si>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</si>
  <si>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</si>
  <si>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</si>
  <si>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</si>
  <si>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</si>
  <si>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</si>
  <si>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</si>
  <si>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</si>
  <si>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</si>
  <si>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</si>
  <si>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</si>
  <si>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</si>
  <si>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</si>
  <si>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</si>
  <si>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</si>
  <si>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</si>
  <si>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</si>
  <si>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</si>
  <si>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</si>
  <si>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</si>
  <si>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</si>
  <si>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</si>
  <si>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</si>
  <si>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</si>
  <si>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</si>
  <si>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</si>
  <si>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</si>
  <si>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</si>
  <si>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</si>
  <si>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</si>
  <si>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</si>
  <si>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</si>
  <si>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</si>
  <si>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</si>
  <si>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</si>
  <si>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</si>
  <si>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</si>
  <si>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</si>
  <si>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</si>
  <si>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</si>
  <si>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</si>
  <si>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</si>
  <si>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</si>
  <si>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</si>
  <si>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</si>
  <si>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</si>
  <si>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</si>
  <si>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</si>
  <si>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</si>
  <si>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</si>
  <si>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</si>
  <si>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</si>
  <si>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</si>
  <si>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</si>
  <si>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</si>
  <si>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</si>
  <si>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</si>
  <si>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</si>
  <si>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</si>
  <si>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</si>
  <si>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</si>
  <si>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</si>
  <si>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</si>
  <si>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</si>
  <si>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</si>
  <si>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</si>
  <si>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</si>
  <si>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</si>
  <si>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</si>
  <si>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</si>
  <si>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</si>
  <si>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</si>
  <si>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</si>
  <si>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</si>
  <si>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</si>
  <si>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</si>
  <si>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</si>
  <si>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</si>
  <si>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</si>
  <si>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</si>
  <si>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</si>
  <si>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</si>
  <si>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</si>
  <si>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</si>
  <si>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</si>
  <si>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</si>
  <si>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</si>
  <si>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</si>
  <si>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</si>
  <si>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</si>
  <si>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</si>
  <si>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</si>
  <si>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</si>
  <si>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</si>
  <si>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</si>
  <si>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</si>
  <si>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</si>
  <si>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</si>
  <si>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</si>
  <si>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</si>
  <si>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</si>
  <si>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</si>
  <si>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</si>
  <si>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</si>
  <si>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</si>
  <si>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</si>
  <si>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</si>
  <si>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</si>
  <si>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</si>
  <si>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</si>
  <si>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</si>
  <si>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</si>
  <si>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</si>
  <si>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</si>
  <si>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</si>
  <si>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</si>
  <si>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</si>
  <si>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</si>
  <si>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</si>
  <si>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</si>
  <si>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</si>
  <si>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</si>
  <si>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</si>
  <si>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</si>
  <si>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</si>
  <si>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</si>
  <si>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</si>
  <si>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</si>
  <si>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</si>
  <si>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</si>
  <si>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</si>
  <si>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</si>
  <si>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</si>
  <si>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</si>
  <si>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</si>
  <si>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</si>
  <si>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</si>
  <si>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</si>
  <si>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</si>
  <si>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</si>
  <si>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</si>
  <si>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</si>
  <si>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</si>
  <si>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</si>
  <si>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</si>
  <si>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</si>
  <si>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</si>
  <si>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</si>
  <si>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</si>
  <si>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</si>
  <si>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</si>
  <si>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</si>
  <si>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</si>
  <si>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</si>
  <si>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</si>
  <si>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</si>
  <si>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</si>
  <si>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</si>
  <si>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</si>
  <si>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</si>
  <si>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</si>
  <si>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</si>
  <si>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</si>
  <si>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</si>
  <si>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</si>
  <si>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</si>
  <si>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</si>
  <si>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</si>
  <si>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</si>
  <si>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</si>
  <si>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</si>
  <si>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</si>
  <si>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</si>
  <si>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</si>
  <si>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</si>
  <si>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</si>
  <si>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</si>
  <si>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</si>
  <si>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</si>
  <si>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</si>
  <si>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</si>
  <si>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</si>
  <si>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</si>
  <si>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</si>
  <si>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</si>
  <si>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</si>
  <si>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</si>
  <si>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</si>
  <si>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</si>
  <si>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</si>
  <si>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</si>
  <si>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</si>
  <si>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</si>
  <si>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</si>
  <si>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</si>
  <si>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</si>
  <si>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</si>
  <si>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</si>
  <si>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</si>
  <si>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</si>
  <si>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</si>
  <si>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</si>
  <si>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</si>
  <si>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</si>
  <si>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</si>
  <si>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</si>
  <si>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</si>
  <si>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</si>
  <si>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</si>
  <si>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</si>
  <si>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</si>
  <si>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</si>
  <si>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</si>
  <si>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</si>
  <si>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</si>
  <si>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</si>
  <si>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</si>
  <si>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</si>
  <si>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</si>
  <si>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</si>
  <si>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</si>
  <si>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</si>
  <si>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</si>
  <si>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</si>
  <si>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</si>
  <si>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</si>
  <si>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</si>
  <si>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</si>
  <si>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</si>
  <si>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</si>
  <si>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</si>
  <si>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</si>
  <si>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</si>
  <si>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</si>
  <si>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</si>
  <si>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</si>
  <si>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</si>
  <si>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</si>
  <si>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</si>
  <si>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</si>
  <si>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</si>
  <si>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</si>
  <si>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</si>
  <si>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</si>
  <si>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</si>
  <si>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</si>
  <si>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</si>
  <si>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</si>
  <si>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</si>
  <si>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</si>
  <si>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</si>
  <si>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</si>
  <si>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</si>
  <si>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</si>
  <si>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</si>
  <si>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</si>
  <si>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</si>
  <si>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</si>
  <si>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</si>
  <si>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</si>
  <si>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</si>
  <si>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</si>
  <si>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</si>
  <si>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</si>
  <si>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</si>
  <si>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</si>
  <si>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</si>
  <si>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</si>
  <si>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</si>
  <si>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</si>
  <si>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</si>
  <si>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</si>
  <si>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</si>
  <si>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</si>
  <si>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</si>
  <si>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</si>
  <si>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</si>
  <si>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</si>
  <si>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</si>
  <si>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</si>
  <si>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</si>
  <si>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</si>
  <si>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</si>
  <si>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</si>
  <si>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</si>
  <si>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</si>
  <si>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</si>
  <si>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</si>
  <si>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</si>
  <si>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</si>
  <si>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</si>
  <si>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</si>
  <si>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</si>
  <si>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</si>
  <si>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</si>
  <si>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</si>
  <si>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</si>
  <si>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</si>
  <si>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</si>
  <si>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</si>
  <si>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</si>
  <si>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</si>
  <si>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</si>
  <si>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</si>
  <si>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</si>
  <si>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</si>
  <si>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</si>
  <si>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</si>
  <si>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</si>
  <si>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</si>
  <si>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</si>
  <si>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</si>
  <si>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</si>
  <si>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</si>
  <si>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</si>
  <si>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</si>
  <si>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</si>
  <si>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</si>
  <si>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</si>
  <si>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</si>
  <si>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</si>
  <si>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</si>
  <si>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</si>
  <si>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</si>
  <si>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</si>
  <si>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</si>
  <si>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</si>
  <si>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</si>
  <si>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</si>
  <si>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</si>
  <si>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</si>
  <si>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</si>
  <si>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</si>
  <si>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</si>
  <si>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</si>
  <si>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</si>
  <si>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</si>
  <si>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</si>
  <si>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</si>
  <si>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</si>
  <si>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</si>
  <si>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</si>
  <si>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</si>
  <si>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</si>
  <si>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</si>
  <si>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</si>
  <si>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</si>
  <si>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</si>
  <si>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</si>
  <si>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</si>
  <si>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</si>
  <si>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</si>
  <si>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</si>
  <si>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</si>
  <si>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</si>
  <si>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</si>
  <si>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</si>
  <si>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</si>
  <si>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</si>
  <si>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</si>
  <si>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</si>
  <si>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</si>
  <si>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</si>
  <si>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</si>
  <si>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</si>
  <si>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</si>
  <si>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</si>
  <si>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</si>
  <si>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</si>
  <si>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</si>
  <si>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</si>
  <si>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</si>
  <si>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</si>
  <si>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</si>
  <si>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</si>
  <si>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</si>
  <si>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</si>
  <si>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住宅</t>
    <phoneticPr fontId="6" type="noConversion"/>
  </si>
  <si>
    <t>区域土地利用方向</t>
    <phoneticPr fontId="48" type="noConversion"/>
  </si>
  <si>
    <r>
      <rPr>
        <sz val="10"/>
        <color indexed="8"/>
        <rFont val="宋体"/>
        <family val="3"/>
        <charset val="134"/>
      </rPr>
      <t>修正系数</t>
    </r>
    <phoneticPr fontId="82" type="noConversion"/>
  </si>
  <si>
    <t>五等判定</t>
    <phoneticPr fontId="19" type="noConversion"/>
  </si>
  <si>
    <t>基准地价修正</t>
    <phoneticPr fontId="19" type="noConversion"/>
  </si>
  <si>
    <t>*</t>
    <phoneticPr fontId="19" type="noConversion"/>
  </si>
  <si>
    <t>二级分类</t>
    <phoneticPr fontId="6"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</si>
  <si>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</si>
  <si>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</si>
  <si>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</si>
  <si>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</si>
  <si>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</si>
  <si>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</si>
  <si>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</si>
  <si>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</si>
  <si>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</si>
  <si>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</si>
  <si>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</si>
  <si>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</si>
  <si>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</si>
  <si>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</si>
  <si>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</si>
  <si>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</si>
  <si>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</si>
  <si>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</si>
  <si>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</si>
  <si>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</si>
  <si>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</si>
  <si>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</si>
  <si>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</si>
  <si>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</si>
  <si>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</si>
  <si>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</si>
  <si>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</si>
  <si>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</si>
  <si>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</si>
  <si>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</si>
  <si>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</si>
  <si>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</si>
  <si>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</si>
  <si>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</si>
  <si>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</si>
  <si>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</si>
  <si>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</si>
  <si>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</si>
  <si>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</si>
  <si>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</si>
  <si>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</si>
  <si>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</si>
  <si>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</si>
  <si>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</si>
  <si>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</si>
  <si>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</si>
  <si>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</si>
  <si>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</si>
  <si>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2" type="noConversion"/>
  </si>
  <si>
    <t>2.</t>
    <phoneticPr fontId="82" type="noConversion"/>
  </si>
  <si>
    <t>3.</t>
    <phoneticPr fontId="82" type="noConversion"/>
  </si>
  <si>
    <t>4.</t>
    <phoneticPr fontId="6" type="noConversion"/>
  </si>
  <si>
    <t>5.</t>
    <phoneticPr fontId="6" type="noConversion"/>
  </si>
  <si>
    <t>6.</t>
    <phoneticPr fontId="6" type="noConversion"/>
  </si>
  <si>
    <t>7.</t>
    <phoneticPr fontId="6" type="noConversion"/>
  </si>
  <si>
    <t>十一级</t>
  </si>
  <si>
    <t>十二级</t>
  </si>
  <si>
    <t>一级</t>
    <phoneticPr fontId="82" type="noConversion"/>
  </si>
  <si>
    <t>Ⅰ—01</t>
    <phoneticPr fontId="6" type="noConversion"/>
  </si>
  <si>
    <t xml:space="preserve">— </t>
    <phoneticPr fontId="88" type="noConversion"/>
  </si>
  <si>
    <t>估价项目名称：</t>
    <phoneticPr fontId="88" type="noConversion"/>
  </si>
  <si>
    <t>估价委托人：</t>
    <phoneticPr fontId="88" type="noConversion"/>
  </si>
  <si>
    <t>房地产估价机构：</t>
    <phoneticPr fontId="88" type="noConversion"/>
  </si>
  <si>
    <t>北京康正宏基房地产评估有限公司</t>
    <phoneticPr fontId="88" type="noConversion"/>
  </si>
  <si>
    <t>注册房地产估价师：</t>
    <phoneticPr fontId="88" type="noConversion"/>
  </si>
  <si>
    <t>估价报告编号：</t>
    <phoneticPr fontId="88" type="noConversion"/>
  </si>
  <si>
    <t>今日</t>
    <phoneticPr fontId="88" type="noConversion"/>
  </si>
  <si>
    <t>资质过期显示为红色</t>
    <phoneticPr fontId="88" type="noConversion"/>
  </si>
  <si>
    <t>注册房地产估价师</t>
    <phoneticPr fontId="88" type="noConversion"/>
  </si>
  <si>
    <t>注册证号</t>
    <phoneticPr fontId="88" type="noConversion"/>
  </si>
  <si>
    <t>资质有效期</t>
    <phoneticPr fontId="88" type="noConversion"/>
  </si>
  <si>
    <t>土地估价师</t>
    <phoneticPr fontId="88" type="noConversion"/>
  </si>
  <si>
    <t>证号</t>
    <phoneticPr fontId="88" type="noConversion"/>
  </si>
  <si>
    <t>梁津</t>
    <phoneticPr fontId="88" type="noConversion"/>
  </si>
  <si>
    <t>李立</t>
    <phoneticPr fontId="88" type="noConversion"/>
  </si>
  <si>
    <t>叶凌</t>
    <phoneticPr fontId="88" type="noConversion"/>
  </si>
  <si>
    <t>王鹏</t>
    <phoneticPr fontId="88" type="noConversion"/>
  </si>
  <si>
    <t>欧红伟</t>
    <phoneticPr fontId="88" type="noConversion"/>
  </si>
  <si>
    <t>吴薇</t>
    <phoneticPr fontId="88" type="noConversion"/>
  </si>
  <si>
    <t>陈颖</t>
    <phoneticPr fontId="88" type="noConversion"/>
  </si>
  <si>
    <t>崔锴</t>
    <phoneticPr fontId="88" type="noConversion"/>
  </si>
  <si>
    <t>郑燚</t>
    <phoneticPr fontId="88" type="noConversion"/>
  </si>
  <si>
    <t>赵雯</t>
    <phoneticPr fontId="88" type="noConversion"/>
  </si>
  <si>
    <t>刘敬东</t>
    <phoneticPr fontId="88" type="noConversion"/>
  </si>
  <si>
    <t>估价机构</t>
    <phoneticPr fontId="88" type="noConversion"/>
  </si>
  <si>
    <t>房地产</t>
    <phoneticPr fontId="88" type="noConversion"/>
  </si>
  <si>
    <t>土地</t>
    <phoneticPr fontId="88" type="noConversion"/>
  </si>
  <si>
    <t>证书名称</t>
    <phoneticPr fontId="88" type="noConversion"/>
  </si>
  <si>
    <t>号码</t>
    <phoneticPr fontId="88" type="noConversion"/>
  </si>
  <si>
    <t>资质有效期</t>
    <phoneticPr fontId="88" type="noConversion"/>
  </si>
  <si>
    <t>资质证书：一级</t>
    <phoneticPr fontId="88" type="noConversion"/>
  </si>
  <si>
    <t>建房估证字[2013]081号</t>
    <phoneticPr fontId="88" type="noConversion"/>
  </si>
  <si>
    <t>注册证书</t>
    <phoneticPr fontId="88" type="noConversion"/>
  </si>
  <si>
    <t>A201111009</t>
    <phoneticPr fontId="88" type="noConversion"/>
  </si>
  <si>
    <t>资信等级：A级</t>
    <phoneticPr fontId="88" type="noConversion"/>
  </si>
  <si>
    <t>估价目的</t>
    <phoneticPr fontId="90" type="noConversion"/>
  </si>
  <si>
    <t>优先受偿</t>
    <phoneticPr fontId="90" type="noConversion"/>
  </si>
  <si>
    <t>抵押</t>
    <phoneticPr fontId="90" type="noConversion"/>
  </si>
  <si>
    <t>2.估价师所知悉的法定优先受偿款</t>
    <phoneticPr fontId="90" type="noConversion"/>
  </si>
  <si>
    <t>2.估价师所知悉的除抵押担保权以外的法定优先受偿款</t>
    <phoneticPr fontId="90" type="noConversion"/>
  </si>
  <si>
    <t>价值类型及定义</t>
    <phoneticPr fontId="90" type="noConversion"/>
  </si>
  <si>
    <t>房地产价值</t>
    <phoneticPr fontId="90" type="noConversion"/>
  </si>
  <si>
    <t>房地产抵押价值</t>
    <phoneticPr fontId="90" type="noConversion"/>
  </si>
  <si>
    <t>已注销</t>
    <phoneticPr fontId="90" type="noConversion"/>
  </si>
  <si>
    <t>已注销及未注销</t>
    <phoneticPr fontId="90" type="noConversion"/>
  </si>
  <si>
    <t>抵押净值</t>
    <phoneticPr fontId="90" type="noConversion"/>
  </si>
  <si>
    <t>——</t>
    <phoneticPr fontId="19" type="noConversion"/>
  </si>
  <si>
    <t>XX</t>
  </si>
  <si>
    <t>附表：</t>
    <phoneticPr fontId="98"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</si>
  <si>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</si>
  <si>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</si>
  <si>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</si>
  <si>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</si>
  <si>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</si>
  <si>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</si>
  <si>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</si>
  <si>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</si>
  <si>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</si>
  <si>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</si>
  <si>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</si>
  <si>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</si>
  <si>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</si>
  <si>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</si>
  <si>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</si>
  <si>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</si>
  <si>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</si>
  <si>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</si>
  <si>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</si>
  <si>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</si>
  <si>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</si>
  <si>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</si>
  <si>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</si>
  <si>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</si>
  <si>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</si>
  <si>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</si>
  <si>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</si>
  <si>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</si>
  <si>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</si>
  <si>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</si>
  <si>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</si>
  <si>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</si>
  <si>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</si>
  <si>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</si>
  <si>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</si>
  <si>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</si>
  <si>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</si>
  <si>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</si>
  <si>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</si>
  <si>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</si>
  <si>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</si>
  <si>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</si>
  <si>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</si>
  <si>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</si>
  <si>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</si>
  <si>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</si>
  <si>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</si>
  <si>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</si>
  <si>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</si>
  <si>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</si>
  <si>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</si>
  <si>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</si>
  <si>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</si>
  <si>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</si>
  <si>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</si>
  <si>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</si>
  <si>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</si>
  <si>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</si>
  <si>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</si>
  <si>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</si>
  <si>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</si>
  <si>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</si>
  <si>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</si>
  <si>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</si>
  <si>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</si>
  <si>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</si>
  <si>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</si>
  <si>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</si>
  <si>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</si>
  <si>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</si>
  <si>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</si>
  <si>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</si>
  <si>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</si>
  <si>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</si>
  <si>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</si>
  <si>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</si>
  <si>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</si>
  <si>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</si>
  <si>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</si>
  <si>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</si>
  <si>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</si>
  <si>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</si>
  <si>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</si>
  <si>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</si>
  <si>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</si>
  <si>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</si>
  <si>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</si>
  <si>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</si>
  <si>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</si>
  <si>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</si>
  <si>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</si>
  <si>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</si>
  <si>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</si>
  <si>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</si>
  <si>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</si>
  <si>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</si>
  <si>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</si>
  <si>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</si>
  <si>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</si>
  <si>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</si>
  <si>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</si>
  <si>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</si>
  <si>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</si>
  <si>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</si>
  <si>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</si>
  <si>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</si>
  <si>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</si>
  <si>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</si>
  <si>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</si>
  <si>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</si>
  <si>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</si>
  <si>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</si>
  <si>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</si>
  <si>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</si>
  <si>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</si>
  <si>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</si>
  <si>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</si>
  <si>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</si>
  <si>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</si>
  <si>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</si>
  <si>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</si>
  <si>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</si>
  <si>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</si>
  <si>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</si>
  <si>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</si>
  <si>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</si>
  <si>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</si>
  <si>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</si>
  <si>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</si>
  <si>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</si>
  <si>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</si>
  <si>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</si>
  <si>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</si>
  <si>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</si>
  <si>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</si>
  <si>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</si>
  <si>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</si>
  <si>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</si>
  <si>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</si>
  <si>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</si>
  <si>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</si>
  <si>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</si>
  <si>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</si>
  <si>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</si>
  <si>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</si>
  <si>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</si>
  <si>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</si>
  <si>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</si>
  <si>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</si>
  <si>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</si>
  <si>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</si>
  <si>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</si>
  <si>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</si>
  <si>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</si>
  <si>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</si>
  <si>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</si>
  <si>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</si>
  <si>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</si>
  <si>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</si>
  <si>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</si>
  <si>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</si>
  <si>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</si>
  <si>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</si>
  <si>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</si>
  <si>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</si>
  <si>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</si>
  <si>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</si>
  <si>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</si>
  <si>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</si>
  <si>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</si>
  <si>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</si>
  <si>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</si>
  <si>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</si>
  <si>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</si>
  <si>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</si>
  <si>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</si>
  <si>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</si>
  <si>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</si>
  <si>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</si>
  <si>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</si>
  <si>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</si>
  <si>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</si>
  <si>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</si>
  <si>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</si>
  <si>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</si>
  <si>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</si>
  <si>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</si>
  <si>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</si>
  <si>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</si>
  <si>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</si>
  <si>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</si>
  <si>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</si>
  <si>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</si>
  <si>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</si>
  <si>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</si>
  <si>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</si>
  <si>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</si>
  <si>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</si>
  <si>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</si>
  <si>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</si>
  <si>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</si>
  <si>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</si>
  <si>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</si>
  <si>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</si>
  <si>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</si>
  <si>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</si>
  <si>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</si>
  <si>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</si>
  <si>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</si>
  <si>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</si>
  <si>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</si>
  <si>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</si>
  <si>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</si>
  <si>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</si>
  <si>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</si>
  <si>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</si>
  <si>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</si>
  <si>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</si>
  <si>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</si>
  <si>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</si>
  <si>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</si>
  <si>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</si>
  <si>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</si>
  <si>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</si>
  <si>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</si>
  <si>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</si>
  <si>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</si>
  <si>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</si>
  <si>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</si>
  <si>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</si>
  <si>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</si>
  <si>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</si>
  <si>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</si>
  <si>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</si>
  <si>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</si>
  <si>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</si>
  <si>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</si>
  <si>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</si>
  <si>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</si>
  <si>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</si>
  <si>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</si>
  <si>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</si>
  <si>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</si>
  <si>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</si>
  <si>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</si>
  <si>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</si>
  <si>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</si>
  <si>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</si>
  <si>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</si>
  <si>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</si>
  <si>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</si>
  <si>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</si>
  <si>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</si>
  <si>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</si>
  <si>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</si>
  <si>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</si>
  <si>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</si>
  <si>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</si>
  <si>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</si>
  <si>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</si>
  <si>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</si>
  <si>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</si>
  <si>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</si>
  <si>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</si>
  <si>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</si>
  <si>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</si>
  <si>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</si>
  <si>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</si>
  <si>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</si>
  <si>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</si>
  <si>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</si>
  <si>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</si>
  <si>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</si>
  <si>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</si>
  <si>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</si>
  <si>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</si>
  <si>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</si>
  <si>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</si>
  <si>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公示地价指数</t>
    <phoneticPr fontId="154" type="noConversion"/>
  </si>
  <si>
    <r>
      <rPr>
        <b/>
        <sz val="10"/>
        <color theme="1"/>
        <rFont val="楷体_GB2312"/>
        <family val="2"/>
        <charset val="134"/>
      </rPr>
      <t>公示增长率</t>
    </r>
    <phoneticPr fontId="154" type="noConversion"/>
  </si>
  <si>
    <r>
      <rPr>
        <b/>
        <sz val="10"/>
        <color theme="1"/>
        <rFont val="楷体_GB2312"/>
        <family val="2"/>
        <charset val="134"/>
      </rPr>
      <t>核算至百分数</t>
    </r>
    <phoneticPr fontId="154" type="noConversion"/>
  </si>
  <si>
    <r>
      <rPr>
        <b/>
        <sz val="10"/>
        <color theme="1"/>
        <rFont val="楷体_GB2312"/>
        <family val="2"/>
        <charset val="134"/>
      </rPr>
      <t>验证</t>
    </r>
    <phoneticPr fontId="154" type="noConversion"/>
  </si>
  <si>
    <t>季度连乘</t>
    <phoneticPr fontId="146" type="noConversion"/>
  </si>
  <si>
    <t>平均增幅</t>
    <phoneticPr fontId="14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</si>
  <si>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</si>
  <si>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</si>
  <si>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</si>
  <si>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</si>
  <si>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</si>
  <si>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</si>
  <si>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46" type="noConversion"/>
  </si>
  <si>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</si>
  <si>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</si>
  <si>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</si>
  <si>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</si>
  <si>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</si>
  <si>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</si>
  <si>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</si>
  <si>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</si>
  <si>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</si>
  <si>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</si>
  <si>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</si>
  <si>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</si>
  <si>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</si>
  <si>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</si>
  <si>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</si>
  <si>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</si>
  <si>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</si>
  <si>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</si>
  <si>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</si>
  <si>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</si>
  <si>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</si>
  <si>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</si>
  <si>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</si>
  <si>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</si>
  <si>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</si>
  <si>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</si>
  <si>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</si>
  <si>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</si>
  <si>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</si>
  <si>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</si>
  <si>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</si>
  <si>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</si>
  <si>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</si>
  <si>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</si>
  <si>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</si>
  <si>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</si>
  <si>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</si>
  <si>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</si>
  <si>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</si>
  <si>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</si>
  <si>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</si>
  <si>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</si>
  <si>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</si>
  <si>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</si>
  <si>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</si>
  <si>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</si>
  <si>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</si>
  <si>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</si>
  <si>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</si>
  <si>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</si>
  <si>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</si>
  <si>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</si>
  <si>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</si>
  <si>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</si>
  <si>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</si>
  <si>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</si>
  <si>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</si>
  <si>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</si>
  <si>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</si>
  <si>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</si>
  <si>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</si>
  <si>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</si>
  <si>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</si>
  <si>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</si>
  <si>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</si>
  <si>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4" type="noConversion"/>
  </si>
  <si>
    <t>致函-价值类型-抵押</t>
    <phoneticPr fontId="154" type="noConversion"/>
  </si>
  <si>
    <t>致函-价值类型-优先受偿</t>
    <phoneticPr fontId="154" type="noConversion"/>
  </si>
  <si>
    <t>致函-价值类型-净值</t>
    <phoneticPr fontId="154" type="noConversion"/>
  </si>
  <si>
    <t>致函-估价方法</t>
    <phoneticPr fontId="154" type="noConversion"/>
  </si>
  <si>
    <t>致函-估价结果</t>
    <phoneticPr fontId="146" type="noConversion"/>
  </si>
  <si>
    <t>致函-估价结果-表1-总</t>
    <phoneticPr fontId="154" type="noConversion"/>
  </si>
  <si>
    <t>致函-估价结果-表1-单</t>
    <phoneticPr fontId="154" type="noConversion"/>
  </si>
  <si>
    <t>致函-估价结果-表1-大</t>
    <phoneticPr fontId="154" type="noConversion"/>
  </si>
  <si>
    <t>致函-估价结果-表1-优先（大）</t>
    <phoneticPr fontId="154" type="noConversion"/>
  </si>
  <si>
    <t>致函-估价结果-表1-优先-抵押</t>
    <phoneticPr fontId="154" type="noConversion"/>
  </si>
  <si>
    <t>致函-估价结果-表1-优先-工程</t>
    <phoneticPr fontId="154" type="noConversion"/>
  </si>
  <si>
    <t>致函-估价结果-表1-优先-其他</t>
    <phoneticPr fontId="154" type="noConversion"/>
  </si>
  <si>
    <t>致函-估价结果-表1-抵押（大）</t>
    <phoneticPr fontId="154" type="noConversion"/>
  </si>
  <si>
    <t>致函-估价结果-表1-已注（大）</t>
    <phoneticPr fontId="154" type="noConversion"/>
  </si>
  <si>
    <t>致函-估价结果-表1-净值（单）</t>
    <phoneticPr fontId="154" type="noConversion"/>
  </si>
  <si>
    <t>致函-估价结果-表1-净值（大）</t>
    <phoneticPr fontId="154" type="noConversion"/>
  </si>
  <si>
    <t>致函-估价结果-表2-土地面积</t>
    <phoneticPr fontId="154" type="noConversion"/>
  </si>
  <si>
    <t>致函-估价结果-表2-地（总）</t>
    <phoneticPr fontId="154" type="noConversion"/>
  </si>
  <si>
    <t>致函-估价结果-表2-地（单）</t>
    <phoneticPr fontId="154" type="noConversion"/>
  </si>
  <si>
    <t>致函-估价结果-表2-地（大）</t>
    <phoneticPr fontId="154" type="noConversion"/>
  </si>
  <si>
    <t>致函-估价结果-表2-建（总）</t>
    <phoneticPr fontId="154" type="noConversion"/>
  </si>
  <si>
    <t>致函-估价结果-表2-建（单）</t>
    <phoneticPr fontId="154" type="noConversion"/>
  </si>
  <si>
    <t>致函-特别提示-1</t>
    <phoneticPr fontId="154" type="noConversion"/>
  </si>
  <si>
    <t>致函-特别提示-2</t>
  </si>
  <si>
    <t>致函-特别提示-优先受偿-1</t>
    <phoneticPr fontId="154" type="noConversion"/>
  </si>
  <si>
    <t>致函-特别提示-优先受偿-2</t>
  </si>
  <si>
    <t>致函-特别提示-优先受偿-3</t>
  </si>
  <si>
    <t>致函-特别提示-优先受偿-4</t>
  </si>
  <si>
    <t>致函-特别提示-4</t>
    <phoneticPr fontId="154"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</si>
  <si>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</si>
  <si>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</si>
  <si>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</si>
  <si>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</si>
  <si>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</si>
  <si>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</si>
  <si>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致函-估价对象-现房-1</t>
    <phoneticPr fontId="146" type="noConversion"/>
  </si>
  <si>
    <t>致函-估价对象-现房-2</t>
  </si>
  <si>
    <t>致函-估价对象-在建-1</t>
    <phoneticPr fontId="146" type="noConversion"/>
  </si>
  <si>
    <t>致函-估价对象-在建-2</t>
  </si>
  <si>
    <t>致函-特别提示-优先受偿-5</t>
  </si>
  <si>
    <t>致函-特别提示-6</t>
  </si>
  <si>
    <t>致函-特别提示-7</t>
  </si>
  <si>
    <t>致函-估价结果-表2-地（名称）</t>
    <phoneticPr fontId="154" type="noConversion"/>
  </si>
  <si>
    <t>致函-估价结果-表2-建（名称）</t>
    <phoneticPr fontId="154" type="noConversion"/>
  </si>
  <si>
    <t>致函-估价结果-表2-土地面积（名称）</t>
    <phoneticPr fontId="154" type="noConversion"/>
  </si>
  <si>
    <t>致函-估价结果-表1-抵押（单）</t>
    <phoneticPr fontId="154" type="noConversion"/>
  </si>
  <si>
    <t>致函-估价结果-表1-已注（单）</t>
    <phoneticPr fontId="154" type="noConversion"/>
  </si>
  <si>
    <t>致函-估价结果-表1-已注（名称）</t>
    <phoneticPr fontId="154" type="noConversion"/>
  </si>
  <si>
    <t>致函-估价结果-表1-净值（名称）</t>
    <phoneticPr fontId="154" type="noConversion"/>
  </si>
  <si>
    <t>致函-估价结果-表2-建（大）</t>
  </si>
  <si>
    <t>致函-估价结果-表2-已注（名称）</t>
    <phoneticPr fontId="154" type="noConversion"/>
  </si>
  <si>
    <t>致函-估价结果-表2-净值（名称）</t>
    <phoneticPr fontId="154" type="noConversion"/>
  </si>
  <si>
    <t>本次估价的“房地产抵押价值”是指估价对象在价值时点的“房地产价值”扣减估价师于价值时点所知悉的法定优先受偿款后的余额。</t>
    <phoneticPr fontId="90" type="noConversion"/>
  </si>
  <si>
    <t>本次估价的“抵押担保权已注销时的房地产抵押价值”是指估价对象在价值时点的“房地产价值”扣减估价师于价值时点所知悉的除抵押担保权以外的其他法定优先受偿款后的余额。</t>
    <phoneticPr fontId="90" type="noConversion"/>
  </si>
  <si>
    <t>本次估价的“抵押净值”是指估价对象“房地产抵押价值”减去估价对象在价值时点以“房地产销售收入”为基数计算的预计抵押权实现进行处置时需缴纳的各项费用、税金等相关费用后的价值。</t>
    <phoneticPr fontId="90"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</si>
  <si>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</si>
  <si>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</si>
  <si>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0" type="noConversion"/>
  </si>
  <si>
    <t>致函-估价结果-表1-优先（名称）</t>
    <phoneticPr fontId="154" type="noConversion"/>
  </si>
  <si>
    <t>致函-估价结果-表2-建筑面积（名称）</t>
    <phoneticPr fontId="154" type="noConversion"/>
  </si>
  <si>
    <t>致函-估价结果-表2-建筑面积</t>
    <phoneticPr fontId="154" type="noConversion"/>
  </si>
  <si>
    <t>致函-估价结果-表2-项目名称</t>
    <phoneticPr fontId="154" type="noConversion"/>
  </si>
  <si>
    <t>致函-估价结果-表1-抵押（名称）</t>
    <phoneticPr fontId="154" type="noConversion"/>
  </si>
  <si>
    <t>致函-估价结果-表1-抵押（总）</t>
    <phoneticPr fontId="154" type="noConversion"/>
  </si>
  <si>
    <t>致函-估价结果-表1-优先（总）</t>
    <phoneticPr fontId="154" type="noConversion"/>
  </si>
  <si>
    <t>致函-估价结果-表1-已注（总）</t>
    <phoneticPr fontId="154" type="noConversion"/>
  </si>
  <si>
    <t>致函-估价结果-表1-净值（总）</t>
    <phoneticPr fontId="154" type="noConversion"/>
  </si>
  <si>
    <t>致函-估价结果-表2-抵押（名称）</t>
    <phoneticPr fontId="146" type="noConversion"/>
  </si>
  <si>
    <t>致函-估价结果-表2-优先（名称）</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</si>
  <si>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4" type="noConversion"/>
  </si>
  <si>
    <t>致函-其他专业人员</t>
    <phoneticPr fontId="146" type="noConversion"/>
  </si>
  <si>
    <t>价值时点</t>
    <phoneticPr fontId="6" type="noConversion"/>
  </si>
  <si>
    <t>开发期</t>
    <phoneticPr fontId="146" type="noConversion"/>
  </si>
  <si>
    <t>贷款利率</t>
    <phoneticPr fontId="6" type="noConversion"/>
  </si>
  <si>
    <t>贷款利率</t>
    <phoneticPr fontId="146" type="noConversion"/>
  </si>
  <si>
    <t>存款利率</t>
    <phoneticPr fontId="146"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</si>
  <si>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</si>
  <si>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</si>
  <si>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</si>
  <si>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</si>
  <si>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</si>
  <si>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</si>
  <si>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</si>
  <si>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</si>
  <si>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</si>
  <si>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</si>
  <si>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</si>
  <si>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</si>
  <si>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</si>
  <si>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</si>
  <si>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</si>
  <si>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</si>
  <si>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</si>
  <si>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</si>
  <si>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</si>
  <si>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</si>
  <si>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</si>
  <si>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</si>
  <si>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</si>
  <si>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</si>
  <si>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</si>
  <si>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</si>
  <si>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</si>
  <si>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</si>
  <si>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t>
    <phoneticPr fontId="89"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</si>
  <si>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</si>
  <si>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</si>
  <si>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</si>
  <si>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</si>
  <si>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</si>
  <si>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</si>
  <si>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此处对应收益法中未来第一年总收益</t>
    <phoneticPr fontId="146" type="noConversion"/>
  </si>
  <si>
    <t>估价对象10</t>
  </si>
  <si>
    <t>估价对象9</t>
  </si>
  <si>
    <t>估价对象8</t>
  </si>
  <si>
    <t>估价对象7</t>
  </si>
  <si>
    <t>估价对象6</t>
  </si>
  <si>
    <t>估价对象5</t>
  </si>
  <si>
    <t>估价对象4</t>
  </si>
  <si>
    <t>估价对象3</t>
  </si>
  <si>
    <t>估价对象2</t>
    <phoneticPr fontId="146" type="noConversion"/>
  </si>
  <si>
    <t>估价对象1（本表）</t>
    <phoneticPr fontId="146" type="noConversion"/>
  </si>
  <si>
    <t>抵押净值（万元）</t>
    <phoneticPr fontId="146" type="noConversion"/>
  </si>
  <si>
    <t>抵押价值（万元）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</si>
  <si>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</si>
  <si>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租金</t>
    <phoneticPr fontId="146" type="noConversion"/>
  </si>
  <si>
    <t>总投</t>
    <phoneticPr fontId="146" type="noConversion"/>
  </si>
  <si>
    <t>抵押价值</t>
  </si>
  <si>
    <t>市场价值</t>
  </si>
  <si>
    <t>地面单价（元/平方米）</t>
    <phoneticPr fontId="146" type="noConversion"/>
  </si>
  <si>
    <t>楼面单价（元/平方米）</t>
  </si>
  <si>
    <t>总价（万元）</t>
  </si>
  <si>
    <t>价值类型</t>
  </si>
  <si>
    <t>价值时点/估价期日</t>
    <phoneticPr fontId="146" type="noConversion"/>
  </si>
  <si>
    <t>抵押价值-已注销（万元）</t>
    <phoneticPr fontId="146" type="noConversion"/>
  </si>
  <si>
    <t>抵押价值-已注销</t>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</si>
  <si>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</si>
  <si>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</si>
  <si>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t>市场价值（万元）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</si>
  <si>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</si>
  <si>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项目名称</t>
    <phoneticPr fontId="146" type="noConversion"/>
  </si>
  <si>
    <t>重置成新价</t>
    <phoneticPr fontId="14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</si>
  <si>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</si>
  <si>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</si>
  <si>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</si>
  <si>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</si>
  <si>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</si>
  <si>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</si>
  <si>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</si>
  <si>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</si>
  <si>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</si>
  <si>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</si>
  <si>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6" type="noConversion"/>
  </si>
  <si>
    <t>高限</t>
    <phoneticPr fontId="146" type="noConversion"/>
  </si>
  <si>
    <t>平均</t>
    <phoneticPr fontId="146" type="noConversion"/>
  </si>
  <si>
    <t>2017A-006</t>
    <phoneticPr fontId="139"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</si>
  <si>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</si>
  <si>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</si>
  <si>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</si>
  <si>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</si>
  <si>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</si>
  <si>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</si>
  <si>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</si>
  <si>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</si>
  <si>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</si>
  <si>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</si>
  <si>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</si>
  <si>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</si>
  <si>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</si>
  <si>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</si>
  <si>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</si>
  <si>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</si>
  <si>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</si>
  <si>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</si>
  <si>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</si>
  <si>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</si>
  <si>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</si>
  <si>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</si>
  <si>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</si>
  <si>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</si>
  <si>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</si>
  <si>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押金方式</t>
    </r>
    <phoneticPr fontId="6" type="noConversion"/>
  </si>
  <si>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</si>
  <si>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</si>
  <si>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</si>
  <si>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</si>
  <si>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</si>
  <si>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</si>
  <si>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</si>
  <si>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</si>
  <si>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</si>
  <si>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</si>
  <si>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</si>
  <si>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</si>
  <si>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</si>
  <si>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</si>
  <si>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</si>
  <si>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</si>
  <si>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</si>
  <si>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</si>
  <si>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</si>
  <si>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</si>
  <si>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</si>
  <si>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</si>
  <si>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</si>
  <si>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</si>
  <si>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</si>
  <si>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</si>
  <si>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</si>
  <si>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</si>
  <si>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</si>
  <si>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</si>
  <si>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</si>
  <si>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</si>
  <si>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</si>
  <si>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</si>
  <si>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</si>
  <si>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</si>
  <si>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</si>
  <si>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</si>
  <si>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</si>
  <si>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</si>
  <si>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</si>
  <si>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</si>
  <si>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</si>
  <si>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</si>
  <si>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</si>
  <si>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</si>
  <si>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</si>
  <si>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</si>
  <si>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</si>
  <si>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</si>
  <si>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</si>
  <si>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</si>
  <si>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</si>
  <si>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</si>
  <si>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</si>
  <si>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</si>
  <si>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</si>
  <si>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</si>
  <si>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</si>
  <si>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</si>
  <si>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</si>
  <si>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</si>
  <si>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</si>
  <si>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</si>
  <si>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</si>
  <si>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</si>
  <si>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</si>
  <si>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</si>
  <si>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</si>
  <si>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</si>
  <si>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</si>
  <si>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</si>
  <si>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</si>
  <si>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</si>
  <si>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</si>
  <si>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</si>
  <si>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</si>
  <si>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</si>
  <si>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</si>
  <si>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</si>
  <si>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</si>
  <si>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</si>
  <si>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</si>
  <si>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</si>
  <si>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</si>
  <si>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</si>
  <si>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</si>
  <si>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</si>
  <si>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</si>
  <si>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</si>
  <si>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</si>
  <si>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</si>
  <si>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</si>
  <si>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</si>
  <si>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</si>
  <si>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</si>
  <si>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</si>
  <si>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</si>
  <si>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</si>
  <si>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</si>
  <si>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</si>
  <si>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</si>
  <si>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</si>
  <si>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</si>
  <si>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</si>
  <si>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</si>
  <si>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</si>
  <si>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</si>
  <si>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</si>
  <si>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</si>
  <si>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</si>
  <si>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</si>
  <si>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</si>
  <si>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</si>
  <si>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</si>
  <si>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</si>
  <si>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</si>
  <si>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</si>
  <si>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</si>
  <si>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</si>
  <si>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</si>
  <si>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</si>
  <si>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</si>
  <si>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</si>
  <si>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</si>
  <si>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</si>
  <si>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</si>
  <si>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</si>
  <si>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</si>
  <si>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</si>
  <si>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</si>
  <si>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</si>
  <si>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</si>
  <si>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</si>
  <si>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</si>
  <si>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</si>
  <si>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</si>
  <si>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</si>
  <si>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</si>
  <si>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</si>
  <si>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</si>
  <si>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</si>
  <si>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</si>
  <si>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</si>
  <si>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</si>
  <si>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</si>
  <si>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</si>
  <si>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</si>
  <si>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</si>
  <si>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</si>
  <si>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</si>
  <si>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</si>
  <si>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</si>
  <si>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</si>
  <si>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</si>
  <si>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</si>
  <si>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</si>
  <si>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</si>
  <si>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</si>
  <si>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</si>
  <si>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</si>
  <si>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</si>
  <si>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</si>
  <si>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</si>
  <si>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</si>
  <si>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</si>
  <si>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</si>
  <si>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</si>
  <si>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</si>
  <si>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</si>
  <si>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</si>
  <si>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</si>
  <si>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</si>
  <si>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</si>
  <si>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</si>
  <si>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</si>
  <si>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</si>
  <si>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</si>
  <si>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</si>
  <si>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</si>
  <si>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9"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</si>
  <si>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</si>
  <si>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</si>
  <si>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</si>
  <si>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</si>
  <si>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</si>
  <si>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</si>
  <si>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</si>
  <si>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</si>
  <si>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</si>
  <si>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</si>
  <si>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</si>
  <si>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9"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</si>
  <si>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</si>
  <si>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</si>
  <si>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</si>
  <si>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</si>
  <si>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90" type="noConversion"/>
  </si>
  <si>
    <r>
      <rPr>
        <sz val="14"/>
        <color theme="9" tint="-0.249977111117893"/>
        <rFont val="宋体"/>
        <family val="3"/>
        <charset val="134"/>
      </rPr>
      <t>（本页下方空白无内容）</t>
    </r>
  </si>
  <si>
    <r>
      <rPr>
        <b/>
        <sz val="18"/>
        <color theme="1"/>
        <rFont val="宋体"/>
        <family val="3"/>
        <charset val="134"/>
      </rPr>
      <t>评估意见函</t>
    </r>
    <phoneticPr fontId="90" type="noConversion"/>
  </si>
  <si>
    <r>
      <rPr>
        <b/>
        <sz val="14"/>
        <color rgb="FF000000"/>
        <rFont val="宋体"/>
        <family val="3"/>
        <charset val="134"/>
      </rPr>
      <t>估价对象：</t>
    </r>
    <phoneticPr fontId="90" type="noConversion"/>
  </si>
  <si>
    <r>
      <rPr>
        <b/>
        <i/>
        <sz val="14"/>
        <color theme="3" tint="0.39997558519241921"/>
        <rFont val="宋体"/>
        <family val="3"/>
        <charset val="134"/>
      </rPr>
      <t>现房：</t>
    </r>
    <phoneticPr fontId="90"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</si>
  <si>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1" type="noConversion"/>
  </si>
  <si>
    <r>
      <rPr>
        <b/>
        <i/>
        <sz val="14"/>
        <color theme="3" tint="0.39997558519241921"/>
        <rFont val="宋体"/>
        <family val="3"/>
        <charset val="134"/>
      </rPr>
      <t>在建：</t>
    </r>
    <phoneticPr fontId="90"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</si>
  <si>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1" type="noConversion"/>
  </si>
  <si>
    <r>
      <rPr>
        <b/>
        <sz val="14"/>
        <color rgb="FF000000"/>
        <rFont val="宋体"/>
        <family val="3"/>
        <charset val="134"/>
      </rPr>
      <t>估价目的：</t>
    </r>
    <phoneticPr fontId="90" type="noConversion"/>
  </si>
  <si>
    <r>
      <rPr>
        <b/>
        <sz val="14"/>
        <color theme="1"/>
        <rFont val="宋体"/>
        <family val="3"/>
        <charset val="134"/>
      </rPr>
      <t>价值时点：</t>
    </r>
    <phoneticPr fontId="90" type="noConversion"/>
  </si>
  <si>
    <r>
      <rPr>
        <b/>
        <sz val="14"/>
        <color theme="1"/>
        <rFont val="宋体"/>
        <family val="3"/>
        <charset val="134"/>
      </rPr>
      <t>价值类型：</t>
    </r>
    <phoneticPr fontId="90"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</si>
  <si>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0" type="noConversion"/>
  </si>
  <si>
    <r>
      <rPr>
        <b/>
        <sz val="14"/>
        <color theme="1"/>
        <rFont val="宋体"/>
        <family val="3"/>
        <charset val="134"/>
      </rPr>
      <t>估价结果：</t>
    </r>
    <phoneticPr fontId="90" type="noConversion"/>
  </si>
  <si>
    <r>
      <t>1.</t>
    </r>
    <r>
      <rPr>
        <b/>
        <sz val="12"/>
        <color indexed="8"/>
        <rFont val="宋体"/>
        <family val="3"/>
        <charset val="134"/>
      </rPr>
      <t>房地产价值</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</si>
  <si>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</si>
  <si>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</si>
  <si>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2"/>
        <color theme="1"/>
        <rFont val="宋体"/>
        <family val="3"/>
        <charset val="134"/>
      </rPr>
      <t>单价</t>
    </r>
    <phoneticPr fontId="90" type="noConversion"/>
  </si>
  <si>
    <r>
      <rPr>
        <b/>
        <sz val="12"/>
        <color rgb="FF000000"/>
        <rFont val="宋体"/>
        <family val="3"/>
        <charset val="134"/>
      </rPr>
      <t>总额</t>
    </r>
    <phoneticPr fontId="90" type="noConversion"/>
  </si>
  <si>
    <r>
      <rPr>
        <sz val="12"/>
        <color rgb="FF000000"/>
        <rFont val="宋体"/>
        <family val="3"/>
        <charset val="134"/>
      </rPr>
      <t>总额</t>
    </r>
    <phoneticPr fontId="90" type="noConversion"/>
  </si>
  <si>
    <r>
      <rPr>
        <sz val="14"/>
        <color theme="1"/>
        <rFont val="宋体"/>
        <family val="3"/>
        <charset val="134"/>
      </rPr>
      <t>（转下页）</t>
    </r>
    <phoneticPr fontId="92"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</si>
  <si>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0" type="noConversion"/>
  </si>
  <si>
    <r>
      <rPr>
        <b/>
        <sz val="14"/>
        <color theme="1"/>
        <rFont val="宋体"/>
        <family val="3"/>
        <charset val="134"/>
      </rPr>
      <t>结果表</t>
    </r>
    <r>
      <rPr>
        <b/>
        <sz val="14"/>
        <color theme="1"/>
        <rFont val="Arial"/>
        <family val="2"/>
      </rPr>
      <t>-1</t>
    </r>
    <phoneticPr fontId="92"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</si>
  <si>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0" type="noConversion"/>
  </si>
  <si>
    <r>
      <rPr>
        <sz val="12"/>
        <color rgb="FF000000"/>
        <rFont val="宋体"/>
        <family val="3"/>
        <charset val="134"/>
      </rPr>
      <t>总额</t>
    </r>
    <phoneticPr fontId="90"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</si>
  <si>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0" type="noConversion"/>
  </si>
  <si>
    <r>
      <rPr>
        <sz val="12"/>
        <color theme="1"/>
        <rFont val="宋体"/>
        <family val="3"/>
        <charset val="134"/>
      </rPr>
      <t>单价</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</si>
  <si>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</si>
  <si>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</si>
  <si>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2"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</si>
  <si>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</si>
  <si>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</si>
  <si>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</si>
  <si>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2" type="noConversion"/>
  </si>
  <si>
    <r>
      <rPr>
        <sz val="12"/>
        <color indexed="8"/>
        <rFont val="宋体"/>
        <family val="3"/>
        <charset val="134"/>
      </rPr>
      <t>建筑面积</t>
    </r>
    <phoneticPr fontId="90"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</si>
  <si>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0" type="noConversion"/>
  </si>
  <si>
    <r>
      <rPr>
        <sz val="12"/>
        <color indexed="8"/>
        <rFont val="宋体"/>
        <family val="3"/>
        <charset val="134"/>
      </rPr>
      <t>楼面单价</t>
    </r>
    <phoneticPr fontId="90"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</si>
  <si>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0"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</si>
  <si>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</si>
  <si>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</si>
  <si>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</si>
  <si>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</si>
  <si>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</si>
  <si>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</si>
  <si>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7"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</si>
  <si>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</si>
  <si>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</si>
  <si>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</si>
  <si>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7"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</si>
  <si>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</si>
  <si>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4"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</si>
  <si>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</si>
  <si>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</si>
  <si>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</si>
  <si>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</si>
  <si>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</si>
  <si>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</si>
  <si>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</si>
  <si>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</si>
  <si>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</si>
  <si>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</si>
  <si>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</si>
  <si>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</si>
  <si>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</si>
  <si>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</si>
  <si>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</si>
  <si>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</si>
  <si>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</si>
  <si>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</si>
  <si>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</si>
  <si>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</si>
  <si>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</si>
  <si>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</si>
  <si>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</si>
  <si>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</si>
  <si>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</si>
  <si>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</si>
  <si>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</si>
  <si>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</si>
  <si>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</si>
  <si>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</si>
  <si>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</si>
  <si>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</si>
  <si>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</si>
  <si>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</si>
  <si>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</si>
  <si>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</si>
  <si>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</si>
  <si>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</si>
  <si>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</si>
  <si>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</si>
  <si>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</si>
  <si>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</si>
  <si>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</si>
  <si>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</si>
  <si>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</si>
  <si>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</si>
  <si>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</si>
  <si>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</si>
  <si>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</si>
  <si>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</si>
  <si>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</si>
  <si>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</si>
  <si>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</si>
  <si>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</si>
  <si>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</si>
  <si>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</si>
  <si>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</si>
  <si>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</si>
  <si>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</si>
  <si>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</si>
  <si>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</si>
  <si>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</si>
  <si>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</si>
  <si>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</si>
  <si>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</si>
  <si>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</si>
  <si>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</si>
  <si>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</si>
  <si>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</si>
  <si>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</si>
  <si>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</si>
  <si>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</si>
  <si>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</si>
  <si>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</si>
  <si>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</si>
  <si>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</si>
  <si>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</si>
  <si>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</si>
  <si>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</si>
  <si>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</si>
  <si>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</si>
  <si>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</si>
  <si>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</si>
  <si>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</si>
  <si>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</si>
  <si>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</si>
  <si>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</si>
  <si>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</si>
  <si>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</si>
  <si>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</si>
  <si>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</si>
  <si>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</si>
  <si>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</si>
  <si>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</si>
  <si>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</si>
  <si>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</si>
  <si>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</si>
  <si>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</si>
  <si>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</si>
  <si>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</si>
  <si>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</si>
  <si>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</si>
  <si>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</si>
  <si>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</si>
  <si>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</si>
  <si>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</si>
  <si>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</si>
  <si>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</si>
  <si>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</si>
  <si>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</si>
  <si>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</si>
  <si>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</si>
  <si>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</si>
  <si>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</si>
  <si>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</si>
  <si>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</si>
  <si>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</si>
  <si>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2"/>
        <color indexed="8"/>
        <rFont val="宋体"/>
        <family val="3"/>
        <charset val="134"/>
      </rPr>
      <t>估价项目名称</t>
    </r>
    <phoneticPr fontId="6" type="noConversion"/>
  </si>
  <si>
    <r>
      <rPr>
        <sz val="12"/>
        <color indexed="8"/>
        <rFont val="宋体"/>
        <family val="3"/>
        <charset val="134"/>
      </rPr>
      <t>报告编号</t>
    </r>
    <phoneticPr fontId="9" type="noConversion"/>
  </si>
  <si>
    <r>
      <rPr>
        <sz val="12"/>
        <color indexed="8"/>
        <rFont val="宋体"/>
        <family val="3"/>
        <charset val="134"/>
      </rPr>
      <t>现场勘查日</t>
    </r>
    <phoneticPr fontId="90" type="noConversion"/>
  </si>
  <si>
    <r>
      <rPr>
        <sz val="12"/>
        <color indexed="8"/>
        <rFont val="宋体"/>
        <family val="3"/>
        <charset val="134"/>
      </rPr>
      <t>价值时点</t>
    </r>
    <phoneticPr fontId="90" type="noConversion"/>
  </si>
  <si>
    <r>
      <rPr>
        <sz val="12"/>
        <color indexed="8"/>
        <rFont val="宋体"/>
        <family val="3"/>
        <charset val="134"/>
      </rPr>
      <t>签字估价师</t>
    </r>
    <phoneticPr fontId="90" type="noConversion"/>
  </si>
  <si>
    <r>
      <rPr>
        <sz val="12"/>
        <color indexed="8"/>
        <rFont val="宋体"/>
        <family val="3"/>
        <charset val="134"/>
      </rPr>
      <t>估价委托人</t>
    </r>
    <r>
      <rPr>
        <sz val="12"/>
        <color indexed="8"/>
        <rFont val="Arial"/>
        <family val="2"/>
      </rPr>
      <t xml:space="preserve">  </t>
    </r>
    <phoneticPr fontId="88"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</si>
  <si>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8" type="noConversion"/>
  </si>
  <si>
    <r>
      <rPr>
        <sz val="12"/>
        <color indexed="8"/>
        <rFont val="宋体"/>
        <family val="3"/>
        <charset val="134"/>
      </rPr>
      <t>借款方</t>
    </r>
    <phoneticPr fontId="9" type="noConversion"/>
  </si>
  <si>
    <r>
      <rPr>
        <sz val="12"/>
        <color indexed="8"/>
        <rFont val="宋体"/>
        <family val="3"/>
        <charset val="134"/>
      </rPr>
      <t>估价目的</t>
    </r>
    <phoneticPr fontId="88" type="noConversion"/>
  </si>
  <si>
    <r>
      <rPr>
        <sz val="12"/>
        <color indexed="8"/>
        <rFont val="宋体"/>
        <family val="3"/>
        <charset val="134"/>
      </rPr>
      <t>抵押结果包含：</t>
    </r>
    <phoneticPr fontId="90" type="noConversion"/>
  </si>
  <si>
    <r>
      <rPr>
        <sz val="12"/>
        <color indexed="8"/>
        <rFont val="宋体"/>
        <family val="3"/>
        <charset val="134"/>
      </rPr>
      <t>价值类型</t>
    </r>
    <phoneticPr fontId="88" type="noConversion"/>
  </si>
  <si>
    <r>
      <rPr>
        <sz val="12"/>
        <color indexed="8"/>
        <rFont val="宋体"/>
        <family val="3"/>
        <charset val="134"/>
      </rPr>
      <t>项目所在城市</t>
    </r>
    <phoneticPr fontId="9" type="noConversion"/>
  </si>
  <si>
    <r>
      <rPr>
        <sz val="12"/>
        <color indexed="8"/>
        <rFont val="宋体"/>
        <family val="3"/>
        <charset val="134"/>
      </rPr>
      <t>坐落</t>
    </r>
    <phoneticPr fontId="88" type="noConversion"/>
  </si>
  <si>
    <r>
      <rPr>
        <sz val="12"/>
        <color indexed="8"/>
        <rFont val="宋体"/>
        <family val="3"/>
        <charset val="134"/>
      </rPr>
      <t>不动产权利人</t>
    </r>
    <phoneticPr fontId="9" type="noConversion"/>
  </si>
  <si>
    <r>
      <rPr>
        <sz val="12"/>
        <color indexed="8"/>
        <rFont val="宋体"/>
        <family val="3"/>
        <charset val="134"/>
      </rPr>
      <t>土地性质</t>
    </r>
    <phoneticPr fontId="88" type="noConversion"/>
  </si>
  <si>
    <r>
      <rPr>
        <sz val="11"/>
        <color indexed="8"/>
        <rFont val="宋体"/>
        <family val="3"/>
        <charset val="134"/>
      </rPr>
      <t>用途</t>
    </r>
    <phoneticPr fontId="9" type="noConversion"/>
  </si>
  <si>
    <r>
      <rPr>
        <sz val="11"/>
        <color indexed="8"/>
        <rFont val="宋体"/>
        <family val="3"/>
        <charset val="134"/>
      </rPr>
      <t>住宅</t>
    </r>
    <phoneticPr fontId="9" type="noConversion"/>
  </si>
  <si>
    <r>
      <rPr>
        <sz val="11"/>
        <color indexed="8"/>
        <rFont val="宋体"/>
        <family val="3"/>
        <charset val="134"/>
      </rPr>
      <t>商业</t>
    </r>
    <phoneticPr fontId="9" type="noConversion"/>
  </si>
  <si>
    <r>
      <rPr>
        <sz val="11"/>
        <color indexed="8"/>
        <rFont val="宋体"/>
        <family val="3"/>
        <charset val="134"/>
      </rPr>
      <t>办公</t>
    </r>
    <phoneticPr fontId="9" type="noConversion"/>
  </si>
  <si>
    <r>
      <rPr>
        <sz val="11"/>
        <color indexed="8"/>
        <rFont val="宋体"/>
        <family val="3"/>
        <charset val="134"/>
      </rPr>
      <t>车库</t>
    </r>
    <phoneticPr fontId="9" type="noConversion"/>
  </si>
  <si>
    <r>
      <rPr>
        <sz val="11"/>
        <color indexed="8"/>
        <rFont val="宋体"/>
        <family val="3"/>
        <charset val="134"/>
      </rPr>
      <t>仓储</t>
    </r>
    <phoneticPr fontId="9" type="noConversion"/>
  </si>
  <si>
    <r>
      <rPr>
        <sz val="11"/>
        <color indexed="8"/>
        <rFont val="宋体"/>
        <family val="3"/>
        <charset val="134"/>
      </rPr>
      <t>工业</t>
    </r>
    <phoneticPr fontId="9" type="noConversion"/>
  </si>
  <si>
    <r>
      <rPr>
        <sz val="12"/>
        <color indexed="8"/>
        <rFont val="宋体"/>
        <family val="3"/>
        <charset val="134"/>
      </rPr>
      <t>终止日期</t>
    </r>
    <phoneticPr fontId="9" type="noConversion"/>
  </si>
  <si>
    <r>
      <rPr>
        <sz val="12"/>
        <color indexed="8"/>
        <rFont val="宋体"/>
        <family val="3"/>
        <charset val="134"/>
      </rPr>
      <t>出让年限</t>
    </r>
    <phoneticPr fontId="9" type="noConversion"/>
  </si>
  <si>
    <r>
      <rPr>
        <sz val="12"/>
        <color indexed="8"/>
        <rFont val="宋体"/>
        <family val="3"/>
        <charset val="134"/>
      </rPr>
      <t>剩余年限</t>
    </r>
    <phoneticPr fontId="9" type="noConversion"/>
  </si>
  <si>
    <r>
      <rPr>
        <sz val="12"/>
        <color indexed="8"/>
        <rFont val="宋体"/>
        <family val="3"/>
        <charset val="134"/>
      </rPr>
      <t>估价对象用途明细</t>
    </r>
    <phoneticPr fontId="88" type="noConversion"/>
  </si>
  <si>
    <r>
      <rPr>
        <sz val="12"/>
        <color indexed="8"/>
        <rFont val="宋体"/>
        <family val="3"/>
        <charset val="134"/>
      </rPr>
      <t>剩余土地年限</t>
    </r>
    <phoneticPr fontId="9" type="noConversion"/>
  </si>
  <si>
    <r>
      <rPr>
        <sz val="12"/>
        <color indexed="8"/>
        <rFont val="宋体"/>
        <family val="3"/>
        <charset val="134"/>
      </rPr>
      <t>面积指标</t>
    </r>
    <phoneticPr fontId="88" type="noConversion"/>
  </si>
  <si>
    <r>
      <rPr>
        <sz val="12"/>
        <color indexed="8"/>
        <rFont val="宋体"/>
        <family val="3"/>
        <charset val="134"/>
      </rPr>
      <t>建筑面积</t>
    </r>
    <phoneticPr fontId="88" type="noConversion"/>
  </si>
  <si>
    <r>
      <rPr>
        <sz val="12"/>
        <color indexed="8"/>
        <rFont val="宋体"/>
        <family val="3"/>
        <charset val="134"/>
      </rPr>
      <t>面积依据</t>
    </r>
    <phoneticPr fontId="88"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</si>
  <si>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9" type="noConversion"/>
  </si>
  <si>
    <r>
      <rPr>
        <sz val="12"/>
        <color indexed="8"/>
        <rFont val="宋体"/>
        <family val="3"/>
        <charset val="134"/>
      </rPr>
      <t>土地面积</t>
    </r>
    <phoneticPr fontId="88" type="noConversion"/>
  </si>
  <si>
    <r>
      <rPr>
        <sz val="12"/>
        <color theme="9" tint="-0.249977111117893"/>
        <rFont val="宋体"/>
        <family val="3"/>
        <charset val="134"/>
      </rPr>
      <t>《国有土地使用证》</t>
    </r>
    <r>
      <rPr>
        <sz val="12"/>
        <color theme="9" tint="-0.249977111117893"/>
        <rFont val="Arial"/>
        <family val="2"/>
      </rPr>
      <t>[]</t>
    </r>
    <phoneticPr fontId="9" type="noConversion"/>
  </si>
  <si>
    <r>
      <rPr>
        <sz val="10"/>
        <color indexed="8"/>
        <rFont val="宋体"/>
        <family val="3"/>
        <charset val="134"/>
      </rPr>
      <t>权利状况（抵押）</t>
    </r>
    <phoneticPr fontId="90" type="noConversion"/>
  </si>
  <si>
    <r>
      <rPr>
        <sz val="10"/>
        <color indexed="8"/>
        <rFont val="宋体"/>
        <family val="3"/>
        <charset val="134"/>
      </rPr>
      <t>是否抵押</t>
    </r>
    <phoneticPr fontId="90" type="noConversion"/>
  </si>
  <si>
    <r>
      <rPr>
        <sz val="10"/>
        <color indexed="8"/>
        <rFont val="宋体"/>
        <family val="3"/>
        <charset val="134"/>
      </rPr>
      <t>权属证件是否登记权利价值</t>
    </r>
    <phoneticPr fontId="90" type="noConversion"/>
  </si>
  <si>
    <r>
      <rPr>
        <sz val="10"/>
        <color indexed="8"/>
        <rFont val="宋体"/>
        <family val="3"/>
        <charset val="134"/>
      </rPr>
      <t>依据</t>
    </r>
    <phoneticPr fontId="90" type="noConversion"/>
  </si>
  <si>
    <r>
      <rPr>
        <sz val="10"/>
        <color indexed="8"/>
        <rFont val="宋体"/>
        <family val="3"/>
        <charset val="134"/>
      </rPr>
      <t>权属文件</t>
    </r>
    <phoneticPr fontId="90" type="noConversion"/>
  </si>
  <si>
    <r>
      <rPr>
        <sz val="10"/>
        <color indexed="8"/>
        <rFont val="宋体"/>
        <family val="3"/>
        <charset val="134"/>
      </rPr>
      <t>他项权证</t>
    </r>
    <phoneticPr fontId="90" type="noConversion"/>
  </si>
  <si>
    <r>
      <rPr>
        <sz val="10"/>
        <color indexed="8"/>
        <rFont val="宋体"/>
        <family val="3"/>
        <charset val="134"/>
      </rPr>
      <t>其他资料</t>
    </r>
    <phoneticPr fontId="90" type="noConversion"/>
  </si>
  <si>
    <r>
      <rPr>
        <sz val="10"/>
        <color indexed="8"/>
        <rFont val="宋体"/>
        <family val="3"/>
        <charset val="134"/>
      </rPr>
      <t>抵押情况描述</t>
    </r>
    <phoneticPr fontId="90"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</si>
  <si>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</si>
  <si>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</si>
  <si>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90"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</si>
  <si>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</si>
  <si>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</si>
  <si>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90" type="noConversion"/>
  </si>
  <si>
    <r>
      <rPr>
        <sz val="10"/>
        <color indexed="8"/>
        <rFont val="宋体"/>
        <family val="3"/>
        <charset val="134"/>
      </rPr>
      <t>设定日期</t>
    </r>
    <phoneticPr fontId="90" type="noConversion"/>
  </si>
  <si>
    <r>
      <rPr>
        <sz val="10"/>
        <color indexed="8"/>
        <rFont val="宋体"/>
        <family val="3"/>
        <charset val="134"/>
      </rPr>
      <t>权利人</t>
    </r>
    <phoneticPr fontId="90" type="noConversion"/>
  </si>
  <si>
    <r>
      <rPr>
        <sz val="10"/>
        <color indexed="8"/>
        <rFont val="宋体"/>
        <family val="3"/>
        <charset val="134"/>
      </rPr>
      <t>权利范围</t>
    </r>
    <phoneticPr fontId="90" type="noConversion"/>
  </si>
  <si>
    <r>
      <rPr>
        <sz val="10"/>
        <color indexed="8"/>
        <rFont val="宋体"/>
        <family val="3"/>
        <charset val="134"/>
      </rPr>
      <t>权利价值</t>
    </r>
    <phoneticPr fontId="90" type="noConversion"/>
  </si>
  <si>
    <r>
      <rPr>
        <sz val="10"/>
        <color indexed="8"/>
        <rFont val="宋体"/>
        <family val="3"/>
        <charset val="134"/>
      </rPr>
      <t>权利价值</t>
    </r>
    <phoneticPr fontId="90" type="noConversion"/>
  </si>
  <si>
    <r>
      <rPr>
        <sz val="12"/>
        <color indexed="8"/>
        <rFont val="宋体"/>
        <family val="3"/>
        <charset val="134"/>
      </rPr>
      <t>项目类型</t>
    </r>
    <phoneticPr fontId="9" type="noConversion"/>
  </si>
  <si>
    <r>
      <rPr>
        <sz val="12"/>
        <color indexed="8"/>
        <rFont val="宋体"/>
        <family val="3"/>
        <charset val="134"/>
      </rPr>
      <t>按主用途</t>
    </r>
    <phoneticPr fontId="9" type="noConversion"/>
  </si>
  <si>
    <r>
      <rPr>
        <sz val="12"/>
        <color indexed="8"/>
        <rFont val="宋体"/>
        <family val="3"/>
        <charset val="134"/>
      </rPr>
      <t>特殊细项</t>
    </r>
    <phoneticPr fontId="9" type="noConversion"/>
  </si>
  <si>
    <r>
      <rPr>
        <sz val="12"/>
        <color indexed="8"/>
        <rFont val="宋体"/>
        <family val="3"/>
        <charset val="134"/>
      </rPr>
      <t>是否配建</t>
    </r>
    <phoneticPr fontId="9" type="noConversion"/>
  </si>
  <si>
    <r>
      <rPr>
        <sz val="12"/>
        <color indexed="8"/>
        <rFont val="宋体"/>
        <family val="3"/>
        <charset val="134"/>
      </rPr>
      <t>配建类型</t>
    </r>
    <phoneticPr fontId="9" type="noConversion"/>
  </si>
  <si>
    <r>
      <rPr>
        <sz val="12"/>
        <color indexed="8"/>
        <rFont val="宋体"/>
        <family val="3"/>
        <charset val="134"/>
      </rPr>
      <t>项目现状</t>
    </r>
    <phoneticPr fontId="9" type="noConversion"/>
  </si>
  <si>
    <r>
      <rPr>
        <sz val="12"/>
        <color indexed="8"/>
        <rFont val="宋体"/>
        <family val="3"/>
        <charset val="134"/>
      </rPr>
      <t>红线外市政</t>
    </r>
    <phoneticPr fontId="9" type="noConversion"/>
  </si>
  <si>
    <r>
      <rPr>
        <sz val="11"/>
        <color indexed="8"/>
        <rFont val="宋体"/>
        <family val="3"/>
        <charset val="134"/>
      </rPr>
      <t>一通</t>
    </r>
    <phoneticPr fontId="95" type="noConversion"/>
  </si>
  <si>
    <r>
      <rPr>
        <sz val="11"/>
        <color indexed="8"/>
        <rFont val="宋体"/>
        <family val="3"/>
        <charset val="134"/>
      </rPr>
      <t>二通</t>
    </r>
    <phoneticPr fontId="95" type="noConversion"/>
  </si>
  <si>
    <r>
      <rPr>
        <sz val="11"/>
        <color indexed="8"/>
        <rFont val="宋体"/>
        <family val="3"/>
        <charset val="134"/>
      </rPr>
      <t>三通</t>
    </r>
    <phoneticPr fontId="95" type="noConversion"/>
  </si>
  <si>
    <r>
      <rPr>
        <sz val="11"/>
        <color indexed="8"/>
        <rFont val="宋体"/>
        <family val="3"/>
        <charset val="134"/>
      </rPr>
      <t>四通</t>
    </r>
    <phoneticPr fontId="95" type="noConversion"/>
  </si>
  <si>
    <r>
      <rPr>
        <sz val="11"/>
        <color indexed="8"/>
        <rFont val="宋体"/>
        <family val="3"/>
        <charset val="134"/>
      </rPr>
      <t>五通</t>
    </r>
    <phoneticPr fontId="95" type="noConversion"/>
  </si>
  <si>
    <r>
      <rPr>
        <sz val="11"/>
        <color indexed="8"/>
        <rFont val="宋体"/>
        <family val="3"/>
        <charset val="134"/>
      </rPr>
      <t>六通</t>
    </r>
    <phoneticPr fontId="95" type="noConversion"/>
  </si>
  <si>
    <r>
      <rPr>
        <sz val="11"/>
        <color indexed="8"/>
        <rFont val="宋体"/>
        <family val="3"/>
        <charset val="134"/>
      </rPr>
      <t>七通</t>
    </r>
    <phoneticPr fontId="95" type="noConversion"/>
  </si>
  <si>
    <r>
      <rPr>
        <sz val="11"/>
        <color indexed="8"/>
        <rFont val="宋体"/>
        <family val="3"/>
        <charset val="134"/>
      </rPr>
      <t>估价对象</t>
    </r>
    <phoneticPr fontId="95" type="noConversion"/>
  </si>
  <si>
    <r>
      <rPr>
        <sz val="12"/>
        <color indexed="8"/>
        <rFont val="宋体"/>
        <family val="3"/>
        <charset val="134"/>
      </rPr>
      <t>北京市</t>
    </r>
    <phoneticPr fontId="9" type="noConversion"/>
  </si>
  <si>
    <r>
      <rPr>
        <sz val="12"/>
        <color indexed="8"/>
        <rFont val="宋体"/>
        <family val="3"/>
        <charset val="134"/>
      </rPr>
      <t>商业</t>
    </r>
    <phoneticPr fontId="9" type="noConversion"/>
  </si>
  <si>
    <r>
      <rPr>
        <sz val="12"/>
        <color indexed="8"/>
        <rFont val="宋体"/>
        <family val="3"/>
        <charset val="134"/>
      </rPr>
      <t>办公</t>
    </r>
    <phoneticPr fontId="9" type="noConversion"/>
  </si>
  <si>
    <r>
      <rPr>
        <sz val="12"/>
        <color indexed="8"/>
        <rFont val="宋体"/>
        <family val="3"/>
        <charset val="134"/>
      </rPr>
      <t>住宅</t>
    </r>
    <phoneticPr fontId="9" type="noConversion"/>
  </si>
  <si>
    <r>
      <rPr>
        <sz val="12"/>
        <color indexed="8"/>
        <rFont val="宋体"/>
        <family val="3"/>
        <charset val="134"/>
      </rPr>
      <t>工业</t>
    </r>
    <phoneticPr fontId="9" type="noConversion"/>
  </si>
  <si>
    <r>
      <rPr>
        <sz val="12"/>
        <color indexed="8"/>
        <rFont val="宋体"/>
        <family val="3"/>
        <charset val="134"/>
      </rPr>
      <t>土地级别</t>
    </r>
    <phoneticPr fontId="9" type="noConversion"/>
  </si>
  <si>
    <r>
      <rPr>
        <sz val="12"/>
        <color indexed="8"/>
        <rFont val="宋体"/>
        <family val="3"/>
        <charset val="134"/>
      </rPr>
      <t>区片编号</t>
    </r>
    <phoneticPr fontId="9" type="noConversion"/>
  </si>
  <si>
    <r>
      <rPr>
        <b/>
        <sz val="16"/>
        <color rgb="FFFF0000"/>
        <rFont val="宋体"/>
        <family val="3"/>
        <charset val="134"/>
      </rPr>
      <t>虚线以上为必填</t>
    </r>
    <phoneticPr fontId="9" type="noConversion"/>
  </si>
  <si>
    <r>
      <rPr>
        <b/>
        <sz val="11"/>
        <color indexed="8"/>
        <rFont val="宋体"/>
        <family val="3"/>
        <charset val="134"/>
      </rPr>
      <t>证件取得及他项权利状况</t>
    </r>
    <phoneticPr fontId="9" type="noConversion"/>
  </si>
  <si>
    <r>
      <rPr>
        <sz val="11"/>
        <color indexed="8"/>
        <rFont val="宋体"/>
        <family val="3"/>
        <charset val="134"/>
      </rPr>
      <t>地块编号</t>
    </r>
    <phoneticPr fontId="6"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</si>
  <si>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6" type="noConversion"/>
  </si>
  <si>
    <r>
      <rPr>
        <sz val="11"/>
        <color indexed="8"/>
        <rFont val="宋体"/>
        <family val="3"/>
        <charset val="134"/>
      </rPr>
      <t>出让合同</t>
    </r>
    <phoneticPr fontId="6" type="noConversion"/>
  </si>
  <si>
    <r>
      <rPr>
        <sz val="11"/>
        <color indexed="8"/>
        <rFont val="宋体"/>
        <family val="3"/>
        <charset val="134"/>
      </rPr>
      <t>用地规划</t>
    </r>
    <phoneticPr fontId="6" type="noConversion"/>
  </si>
  <si>
    <r>
      <rPr>
        <sz val="11"/>
        <color indexed="8"/>
        <rFont val="宋体"/>
        <family val="3"/>
        <charset val="134"/>
      </rPr>
      <t>规划意见复函</t>
    </r>
    <phoneticPr fontId="6" type="noConversion"/>
  </si>
  <si>
    <r>
      <rPr>
        <sz val="11"/>
        <color indexed="8"/>
        <rFont val="宋体"/>
        <family val="3"/>
        <charset val="134"/>
      </rPr>
      <t>工程规划</t>
    </r>
    <phoneticPr fontId="6" type="noConversion"/>
  </si>
  <si>
    <r>
      <rPr>
        <sz val="11"/>
        <color indexed="8"/>
        <rFont val="宋体"/>
        <family val="3"/>
        <charset val="134"/>
      </rPr>
      <t>施工证</t>
    </r>
    <phoneticPr fontId="6" type="noConversion"/>
  </si>
  <si>
    <r>
      <rPr>
        <sz val="11"/>
        <color indexed="8"/>
        <rFont val="宋体"/>
        <family val="3"/>
        <charset val="134"/>
      </rPr>
      <t>预售证</t>
    </r>
    <phoneticPr fontId="6" type="noConversion"/>
  </si>
  <si>
    <r>
      <rPr>
        <sz val="11"/>
        <color indexed="8"/>
        <rFont val="宋体"/>
        <family val="3"/>
        <charset val="134"/>
      </rPr>
      <t>竣工备案</t>
    </r>
    <phoneticPr fontId="6" type="noConversion"/>
  </si>
  <si>
    <r>
      <rPr>
        <sz val="11"/>
        <color indexed="8"/>
        <rFont val="宋体"/>
        <family val="3"/>
        <charset val="134"/>
      </rPr>
      <t>测绘报告</t>
    </r>
    <phoneticPr fontId="6" type="noConversion"/>
  </si>
  <si>
    <r>
      <rPr>
        <sz val="11"/>
        <color indexed="8"/>
        <rFont val="宋体"/>
        <family val="3"/>
        <charset val="134"/>
      </rPr>
      <t>现状</t>
    </r>
    <phoneticPr fontId="9"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</si>
  <si>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9" type="noConversion"/>
  </si>
  <si>
    <r>
      <rPr>
        <sz val="11"/>
        <color indexed="8"/>
        <rFont val="宋体"/>
        <family val="3"/>
        <charset val="134"/>
      </rPr>
      <t>不动产权证书</t>
    </r>
    <phoneticPr fontId="9" type="noConversion"/>
  </si>
  <si>
    <r>
      <rPr>
        <sz val="11"/>
        <color indexed="8"/>
        <rFont val="宋体"/>
        <family val="3"/>
        <charset val="134"/>
      </rPr>
      <t>国土证</t>
    </r>
    <phoneticPr fontId="6" type="noConversion"/>
  </si>
  <si>
    <r>
      <rPr>
        <sz val="11"/>
        <color indexed="8"/>
        <rFont val="宋体"/>
        <family val="3"/>
        <charset val="134"/>
      </rPr>
      <t>房产证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</si>
  <si>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</si>
  <si>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9"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</si>
  <si>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</si>
  <si>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</si>
  <si>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</si>
  <si>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</si>
  <si>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</si>
  <si>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</si>
  <si>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</si>
  <si>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</si>
  <si>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</si>
  <si>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</si>
  <si>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</si>
  <si>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</si>
  <si>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</si>
  <si>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</si>
  <si>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</si>
  <si>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</si>
  <si>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</si>
  <si>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</si>
  <si>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</si>
  <si>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</si>
  <si>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</si>
  <si>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</si>
  <si>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</si>
  <si>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</si>
  <si>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</si>
  <si>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</si>
  <si>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</si>
  <si>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</si>
  <si>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</si>
  <si>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</si>
  <si>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</si>
  <si>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</si>
  <si>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</si>
  <si>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</si>
  <si>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</si>
  <si>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</si>
  <si>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</si>
  <si>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</si>
  <si>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</si>
  <si>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</si>
  <si>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</si>
  <si>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</si>
  <si>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</si>
  <si>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</si>
  <si>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</si>
  <si>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</si>
  <si>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</si>
  <si>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</si>
  <si>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</si>
  <si>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</si>
  <si>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</si>
  <si>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</si>
  <si>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</si>
  <si>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</si>
  <si>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</si>
  <si>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</si>
  <si>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</si>
  <si>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</si>
  <si>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</si>
  <si>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</si>
  <si>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</si>
  <si>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</si>
  <si>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</si>
  <si>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</si>
  <si>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</si>
  <si>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</si>
  <si>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</si>
  <si>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</si>
  <si>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</si>
  <si>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</si>
  <si>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</si>
  <si>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</si>
  <si>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</si>
  <si>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</si>
  <si>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</si>
  <si>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</si>
  <si>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</si>
  <si>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</si>
  <si>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</si>
  <si>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</si>
  <si>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</si>
  <si>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</si>
  <si>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</si>
  <si>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</si>
  <si>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</si>
  <si>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</si>
  <si>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</si>
  <si>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</si>
  <si>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</si>
  <si>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</si>
  <si>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</si>
  <si>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</si>
  <si>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</si>
  <si>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</si>
  <si>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</si>
  <si>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</si>
  <si>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</si>
  <si>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</si>
  <si>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</si>
  <si>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</si>
  <si>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</si>
  <si>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</si>
  <si>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</si>
  <si>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</si>
  <si>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</si>
  <si>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</si>
  <si>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</si>
  <si>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</si>
  <si>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</si>
  <si>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</si>
  <si>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</si>
  <si>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</si>
  <si>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</si>
  <si>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</si>
  <si>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</si>
  <si>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</si>
  <si>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</si>
  <si>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</si>
  <si>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</si>
  <si>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</si>
  <si>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</si>
  <si>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</si>
  <si>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</si>
  <si>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</si>
  <si>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</si>
  <si>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</si>
  <si>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</si>
  <si>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</si>
  <si>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</si>
  <si>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</si>
  <si>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</si>
  <si>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</si>
  <si>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</si>
  <si>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</si>
  <si>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</si>
  <si>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</si>
  <si>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</si>
  <si>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</si>
  <si>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</si>
  <si>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</si>
  <si>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</si>
  <si>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</si>
  <si>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</si>
  <si>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</si>
  <si>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</si>
  <si>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</si>
  <si>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</si>
  <si>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</si>
  <si>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</si>
  <si>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</si>
  <si>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</si>
  <si>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color indexed="8"/>
        <rFont val="宋体"/>
        <family val="3"/>
        <charset val="134"/>
      </rPr>
      <t>默认为已完成的土地开发期</t>
    </r>
    <phoneticPr fontId="6" type="noConversion"/>
  </si>
  <si>
    <r>
      <rPr>
        <sz val="11"/>
        <rFont val="宋体"/>
        <family val="3"/>
        <charset val="134"/>
      </rPr>
      <t>建设期</t>
    </r>
    <phoneticPr fontId="7" type="noConversion"/>
  </si>
  <si>
    <r>
      <rPr>
        <sz val="11"/>
        <color indexed="8"/>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</si>
  <si>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</si>
  <si>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</si>
  <si>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</si>
  <si>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</si>
  <si>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</si>
  <si>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</si>
  <si>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</si>
  <si>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</si>
  <si>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theme="1"/>
        <rFont val="宋体"/>
        <family val="3"/>
        <charset val="134"/>
      </rPr>
      <t>请录依据文件名称：</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</si>
  <si>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</si>
  <si>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</si>
  <si>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theme="1"/>
        <rFont val="宋体"/>
        <family val="3"/>
        <charset val="134"/>
      </rPr>
      <t>凭票据或默认已缴纳</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</si>
  <si>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</si>
  <si>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</si>
  <si>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</si>
  <si>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</si>
  <si>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0"/>
        <color theme="1"/>
        <rFont val="宋体"/>
        <family val="3"/>
        <charset val="134"/>
      </rPr>
      <t>范围：</t>
    </r>
    <r>
      <rPr>
        <sz val="10"/>
        <color theme="1"/>
        <rFont val="Arial"/>
        <family val="2"/>
      </rPr>
      <t>3%-5%</t>
    </r>
    <phoneticPr fontId="6" type="noConversion"/>
  </si>
  <si>
    <r>
      <rPr>
        <sz val="11"/>
        <color indexed="8"/>
        <rFont val="宋体"/>
        <family val="3"/>
        <charset val="134"/>
      </rPr>
      <t>公共配套设施费用</t>
    </r>
    <phoneticPr fontId="6" type="noConversion"/>
  </si>
  <si>
    <r>
      <rPr>
        <sz val="10"/>
        <color theme="1"/>
        <rFont val="宋体"/>
        <family val="3"/>
        <charset val="134"/>
      </rPr>
      <t>范围：</t>
    </r>
    <r>
      <rPr>
        <sz val="10"/>
        <color theme="1"/>
        <rFont val="Arial"/>
        <family val="2"/>
      </rPr>
      <t>0-10%</t>
    </r>
    <phoneticPr fontId="6" type="noConversion"/>
  </si>
  <si>
    <r>
      <rPr>
        <sz val="11"/>
        <color indexed="8"/>
        <rFont val="宋体"/>
        <family val="3"/>
        <charset val="134"/>
      </rPr>
      <t>非住宅项目及用公共配套计算实为</t>
    </r>
    <r>
      <rPr>
        <sz val="11"/>
        <color indexed="8"/>
        <rFont val="Arial"/>
        <family val="2"/>
      </rPr>
      <t>0</t>
    </r>
    <phoneticPr fontId="6" type="noConversion"/>
  </si>
  <si>
    <r>
      <rPr>
        <sz val="11"/>
        <color indexed="8"/>
        <rFont val="宋体"/>
        <family val="3"/>
        <charset val="134"/>
      </rPr>
      <t>红线内市政基础设施</t>
    </r>
    <phoneticPr fontId="6" type="noConversion"/>
  </si>
  <si>
    <r>
      <rPr>
        <sz val="10"/>
        <color theme="1"/>
        <rFont val="宋体"/>
        <family val="3"/>
        <charset val="134"/>
      </rPr>
      <t>变化</t>
    </r>
    <phoneticPr fontId="6" type="noConversion"/>
  </si>
  <si>
    <r>
      <rPr>
        <sz val="11"/>
        <color indexed="8"/>
        <rFont val="宋体"/>
        <family val="3"/>
        <charset val="134"/>
      </rPr>
      <t>建造成本中相关税费</t>
    </r>
    <phoneticPr fontId="6" type="noConversion"/>
  </si>
  <si>
    <r>
      <rPr>
        <sz val="10"/>
        <color theme="1"/>
        <rFont val="宋体"/>
        <family val="3"/>
        <charset val="134"/>
      </rPr>
      <t>定值：</t>
    </r>
    <r>
      <rPr>
        <sz val="10"/>
        <color theme="1"/>
        <rFont val="Arial"/>
        <family val="2"/>
      </rPr>
      <t>1.5%</t>
    </r>
    <phoneticPr fontId="6" type="noConversion"/>
  </si>
  <si>
    <r>
      <rPr>
        <sz val="11"/>
        <color indexed="8"/>
        <rFont val="宋体"/>
        <family val="3"/>
        <charset val="134"/>
      </rPr>
      <t>管理费用</t>
    </r>
    <phoneticPr fontId="6" type="noConversion"/>
  </si>
  <si>
    <r>
      <rPr>
        <sz val="10"/>
        <color theme="1"/>
        <rFont val="宋体"/>
        <family val="3"/>
        <charset val="134"/>
      </rPr>
      <t>范围：</t>
    </r>
    <r>
      <rPr>
        <sz val="10"/>
        <color theme="1"/>
        <rFont val="Arial"/>
        <family val="2"/>
      </rPr>
      <t>1%-3%</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</si>
  <si>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</si>
  <si>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</si>
  <si>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贷款利息</t>
    </r>
    <phoneticPr fontId="6"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</si>
  <si>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</si>
  <si>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</si>
  <si>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</si>
  <si>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</si>
  <si>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</si>
  <si>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</si>
  <si>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</si>
  <si>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</si>
  <si>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</si>
  <si>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</si>
  <si>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sz val="11"/>
        <color indexed="8"/>
        <rFont val="宋体"/>
        <family val="3"/>
        <charset val="134"/>
      </rPr>
      <t>其他税种</t>
    </r>
    <phoneticPr fontId="6" type="noConversion"/>
  </si>
  <si>
    <r>
      <rPr>
        <sz val="11"/>
        <color theme="1"/>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</si>
  <si>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</si>
  <si>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</si>
  <si>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</si>
  <si>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</si>
  <si>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</si>
  <si>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</si>
  <si>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</si>
  <si>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</si>
  <si>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</si>
  <si>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</si>
  <si>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</si>
  <si>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</si>
  <si>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</si>
  <si>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</si>
  <si>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</si>
  <si>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</si>
  <si>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</si>
  <si>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</si>
  <si>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</si>
  <si>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</si>
  <si>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</si>
  <si>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</si>
  <si>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</si>
  <si>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28"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</si>
  <si>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</si>
  <si>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4"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</si>
  <si>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</si>
  <si>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4" type="noConversion"/>
  </si>
  <si>
    <r>
      <rPr>
        <sz val="11"/>
        <color indexed="8"/>
        <rFont val="宋体"/>
        <family val="3"/>
        <charset val="134"/>
      </rPr>
      <t>商业繁华度</t>
    </r>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</si>
  <si>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8" type="noConversion"/>
  </si>
  <si>
    <r>
      <rPr>
        <sz val="11"/>
        <color indexed="8"/>
        <rFont val="宋体"/>
        <family val="3"/>
        <charset val="134"/>
      </rPr>
      <t>交通便捷度</t>
    </r>
    <phoneticPr fontId="32" type="noConversion"/>
  </si>
  <si>
    <r>
      <rPr>
        <sz val="11"/>
        <color theme="9" tint="-0.249977111117893"/>
        <rFont val="宋体"/>
        <family val="3"/>
        <charset val="134"/>
      </rPr>
      <t>估价对象周边道路状况、公共交通通达情况、停车便捷程度，综合评价交通便捷度较好</t>
    </r>
    <phoneticPr fontId="44" type="noConversion"/>
  </si>
  <si>
    <r>
      <rPr>
        <sz val="11"/>
        <color indexed="8"/>
        <rFont val="宋体"/>
        <family val="3"/>
        <charset val="134"/>
      </rPr>
      <t>办公集聚程度</t>
    </r>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</si>
  <si>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8" type="noConversion"/>
  </si>
  <si>
    <r>
      <rPr>
        <sz val="11"/>
        <color indexed="8"/>
        <rFont val="宋体"/>
        <family val="3"/>
        <charset val="134"/>
      </rPr>
      <t>公共配套设施</t>
    </r>
    <phoneticPr fontId="28" type="noConversion"/>
  </si>
  <si>
    <r>
      <rPr>
        <sz val="11"/>
        <color theme="9" tint="-0.249977111117893"/>
        <rFont val="宋体"/>
        <family val="3"/>
        <charset val="134"/>
      </rPr>
      <t>估价对象所在区域公共配套设施齐备情况</t>
    </r>
    <phoneticPr fontId="44"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</si>
  <si>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</si>
  <si>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</si>
  <si>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theme="9" tint="-0.249977111117893"/>
        <rFont val="宋体"/>
        <family val="3"/>
        <charset val="134"/>
      </rPr>
      <t>估价对象所在区域基础设施水平</t>
    </r>
    <phoneticPr fontId="28" type="noConversion"/>
  </si>
  <si>
    <r>
      <rPr>
        <sz val="11"/>
        <color indexed="8"/>
        <rFont val="宋体"/>
        <family val="3"/>
        <charset val="134"/>
      </rPr>
      <t>环境状况</t>
    </r>
    <phoneticPr fontId="32" type="noConversion"/>
  </si>
  <si>
    <r>
      <rPr>
        <sz val="11"/>
        <color theme="9" tint="-0.249977111117893"/>
        <rFont val="宋体"/>
        <family val="3"/>
        <charset val="134"/>
      </rPr>
      <t>该园区内是否有污染型企业，绿化情况，卫生条件，整体环境状况判断</t>
    </r>
    <phoneticPr fontId="4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</si>
  <si>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</si>
  <si>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4" type="noConversion"/>
  </si>
  <si>
    <r>
      <rPr>
        <sz val="11"/>
        <color indexed="8"/>
        <rFont val="宋体"/>
        <family val="3"/>
        <charset val="134"/>
      </rPr>
      <t>毗邻道路的类型与等级</t>
    </r>
    <phoneticPr fontId="32" type="noConversion"/>
  </si>
  <si>
    <r>
      <rPr>
        <b/>
        <sz val="14"/>
        <color indexed="10"/>
        <rFont val="宋体"/>
        <family val="3"/>
        <charset val="134"/>
      </rPr>
      <t>土地修正因素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</si>
  <si>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</si>
  <si>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</si>
  <si>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32" type="noConversion"/>
  </si>
  <si>
    <r>
      <rPr>
        <b/>
        <sz val="11"/>
        <color indexed="8"/>
        <rFont val="宋体"/>
        <family val="3"/>
        <charset val="134"/>
      </rPr>
      <t>区位状况</t>
    </r>
    <phoneticPr fontId="28" type="noConversion"/>
  </si>
  <si>
    <r>
      <rPr>
        <sz val="11"/>
        <color indexed="8"/>
        <rFont val="宋体"/>
        <family val="3"/>
        <charset val="134"/>
      </rPr>
      <t>产业集聚程度</t>
    </r>
    <phoneticPr fontId="32" type="noConversion"/>
  </si>
  <si>
    <r>
      <rPr>
        <sz val="11"/>
        <color indexed="8"/>
        <rFont val="宋体"/>
        <family val="3"/>
        <charset val="134"/>
      </rPr>
      <t>区域土地利用方向</t>
    </r>
    <phoneticPr fontId="32"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</si>
  <si>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</si>
  <si>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</si>
  <si>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8" type="noConversion"/>
  </si>
  <si>
    <r>
      <rPr>
        <sz val="11"/>
        <color indexed="8"/>
        <rFont val="宋体"/>
        <family val="3"/>
        <charset val="134"/>
      </rPr>
      <t>临街状况</t>
    </r>
  </si>
  <si>
    <r>
      <rPr>
        <sz val="11"/>
        <color indexed="8"/>
        <rFont val="宋体"/>
        <family val="3"/>
        <charset val="134"/>
      </rPr>
      <t>土地级别</t>
    </r>
    <phoneticPr fontId="32" type="noConversion"/>
  </si>
  <si>
    <r>
      <rPr>
        <sz val="11"/>
        <color indexed="8"/>
        <rFont val="宋体"/>
        <family val="3"/>
        <charset val="134"/>
      </rPr>
      <t>毗邻道路的类型与等级</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</si>
  <si>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</si>
  <si>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</si>
  <si>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</si>
  <si>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</si>
  <si>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</si>
  <si>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</si>
  <si>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</si>
  <si>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</si>
  <si>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</si>
  <si>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</si>
  <si>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</si>
  <si>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</si>
  <si>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</si>
  <si>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</si>
  <si>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</si>
  <si>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</si>
  <si>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</si>
  <si>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</si>
  <si>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</si>
  <si>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</si>
  <si>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</si>
  <si>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</si>
  <si>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</si>
  <si>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</si>
  <si>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</si>
  <si>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</si>
  <si>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</si>
  <si>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</si>
  <si>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</si>
  <si>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</si>
  <si>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</si>
  <si>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</si>
  <si>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</si>
  <si>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</si>
  <si>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</si>
  <si>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</si>
  <si>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</si>
  <si>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</si>
  <si>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</si>
  <si>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</si>
  <si>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</si>
  <si>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</si>
  <si>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</si>
  <si>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</si>
  <si>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总价</t>
    </r>
  </si>
  <si>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</si>
  <si>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5" type="noConversion"/>
  </si>
  <si>
    <r>
      <rPr>
        <sz val="11"/>
        <color indexed="8"/>
        <rFont val="宋体"/>
        <family val="3"/>
        <charset val="134"/>
      </rPr>
      <t>土地价值</t>
    </r>
    <phoneticPr fontId="11" type="noConversion"/>
  </si>
  <si>
    <r>
      <rPr>
        <sz val="10"/>
        <color indexed="8"/>
        <rFont val="宋体"/>
        <family val="3"/>
        <charset val="134"/>
      </rPr>
      <t>土地价值</t>
    </r>
    <phoneticPr fontId="95" type="noConversion"/>
  </si>
  <si>
    <r>
      <rPr>
        <sz val="11"/>
        <color indexed="8"/>
        <rFont val="宋体"/>
        <family val="3"/>
        <charset val="134"/>
      </rPr>
      <t>建筑物价值</t>
    </r>
    <phoneticPr fontId="11" type="noConversion"/>
  </si>
  <si>
    <r>
      <rPr>
        <sz val="10"/>
        <color indexed="8"/>
        <rFont val="宋体"/>
        <family val="3"/>
        <charset val="134"/>
      </rPr>
      <t>建筑物价值</t>
    </r>
    <phoneticPr fontId="95"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</si>
  <si>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</si>
  <si>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</si>
  <si>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</si>
  <si>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</si>
  <si>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</si>
  <si>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</si>
  <si>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</si>
  <si>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</si>
  <si>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</si>
  <si>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</si>
  <si>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</si>
  <si>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</si>
  <si>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</si>
  <si>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</si>
  <si>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</si>
  <si>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</si>
  <si>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</si>
  <si>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</si>
  <si>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</si>
  <si>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</si>
  <si>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</si>
  <si>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</si>
  <si>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</si>
  <si>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</si>
  <si>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</si>
  <si>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</si>
  <si>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</si>
  <si>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</si>
  <si>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</si>
  <si>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</si>
  <si>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</si>
  <si>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</si>
  <si>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</si>
  <si>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</si>
  <si>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</si>
  <si>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</si>
  <si>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</si>
  <si>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</si>
  <si>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</si>
  <si>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</si>
  <si>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</si>
  <si>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</si>
  <si>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</si>
  <si>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</si>
  <si>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</si>
  <si>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</si>
  <si>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</si>
  <si>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</si>
  <si>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</si>
  <si>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</si>
  <si>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</si>
  <si>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</si>
  <si>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</si>
  <si>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</si>
  <si>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rPr>
        <sz val="10"/>
        <color indexed="8"/>
        <rFont val="宋体"/>
        <family val="3"/>
        <charset val="134"/>
      </rPr>
      <t>正常</t>
    </r>
  </si>
  <si>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</si>
  <si>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</si>
  <si>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</si>
  <si>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</si>
  <si>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</si>
  <si>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</si>
  <si>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</si>
  <si>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</si>
  <si>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</si>
  <si>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1" type="noConversion"/>
  </si>
  <si>
    <r>
      <rPr>
        <sz val="10"/>
        <color indexed="8"/>
        <rFont val="宋体"/>
        <family val="3"/>
        <charset val="134"/>
      </rPr>
      <t>非个人房产</t>
    </r>
  </si>
  <si>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</si>
  <si>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</si>
  <si>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</si>
  <si>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</si>
  <si>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</si>
  <si>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</si>
  <si>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</si>
  <si>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</si>
  <si>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</si>
  <si>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</si>
  <si>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</si>
  <si>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</si>
  <si>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</si>
  <si>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</si>
  <si>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</si>
  <si>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</si>
  <si>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</si>
  <si>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</si>
  <si>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</si>
  <si>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</si>
  <si>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</si>
  <si>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</si>
  <si>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</si>
  <si>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</si>
  <si>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</si>
  <si>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</si>
  <si>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</si>
  <si>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</si>
  <si>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买卖合同</t>
    </r>
  </si>
  <si>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</si>
  <si>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</si>
  <si>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</si>
  <si>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</si>
  <si>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</si>
  <si>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</si>
  <si>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</si>
  <si>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</si>
  <si>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</si>
  <si>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</si>
  <si>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</si>
  <si>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</si>
  <si>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</si>
  <si>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</si>
  <si>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</si>
  <si>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</si>
  <si>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</si>
  <si>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</si>
  <si>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</si>
  <si>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</si>
  <si>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</si>
  <si>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</si>
  <si>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</si>
  <si>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</si>
  <si>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</si>
  <si>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</si>
  <si>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</si>
  <si>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</si>
  <si>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</si>
  <si>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</si>
  <si>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</si>
  <si>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</si>
  <si>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</si>
  <si>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</si>
  <si>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</si>
  <si>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</si>
  <si>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</si>
  <si>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</si>
  <si>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</si>
  <si>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</si>
  <si>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</si>
  <si>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</si>
  <si>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</si>
  <si>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</si>
  <si>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</si>
  <si>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</si>
  <si>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</si>
  <si>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</si>
  <si>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</si>
  <si>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</si>
  <si>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</si>
  <si>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</si>
  <si>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</si>
  <si>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</si>
  <si>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</si>
  <si>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</si>
  <si>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</si>
  <si>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</si>
  <si>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</si>
  <si>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</si>
  <si>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</si>
  <si>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</si>
  <si>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</si>
  <si>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</si>
  <si>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</si>
  <si>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</si>
  <si>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</si>
  <si>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</si>
  <si>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</si>
  <si>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</si>
  <si>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</si>
  <si>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</si>
  <si>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</si>
  <si>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</si>
  <si>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</si>
  <si>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</si>
  <si>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</si>
  <si>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</si>
  <si>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6"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</si>
  <si>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</si>
  <si>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</si>
  <si>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</si>
  <si>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</si>
  <si>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</si>
  <si>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</si>
  <si>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</si>
  <si>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</si>
  <si>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</si>
  <si>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</si>
  <si>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</si>
  <si>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</si>
  <si>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</si>
  <si>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</si>
  <si>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</si>
  <si>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</si>
  <si>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</si>
  <si>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</si>
  <si>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</si>
  <si>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</si>
  <si>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</si>
  <si>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</si>
  <si>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</si>
  <si>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</si>
  <si>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</si>
  <si>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</si>
  <si>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</si>
  <si>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</si>
  <si>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</si>
  <si>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</si>
  <si>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</si>
  <si>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</si>
  <si>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</si>
  <si>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</si>
  <si>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</si>
  <si>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</si>
  <si>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</si>
  <si>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</si>
  <si>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</si>
  <si>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</si>
  <si>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</si>
  <si>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</si>
  <si>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</si>
  <si>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</si>
  <si>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</si>
  <si>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</si>
  <si>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</si>
  <si>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</si>
  <si>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</si>
  <si>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</si>
  <si>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</si>
  <si>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</si>
  <si>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</si>
  <si>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</si>
  <si>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</si>
  <si>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</si>
  <si>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</si>
  <si>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</si>
  <si>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</si>
  <si>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</si>
  <si>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</si>
  <si>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</si>
  <si>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</si>
  <si>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</si>
  <si>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</si>
  <si>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</si>
  <si>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</si>
  <si>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</si>
  <si>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</si>
  <si>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</si>
  <si>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</si>
  <si>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</si>
  <si>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</si>
  <si>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</si>
  <si>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</si>
  <si>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</si>
  <si>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</si>
  <si>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</si>
  <si>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</si>
  <si>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</si>
  <si>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</si>
  <si>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</si>
  <si>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</si>
  <si>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6"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</si>
  <si>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</si>
  <si>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</si>
  <si>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</si>
  <si>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</si>
  <si>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</si>
  <si>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</si>
  <si>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</si>
  <si>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</si>
  <si>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</si>
  <si>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</si>
  <si>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</si>
  <si>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</si>
  <si>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</si>
  <si>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</si>
  <si>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</si>
  <si>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</si>
  <si>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</si>
  <si>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</si>
  <si>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</si>
  <si>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</si>
  <si>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</si>
  <si>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</si>
  <si>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</si>
  <si>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</si>
  <si>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</si>
  <si>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</si>
  <si>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</si>
  <si>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</si>
  <si>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</si>
  <si>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</si>
  <si>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</si>
  <si>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</si>
  <si>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</si>
  <si>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</si>
  <si>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</si>
  <si>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</si>
  <si>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</si>
  <si>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</si>
  <si>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</si>
  <si>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</si>
  <si>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</si>
  <si>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</si>
  <si>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</si>
  <si>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</si>
  <si>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</si>
  <si>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</si>
  <si>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</si>
  <si>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</si>
  <si>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</si>
  <si>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</si>
  <si>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</si>
  <si>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</si>
  <si>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</si>
  <si>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</si>
  <si>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</si>
  <si>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</si>
  <si>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</si>
  <si>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</si>
  <si>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</si>
  <si>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</si>
  <si>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</si>
  <si>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</si>
  <si>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</si>
  <si>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</si>
  <si>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</si>
  <si>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</si>
  <si>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</si>
  <si>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</si>
  <si>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</si>
  <si>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</si>
  <si>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</si>
  <si>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</si>
  <si>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</si>
  <si>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</si>
  <si>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</si>
  <si>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</si>
  <si>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</si>
  <si>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</si>
  <si>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</si>
  <si>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</si>
  <si>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</si>
  <si>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</si>
  <si>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</si>
  <si>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</si>
  <si>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</si>
  <si>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</si>
  <si>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</si>
  <si>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</si>
  <si>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</si>
  <si>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</si>
  <si>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</si>
  <si>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6" type="noConversion"/>
  </si>
  <si>
    <r>
      <rPr>
        <b/>
        <sz val="11"/>
        <color theme="1"/>
        <rFont val="宋体"/>
        <family val="3"/>
        <charset val="134"/>
      </rPr>
      <t>本次评估所采用的收益法</t>
    </r>
    <phoneticPr fontId="146" type="noConversion"/>
  </si>
  <si>
    <r>
      <rPr>
        <b/>
        <sz val="11"/>
        <color theme="1"/>
        <rFont val="宋体"/>
        <family val="3"/>
        <charset val="134"/>
      </rPr>
      <t>估价结果</t>
    </r>
    <phoneticPr fontId="146" type="noConversion"/>
  </si>
  <si>
    <r>
      <rPr>
        <b/>
        <sz val="11"/>
        <color theme="1"/>
        <rFont val="宋体"/>
        <family val="3"/>
        <charset val="134"/>
      </rPr>
      <t>建筑面积</t>
    </r>
    <phoneticPr fontId="146" type="noConversion"/>
  </si>
  <si>
    <r>
      <rPr>
        <sz val="11"/>
        <color theme="1"/>
        <rFont val="宋体"/>
        <family val="3"/>
        <charset val="134"/>
      </rPr>
      <t>是否参与计算</t>
    </r>
    <phoneticPr fontId="146"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</si>
  <si>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</si>
  <si>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</si>
  <si>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</si>
  <si>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</si>
  <si>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</si>
  <si>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</si>
  <si>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</si>
  <si>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</si>
  <si>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</si>
  <si>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</si>
  <si>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</si>
  <si>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</si>
  <si>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</si>
  <si>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</si>
  <si>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</si>
  <si>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</si>
  <si>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</si>
  <si>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</si>
  <si>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</si>
  <si>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</si>
  <si>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</si>
  <si>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</si>
  <si>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</si>
  <si>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</si>
  <si>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</si>
  <si>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</si>
  <si>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</si>
  <si>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</si>
  <si>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</si>
  <si>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</si>
  <si>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</si>
  <si>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</si>
  <si>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</si>
  <si>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</si>
  <si>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</si>
  <si>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</si>
  <si>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</si>
  <si>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</si>
  <si>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</si>
  <si>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</si>
  <si>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</si>
  <si>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</si>
  <si>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</si>
  <si>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</si>
  <si>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</si>
  <si>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</si>
  <si>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</si>
  <si>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</si>
  <si>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</si>
  <si>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</si>
  <si>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</si>
  <si>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</si>
  <si>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</si>
  <si>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</si>
  <si>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</si>
  <si>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</si>
  <si>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</si>
  <si>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</si>
  <si>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</si>
  <si>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</si>
  <si>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</si>
  <si>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</si>
  <si>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</si>
  <si>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</si>
  <si>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</si>
  <si>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</si>
  <si>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</si>
  <si>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</si>
  <si>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</si>
  <si>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</si>
  <si>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</si>
  <si>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</si>
  <si>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</si>
  <si>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</si>
  <si>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</si>
  <si>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</si>
  <si>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</si>
  <si>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</si>
  <si>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</si>
  <si>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</si>
  <si>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</si>
  <si>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</si>
  <si>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</si>
  <si>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</si>
  <si>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</si>
  <si>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</si>
  <si>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</si>
  <si>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</si>
  <si>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</si>
  <si>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</si>
  <si>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</si>
  <si>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</si>
  <si>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</si>
  <si>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</si>
  <si>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</si>
  <si>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</si>
  <si>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</si>
  <si>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</si>
  <si>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</si>
  <si>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</si>
  <si>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</si>
  <si>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</si>
  <si>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</si>
  <si>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</si>
  <si>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</si>
  <si>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</si>
  <si>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</si>
  <si>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</si>
  <si>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</si>
  <si>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</si>
  <si>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</si>
  <si>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</si>
  <si>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</si>
  <si>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</si>
  <si>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</si>
  <si>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</si>
  <si>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</si>
  <si>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</si>
  <si>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</si>
  <si>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</si>
  <si>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</si>
  <si>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</si>
  <si>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</si>
  <si>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</si>
  <si>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</si>
  <si>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</si>
  <si>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</si>
  <si>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</si>
  <si>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</si>
  <si>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</si>
  <si>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</si>
  <si>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</si>
  <si>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</si>
  <si>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</si>
  <si>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</si>
  <si>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</si>
  <si>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</si>
  <si>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</si>
  <si>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</si>
  <si>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</si>
  <si>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</si>
  <si>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color indexed="8"/>
        <rFont val="宋体"/>
        <family val="3"/>
        <charset val="134"/>
      </rPr>
      <t>单套建筑面积</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</si>
  <si>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</si>
  <si>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</si>
  <si>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</si>
  <si>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</si>
  <si>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</si>
  <si>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</si>
  <si>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</si>
  <si>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</si>
  <si>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</si>
  <si>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</si>
  <si>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</si>
  <si>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</si>
  <si>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</si>
  <si>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</si>
  <si>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</si>
  <si>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</si>
  <si>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</si>
  <si>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</si>
  <si>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</si>
  <si>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</si>
  <si>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</si>
  <si>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</si>
  <si>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</si>
  <si>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</si>
  <si>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</si>
  <si>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</si>
  <si>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</si>
  <si>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</si>
  <si>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</si>
  <si>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</si>
  <si>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</si>
  <si>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</si>
  <si>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</si>
  <si>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</si>
  <si>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</si>
  <si>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</si>
  <si>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</si>
  <si>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</si>
  <si>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</si>
  <si>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</si>
  <si>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</si>
  <si>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</si>
  <si>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</si>
  <si>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</si>
  <si>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</si>
  <si>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</si>
  <si>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</si>
  <si>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</si>
  <si>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</si>
  <si>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</si>
  <si>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</si>
  <si>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</si>
  <si>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</si>
  <si>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</si>
  <si>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</si>
  <si>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</si>
  <si>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</si>
  <si>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</si>
  <si>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</si>
  <si>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</si>
  <si>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</si>
  <si>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</si>
  <si>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</si>
  <si>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</si>
  <si>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</si>
  <si>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</si>
  <si>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</si>
  <si>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</si>
  <si>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</si>
  <si>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</si>
  <si>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</si>
  <si>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</si>
  <si>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</si>
  <si>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</si>
  <si>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</si>
  <si>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</si>
  <si>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</si>
  <si>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</si>
  <si>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</si>
  <si>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</si>
  <si>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</si>
  <si>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</si>
  <si>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</si>
  <si>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</si>
  <si>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</si>
  <si>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</si>
  <si>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</si>
  <si>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</si>
  <si>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</si>
  <si>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</si>
  <si>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</si>
  <si>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</si>
  <si>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</si>
  <si>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</si>
  <si>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</si>
  <si>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</si>
  <si>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</si>
  <si>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</si>
  <si>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</si>
  <si>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</si>
  <si>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</si>
  <si>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</si>
  <si>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</si>
  <si>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</si>
  <si>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</si>
  <si>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地下商业（</t>
    </r>
    <r>
      <rPr>
        <sz val="10"/>
        <rFont val="Arial"/>
        <family val="2"/>
      </rPr>
      <t>-4</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</si>
  <si>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</si>
  <si>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</si>
  <si>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</si>
  <si>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</si>
  <si>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</si>
  <si>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</si>
  <si>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</si>
  <si>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</si>
  <si>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</si>
  <si>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</si>
  <si>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</si>
  <si>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</si>
  <si>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</si>
  <si>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</si>
  <si>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</si>
  <si>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</si>
  <si>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</si>
  <si>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</si>
  <si>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</si>
  <si>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</si>
  <si>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</si>
  <si>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</si>
  <si>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</si>
  <si>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</si>
  <si>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</si>
  <si>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</si>
  <si>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</si>
  <si>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</si>
  <si>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</si>
  <si>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</si>
  <si>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</si>
  <si>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</si>
  <si>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2"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</si>
  <si>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</si>
  <si>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</si>
  <si>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</si>
  <si>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</si>
  <si>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</si>
  <si>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</si>
  <si>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</si>
  <si>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</si>
  <si>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</si>
  <si>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</si>
  <si>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</si>
  <si>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</si>
  <si>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</si>
  <si>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</si>
  <si>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</si>
  <si>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</si>
  <si>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</si>
  <si>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</si>
  <si>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</si>
  <si>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</si>
  <si>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</si>
  <si>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2"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</si>
  <si>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</si>
  <si>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</si>
  <si>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</si>
  <si>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</si>
  <si>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</si>
  <si>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</si>
  <si>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</si>
  <si>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</si>
  <si>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</si>
  <si>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</si>
  <si>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</si>
  <si>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</si>
  <si>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</si>
  <si>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</si>
  <si>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</si>
  <si>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</si>
  <si>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</si>
  <si>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</si>
  <si>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</si>
  <si>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</si>
  <si>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</si>
  <si>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</si>
  <si>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</si>
  <si>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</si>
  <si>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</si>
  <si>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</si>
  <si>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</si>
  <si>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</si>
  <si>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</si>
  <si>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</si>
  <si>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</si>
  <si>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</si>
  <si>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</si>
  <si>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</si>
  <si>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</si>
  <si>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</si>
  <si>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</si>
  <si>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2"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</si>
  <si>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</si>
  <si>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</si>
  <si>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</si>
  <si>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</si>
  <si>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</si>
  <si>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</si>
  <si>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</si>
  <si>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</si>
  <si>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</si>
  <si>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2"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</si>
  <si>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</si>
  <si>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</si>
  <si>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</si>
  <si>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</si>
  <si>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</si>
  <si>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</si>
  <si>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2"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</si>
  <si>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</si>
  <si>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</si>
  <si>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</si>
  <si>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</si>
  <si>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</si>
  <si>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</si>
  <si>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</si>
  <si>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</si>
  <si>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</si>
  <si>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</si>
  <si>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基准日地价指数</t>
    </r>
    <phoneticPr fontId="82" type="noConversion"/>
  </si>
  <si>
    <r>
      <rPr>
        <sz val="10"/>
        <rFont val="宋体"/>
        <family val="3"/>
        <charset val="134"/>
      </rPr>
      <t>相差季度数</t>
    </r>
    <phoneticPr fontId="82"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</si>
  <si>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</si>
  <si>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</si>
  <si>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</si>
  <si>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2"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</si>
  <si>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</si>
  <si>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</si>
  <si>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</si>
  <si>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</si>
  <si>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2"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</si>
  <si>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</si>
  <si>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</si>
  <si>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</si>
  <si>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2"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</si>
  <si>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</si>
  <si>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</si>
  <si>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</si>
  <si>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</si>
  <si>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</si>
  <si>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</si>
  <si>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2" type="noConversion"/>
  </si>
  <si>
    <r>
      <rPr>
        <sz val="11"/>
        <rFont val="宋体"/>
        <family val="3"/>
        <charset val="134"/>
      </rPr>
      <t>政府土地出让收益</t>
    </r>
    <phoneticPr fontId="82"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</si>
  <si>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</si>
  <si>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</si>
  <si>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</si>
  <si>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</si>
  <si>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</si>
  <si>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</si>
  <si>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</si>
  <si>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</si>
  <si>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</si>
  <si>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</si>
  <si>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2" type="noConversion"/>
  </si>
  <si>
    <r>
      <rPr>
        <sz val="10"/>
        <rFont val="宋体"/>
        <family val="3"/>
        <charset val="134"/>
      </rPr>
      <t>相应用途地下空间修正系数</t>
    </r>
  </si>
  <si>
    <r>
      <rPr>
        <b/>
        <sz val="10"/>
        <color rgb="FFFF0000"/>
        <rFont val="宋体"/>
        <family val="3"/>
        <charset val="134"/>
      </rPr>
      <t>地下商业不考虑路线价修正</t>
    </r>
    <phoneticPr fontId="82"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</si>
  <si>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</si>
  <si>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</si>
  <si>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</si>
  <si>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</si>
  <si>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</si>
  <si>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2"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</si>
  <si>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</si>
  <si>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</si>
  <si>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</si>
  <si>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</si>
  <si>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</si>
  <si>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</si>
  <si>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</si>
  <si>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</si>
  <si>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</si>
  <si>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</si>
  <si>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2" type="noConversion"/>
  </si>
  <si>
    <r>
      <rPr>
        <sz val="10"/>
        <color rgb="FFFF0000"/>
        <rFont val="宋体"/>
        <family val="3"/>
        <charset val="134"/>
      </rPr>
      <t>各因素幅度控制</t>
    </r>
    <r>
      <rPr>
        <sz val="10"/>
        <color rgb="FFFF0000"/>
        <rFont val="Arial"/>
        <family val="2"/>
      </rPr>
      <t>(±)</t>
    </r>
    <phoneticPr fontId="82"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</si>
  <si>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</si>
  <si>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</si>
  <si>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</si>
  <si>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</si>
  <si>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</si>
  <si>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2"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</si>
  <si>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</si>
  <si>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</si>
  <si>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2"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</si>
  <si>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</si>
  <si>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</si>
  <si>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</si>
  <si>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</si>
  <si>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2"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</si>
  <si>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</si>
  <si>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</si>
  <si>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</si>
  <si>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</si>
  <si>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</si>
  <si>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</si>
  <si>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</si>
  <si>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</si>
  <si>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</si>
  <si>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</si>
  <si>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</si>
  <si>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</si>
  <si>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</si>
  <si>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</si>
  <si>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</si>
  <si>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</si>
  <si>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</si>
  <si>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</si>
  <si>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</si>
  <si>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</si>
  <si>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</si>
  <si>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</si>
  <si>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</si>
  <si>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</si>
  <si>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</si>
  <si>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</si>
  <si>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</si>
  <si>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</si>
  <si>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</si>
  <si>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</si>
  <si>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</si>
  <si>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</si>
  <si>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</si>
  <si>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</si>
  <si>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</si>
  <si>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</si>
  <si>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</si>
  <si>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</si>
  <si>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</si>
  <si>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</si>
  <si>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</si>
  <si>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</si>
  <si>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</si>
  <si>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</si>
  <si>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</si>
  <si>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</si>
  <si>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</si>
  <si>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</si>
  <si>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</si>
  <si>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</si>
  <si>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</si>
  <si>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</si>
  <si>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</si>
  <si>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</si>
  <si>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</si>
  <si>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</si>
  <si>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b/>
        <sz val="10"/>
        <rFont val="宋体"/>
        <family val="3"/>
        <charset val="134"/>
      </rPr>
      <t>需扣减承租人权益</t>
    </r>
  </si>
  <si>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</si>
  <si>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</si>
  <si>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</si>
  <si>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</si>
  <si>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</si>
  <si>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</si>
  <si>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</si>
  <si>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</si>
  <si>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b/>
        <sz val="10"/>
        <color indexed="10"/>
        <rFont val="宋体"/>
        <family val="3"/>
        <charset val="134"/>
      </rPr>
      <t>基准户型</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</si>
  <si>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</si>
  <si>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</si>
  <si>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</si>
  <si>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</si>
  <si>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</si>
  <si>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</si>
  <si>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</si>
  <si>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</si>
  <si>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2018-1</t>
    <phoneticPr fontId="6" type="noConversion"/>
  </si>
  <si>
    <t>本行不参与计算</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</si>
  <si>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</si>
  <si>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</si>
  <si>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</si>
  <si>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押金×一年期存款利率</t>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</si>
  <si>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</si>
  <si>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2018-2</t>
    <phoneticPr fontId="6" type="noConversion"/>
  </si>
  <si>
    <t>2018-3</t>
    <phoneticPr fontId="6" type="noConversion"/>
  </si>
  <si>
    <t>苏海</t>
    <phoneticPr fontId="6" type="noConversion"/>
  </si>
  <si>
    <t>杨红英</t>
    <phoneticPr fontId="6" type="noConversion"/>
  </si>
  <si>
    <t>刘梅</t>
    <phoneticPr fontId="6" type="noConversion"/>
  </si>
  <si>
    <t>张津夷</t>
    <phoneticPr fontId="6" type="noConversion"/>
  </si>
  <si>
    <t>地下车库及仓储年期修正</t>
    <phoneticPr fontId="6" type="noConversion"/>
  </si>
  <si>
    <t>2018-4</t>
    <phoneticPr fontId="6" type="noConversion"/>
  </si>
  <si>
    <t>2019-2</t>
    <phoneticPr fontId="146" type="noConversion"/>
  </si>
  <si>
    <t>2019-1</t>
    <phoneticPr fontId="6" type="noConversion"/>
  </si>
  <si>
    <t>级别开发程度</t>
    <phoneticPr fontId="6" type="noConversion"/>
  </si>
  <si>
    <t>是</t>
  </si>
  <si>
    <t>按租金收入计税</t>
  </si>
  <si>
    <t>自定义</t>
  </si>
  <si>
    <t>郑燚</t>
  </si>
  <si>
    <t>王鹏</t>
  </si>
  <si>
    <t>通路</t>
  </si>
  <si>
    <t>通电</t>
  </si>
  <si>
    <t>通讯</t>
  </si>
  <si>
    <t>通上水</t>
  </si>
  <si>
    <t>通下水</t>
  </si>
  <si>
    <t>燃气</t>
  </si>
  <si>
    <t>通热</t>
  </si>
  <si>
    <t>现房</t>
  </si>
  <si>
    <t>综合项目（商业、办公）</t>
  </si>
  <si>
    <t>土地证</t>
    <phoneticPr fontId="146" type="noConversion"/>
  </si>
  <si>
    <t>土地使用权人</t>
    <phoneticPr fontId="146" type="noConversion"/>
  </si>
  <si>
    <t>坐落</t>
    <phoneticPr fontId="146" type="noConversion"/>
  </si>
  <si>
    <t>土地面积</t>
    <phoneticPr fontId="146" type="noConversion"/>
  </si>
  <si>
    <t>地号</t>
    <phoneticPr fontId="146" type="noConversion"/>
  </si>
  <si>
    <t>图号</t>
    <phoneticPr fontId="146" type="noConversion"/>
  </si>
  <si>
    <t>地类（用途）</t>
    <phoneticPr fontId="146" type="noConversion"/>
  </si>
  <si>
    <t>终止日期</t>
    <phoneticPr fontId="146" type="noConversion"/>
  </si>
  <si>
    <t>京朝国用（2011出）第00052号</t>
    <phoneticPr fontId="146" type="noConversion"/>
  </si>
  <si>
    <t>北京尚博地投资顾问有限公司</t>
    <phoneticPr fontId="146" type="noConversion"/>
  </si>
  <si>
    <t>朝阳区建国门外郎家园6号</t>
    <phoneticPr fontId="146" type="noConversion"/>
  </si>
  <si>
    <t>50102100013000000</t>
    <phoneticPr fontId="146" type="noConversion"/>
  </si>
  <si>
    <t>I-2-2-100（4）</t>
    <phoneticPr fontId="146" type="noConversion"/>
  </si>
  <si>
    <t>工业</t>
    <phoneticPr fontId="146" type="noConversion"/>
  </si>
  <si>
    <t>房产证</t>
    <phoneticPr fontId="146" type="noConversion"/>
  </si>
  <si>
    <t>房屋所有权人</t>
    <phoneticPr fontId="146" type="noConversion"/>
  </si>
  <si>
    <t>房屋坐落</t>
    <phoneticPr fontId="146" type="noConversion"/>
  </si>
  <si>
    <t>房屋登记表</t>
    <phoneticPr fontId="146" type="noConversion"/>
  </si>
  <si>
    <t>现状</t>
    <phoneticPr fontId="146" type="noConversion"/>
  </si>
  <si>
    <t>楼号或幢号</t>
    <phoneticPr fontId="146" type="noConversion"/>
  </si>
  <si>
    <t>房屋总层数</t>
    <phoneticPr fontId="146" type="noConversion"/>
  </si>
  <si>
    <t>所在层数</t>
    <phoneticPr fontId="146" type="noConversion"/>
  </si>
  <si>
    <t>结构</t>
    <phoneticPr fontId="146" type="noConversion"/>
  </si>
  <si>
    <t>建筑面积</t>
    <phoneticPr fontId="146" type="noConversion"/>
  </si>
  <si>
    <t>规划用途</t>
    <phoneticPr fontId="146" type="noConversion"/>
  </si>
  <si>
    <t>房号</t>
    <phoneticPr fontId="146" type="noConversion"/>
  </si>
  <si>
    <t>X京房权证朝字第956028号</t>
    <phoneticPr fontId="146" type="noConversion"/>
  </si>
  <si>
    <t>北京尚博地投资顾问有限公司</t>
    <phoneticPr fontId="146" type="noConversion"/>
  </si>
  <si>
    <t>朝阳区郎家园6号[3-3]10幢等17幢</t>
    <phoneticPr fontId="146" type="noConversion"/>
  </si>
  <si>
    <t>1幢</t>
    <phoneticPr fontId="146" type="noConversion"/>
  </si>
  <si>
    <t>01</t>
    <phoneticPr fontId="146" type="noConversion"/>
  </si>
  <si>
    <t>1</t>
    <phoneticPr fontId="146" type="noConversion"/>
  </si>
  <si>
    <t>砖木</t>
    <phoneticPr fontId="146" type="noConversion"/>
  </si>
  <si>
    <t>16#</t>
    <phoneticPr fontId="146" type="noConversion"/>
  </si>
  <si>
    <t>50年代</t>
    <phoneticPr fontId="146" type="noConversion"/>
  </si>
  <si>
    <t>2幢</t>
  </si>
  <si>
    <t>01</t>
    <phoneticPr fontId="146" type="noConversion"/>
  </si>
  <si>
    <t>1</t>
    <phoneticPr fontId="146" type="noConversion"/>
  </si>
  <si>
    <t>砖木</t>
    <phoneticPr fontId="146" type="noConversion"/>
  </si>
  <si>
    <t>厕所</t>
    <phoneticPr fontId="146" type="noConversion"/>
  </si>
  <si>
    <t>50年代</t>
    <phoneticPr fontId="146" type="noConversion"/>
  </si>
  <si>
    <t>3幢</t>
  </si>
  <si>
    <t>04</t>
    <phoneticPr fontId="146" type="noConversion"/>
  </si>
  <si>
    <t>1-4</t>
    <phoneticPr fontId="146" type="noConversion"/>
  </si>
  <si>
    <t>混合</t>
    <phoneticPr fontId="146" type="noConversion"/>
  </si>
  <si>
    <t>车间</t>
    <phoneticPr fontId="146" type="noConversion"/>
  </si>
  <si>
    <t>11#</t>
    <phoneticPr fontId="146" type="noConversion"/>
  </si>
  <si>
    <t>90年代</t>
    <phoneticPr fontId="146" type="noConversion"/>
  </si>
  <si>
    <t>4幢</t>
  </si>
  <si>
    <t>03</t>
    <phoneticPr fontId="146" type="noConversion"/>
  </si>
  <si>
    <t>1-3</t>
    <phoneticPr fontId="146" type="noConversion"/>
  </si>
  <si>
    <t>10#</t>
    <phoneticPr fontId="146" type="noConversion"/>
  </si>
  <si>
    <t>60年代</t>
    <phoneticPr fontId="146" type="noConversion"/>
  </si>
  <si>
    <t>5幢</t>
  </si>
  <si>
    <t>02</t>
    <phoneticPr fontId="146" type="noConversion"/>
  </si>
  <si>
    <t>1-2</t>
    <phoneticPr fontId="146" type="noConversion"/>
  </si>
  <si>
    <t>钢混</t>
    <phoneticPr fontId="146" type="noConversion"/>
  </si>
  <si>
    <t>8#</t>
    <phoneticPr fontId="146" type="noConversion"/>
  </si>
  <si>
    <t>6幢</t>
  </si>
  <si>
    <t>6#、7#</t>
    <phoneticPr fontId="146" type="noConversion"/>
  </si>
  <si>
    <t>70年代</t>
    <phoneticPr fontId="146" type="noConversion"/>
  </si>
  <si>
    <t>7幢</t>
  </si>
  <si>
    <t>05（-01）</t>
    <phoneticPr fontId="146" type="noConversion"/>
  </si>
  <si>
    <t>-1-5</t>
    <phoneticPr fontId="146" type="noConversion"/>
  </si>
  <si>
    <t>3#</t>
    <phoneticPr fontId="146" type="noConversion"/>
  </si>
  <si>
    <t>80年代</t>
    <phoneticPr fontId="146" type="noConversion"/>
  </si>
  <si>
    <t>没变</t>
    <phoneticPr fontId="146" type="noConversion"/>
  </si>
  <si>
    <t>8幢</t>
  </si>
  <si>
    <t>08</t>
    <phoneticPr fontId="146" type="noConversion"/>
  </si>
  <si>
    <t>1-8</t>
    <phoneticPr fontId="146" type="noConversion"/>
  </si>
  <si>
    <t>2#</t>
    <phoneticPr fontId="146" type="noConversion"/>
  </si>
  <si>
    <t>9幢</t>
  </si>
  <si>
    <t>——</t>
    <phoneticPr fontId="146" type="noConversion"/>
  </si>
  <si>
    <t>10幢</t>
  </si>
  <si>
    <t>11幢</t>
  </si>
  <si>
    <t>02</t>
    <phoneticPr fontId="146" type="noConversion"/>
  </si>
  <si>
    <t>1-2</t>
    <phoneticPr fontId="146" type="noConversion"/>
  </si>
  <si>
    <t>混合</t>
    <phoneticPr fontId="146" type="noConversion"/>
  </si>
  <si>
    <t>——</t>
    <phoneticPr fontId="146" type="noConversion"/>
  </si>
  <si>
    <t>12幢</t>
  </si>
  <si>
    <t>1#</t>
    <phoneticPr fontId="146" type="noConversion"/>
  </si>
  <si>
    <t>70年代</t>
    <phoneticPr fontId="146" type="noConversion"/>
  </si>
  <si>
    <t>13幢</t>
  </si>
  <si>
    <t>储藏</t>
    <phoneticPr fontId="146" type="noConversion"/>
  </si>
  <si>
    <t>14幢</t>
  </si>
  <si>
    <t>5#</t>
    <phoneticPr fontId="146" type="noConversion"/>
  </si>
  <si>
    <t>15幢</t>
  </si>
  <si>
    <t>03</t>
    <phoneticPr fontId="146" type="noConversion"/>
  </si>
  <si>
    <t>1-3</t>
    <phoneticPr fontId="146" type="noConversion"/>
  </si>
  <si>
    <t>9#</t>
    <phoneticPr fontId="146" type="noConversion"/>
  </si>
  <si>
    <t>没变</t>
    <phoneticPr fontId="146" type="noConversion"/>
  </si>
  <si>
    <t>16幢</t>
  </si>
  <si>
    <t>03（-01）</t>
    <phoneticPr fontId="146" type="noConversion"/>
  </si>
  <si>
    <t>-1-3</t>
    <phoneticPr fontId="146" type="noConversion"/>
  </si>
  <si>
    <t>12#</t>
    <phoneticPr fontId="146" type="noConversion"/>
  </si>
  <si>
    <t>17幢</t>
  </si>
  <si>
    <t>15#</t>
    <phoneticPr fontId="146" type="noConversion"/>
  </si>
  <si>
    <t>60年代</t>
    <phoneticPr fontId="146" type="noConversion"/>
  </si>
  <si>
    <t>合计</t>
    <phoneticPr fontId="146" type="noConversion"/>
  </si>
  <si>
    <t>地上</t>
  </si>
  <si>
    <t>出让</t>
  </si>
  <si>
    <t>企业</t>
  </si>
  <si>
    <t>北京市</t>
  </si>
  <si>
    <t>北京农商银行股份有限公司东城支行</t>
    <phoneticPr fontId="9" type="noConversion"/>
  </si>
  <si>
    <t>抵押</t>
  </si>
  <si>
    <t>房地产抵押价值</t>
  </si>
  <si>
    <t>工业</t>
    <phoneticPr fontId="10" type="noConversion"/>
  </si>
  <si>
    <t>成新度</t>
  </si>
  <si>
    <t>收益法</t>
  </si>
  <si>
    <t>工业用地</t>
  </si>
  <si>
    <t>平整</t>
  </si>
  <si>
    <t>与级别开发程度一致</t>
  </si>
  <si>
    <t>容积率修正</t>
  </si>
  <si>
    <t>较差</t>
  </si>
  <si>
    <t>较好</t>
  </si>
  <si>
    <t>一般</t>
  </si>
  <si>
    <t>按公示增长率计算</t>
  </si>
  <si>
    <t>未包含在土地购买价格中</t>
  </si>
  <si>
    <t>已包含在土地取得成本中</t>
  </si>
  <si>
    <t>砖混</t>
  </si>
  <si>
    <t>生产用房</t>
  </si>
  <si>
    <t>直线</t>
    <phoneticPr fontId="6" type="noConversion"/>
  </si>
  <si>
    <t>成本法</t>
  </si>
  <si>
    <t>项目全部</t>
  </si>
  <si>
    <t>成本比率</t>
  </si>
  <si>
    <t>正常操作</t>
  </si>
  <si>
    <t>建筑面积</t>
  </si>
  <si>
    <t>土地面积</t>
  </si>
  <si>
    <t>建筑物价值</t>
  </si>
  <si>
    <r>
      <rPr>
        <sz val="12"/>
        <color theme="9" tint="-0.249977111117893"/>
        <rFont val="宋体"/>
        <family val="3"/>
        <charset val="134"/>
      </rPr>
      <t>朝阳区建国门外郎家园</t>
    </r>
    <r>
      <rPr>
        <sz val="12"/>
        <color theme="9" tint="-0.249977111117893"/>
        <rFont val="Arial"/>
        <family val="2"/>
      </rPr>
      <t>6</t>
    </r>
    <r>
      <rPr>
        <sz val="12"/>
        <color theme="9" tint="-0.249977111117893"/>
        <rFont val="宋体"/>
        <family val="3"/>
        <charset val="134"/>
      </rPr>
      <t>号“郎园</t>
    </r>
    <r>
      <rPr>
        <sz val="12"/>
        <color theme="9" tint="-0.249977111117893"/>
        <rFont val="Arial"/>
        <family val="2"/>
      </rPr>
      <t>Vintage</t>
    </r>
    <r>
      <rPr>
        <sz val="12"/>
        <color theme="9" tint="-0.249977111117893"/>
        <rFont val="宋体"/>
        <family val="3"/>
        <charset val="134"/>
      </rPr>
      <t>”项目</t>
    </r>
    <phoneticPr fontId="9" type="noConversion"/>
  </si>
  <si>
    <r>
      <t>京朝国用（2011出）第00053号</t>
    </r>
    <r>
      <rPr>
        <sz val="11"/>
        <color theme="1"/>
        <rFont val="宋体"/>
        <family val="2"/>
        <charset val="134"/>
        <scheme val="minor"/>
      </rPr>
      <t/>
    </r>
    <phoneticPr fontId="146" type="noConversion"/>
  </si>
  <si>
    <t>北京尚博地投资顾问有限公司</t>
    <phoneticPr fontId="146" type="noConversion"/>
  </si>
  <si>
    <t>朝阳区郎家园6号[3-2]</t>
    <phoneticPr fontId="146" type="noConversion"/>
  </si>
  <si>
    <t>50102100012000000</t>
    <phoneticPr fontId="146" type="noConversion"/>
  </si>
  <si>
    <t>I-2-2-100（4）</t>
    <phoneticPr fontId="146" type="noConversion"/>
  </si>
  <si>
    <t>工业</t>
    <phoneticPr fontId="146" type="noConversion"/>
  </si>
  <si>
    <t>房产证</t>
    <phoneticPr fontId="146" type="noConversion"/>
  </si>
  <si>
    <t>房屋所有权人</t>
    <phoneticPr fontId="146" type="noConversion"/>
  </si>
  <si>
    <t>房屋坐落</t>
    <phoneticPr fontId="146" type="noConversion"/>
  </si>
  <si>
    <t>房屋登记表</t>
    <phoneticPr fontId="146" type="noConversion"/>
  </si>
  <si>
    <t>现状</t>
    <phoneticPr fontId="146" type="noConversion"/>
  </si>
  <si>
    <t>楼号或幢号</t>
    <phoneticPr fontId="146" type="noConversion"/>
  </si>
  <si>
    <t>房屋总层数</t>
    <phoneticPr fontId="146" type="noConversion"/>
  </si>
  <si>
    <t>所在层数</t>
    <phoneticPr fontId="146" type="noConversion"/>
  </si>
  <si>
    <t>结构</t>
    <phoneticPr fontId="146" type="noConversion"/>
  </si>
  <si>
    <t>建筑面积</t>
    <phoneticPr fontId="146" type="noConversion"/>
  </si>
  <si>
    <t>规划用途</t>
    <phoneticPr fontId="146" type="noConversion"/>
  </si>
  <si>
    <t>房号</t>
    <phoneticPr fontId="146" type="noConversion"/>
  </si>
  <si>
    <t>建成年代</t>
    <phoneticPr fontId="146" type="noConversion"/>
  </si>
  <si>
    <r>
      <t>X京房权证朝字第956029号</t>
    </r>
    <r>
      <rPr>
        <sz val="11"/>
        <color theme="1"/>
        <rFont val="宋体"/>
        <family val="2"/>
        <charset val="134"/>
        <scheme val="minor"/>
      </rPr>
      <t/>
    </r>
  </si>
  <si>
    <t>朝阳区郎家园6号[3-2]1幢等7幢</t>
    <phoneticPr fontId="146" type="noConversion"/>
  </si>
  <si>
    <t>1幢</t>
    <phoneticPr fontId="146" type="noConversion"/>
  </si>
  <si>
    <t>01</t>
    <phoneticPr fontId="146" type="noConversion"/>
  </si>
  <si>
    <t>1</t>
    <phoneticPr fontId="146" type="noConversion"/>
  </si>
  <si>
    <t>砖木</t>
    <phoneticPr fontId="146" type="noConversion"/>
  </si>
  <si>
    <t>17#</t>
    <phoneticPr fontId="146" type="noConversion"/>
  </si>
  <si>
    <t>加固翻新</t>
    <phoneticPr fontId="146" type="noConversion"/>
  </si>
  <si>
    <t>2幢</t>
    <phoneticPr fontId="146" type="noConversion"/>
  </si>
  <si>
    <t>混合</t>
    <phoneticPr fontId="146" type="noConversion"/>
  </si>
  <si>
    <t>——</t>
    <phoneticPr fontId="146" type="noConversion"/>
  </si>
  <si>
    <t>拆除</t>
    <phoneticPr fontId="146" type="noConversion"/>
  </si>
  <si>
    <t>3幢</t>
    <phoneticPr fontId="146" type="noConversion"/>
  </si>
  <si>
    <t>18#</t>
    <phoneticPr fontId="146" type="noConversion"/>
  </si>
  <si>
    <t>加固翻新</t>
    <phoneticPr fontId="146" type="noConversion"/>
  </si>
  <si>
    <t>80年代</t>
    <phoneticPr fontId="146" type="noConversion"/>
  </si>
  <si>
    <t>4幢</t>
    <phoneticPr fontId="146" type="noConversion"/>
  </si>
  <si>
    <t>01</t>
    <phoneticPr fontId="146" type="noConversion"/>
  </si>
  <si>
    <t>1</t>
    <phoneticPr fontId="146" type="noConversion"/>
  </si>
  <si>
    <t>砖木</t>
    <phoneticPr fontId="146" type="noConversion"/>
  </si>
  <si>
    <t>18C#</t>
    <phoneticPr fontId="146" type="noConversion"/>
  </si>
  <si>
    <t>2010年拆除改建</t>
    <phoneticPr fontId="146" type="noConversion"/>
  </si>
  <si>
    <t>5幢</t>
    <phoneticPr fontId="146" type="noConversion"/>
  </si>
  <si>
    <t>19#</t>
    <phoneticPr fontId="146" type="noConversion"/>
  </si>
  <si>
    <t>6幢</t>
    <phoneticPr fontId="146" type="noConversion"/>
  </si>
  <si>
    <t>2012年拆除改建</t>
    <phoneticPr fontId="146" type="noConversion"/>
  </si>
  <si>
    <t>7幢</t>
    <phoneticPr fontId="146" type="noConversion"/>
  </si>
  <si>
    <t>20#</t>
    <phoneticPr fontId="146" type="noConversion"/>
  </si>
  <si>
    <t>合计</t>
    <phoneticPr fontId="146" type="noConversion"/>
  </si>
  <si>
    <t>7幢-2F -N2</t>
  </si>
  <si>
    <t>北京盛世龙庭物业管理有限公司</t>
  </si>
  <si>
    <t>2011.9.1</t>
  </si>
  <si>
    <t>2014.8.1</t>
  </si>
  <si>
    <t>2019.7.31</t>
  </si>
  <si>
    <t>2016.10.8</t>
  </si>
  <si>
    <t>15幢-104</t>
  </si>
  <si>
    <t>2016.8.1</t>
  </si>
  <si>
    <t>15幢-211</t>
  </si>
  <si>
    <t>15幢-303</t>
  </si>
  <si>
    <t>15幢-304</t>
  </si>
  <si>
    <t>北京奇异夸克科技发展有限公司</t>
  </si>
  <si>
    <t>[3-2]5幢</t>
  </si>
  <si>
    <t>序号</t>
    <phoneticPr fontId="6" type="noConversion"/>
  </si>
  <si>
    <t>租户</t>
    <phoneticPr fontId="261" type="noConversion"/>
  </si>
  <si>
    <t>部位/层数</t>
    <phoneticPr fontId="6" type="noConversion"/>
  </si>
  <si>
    <t>建筑面积（平方米）</t>
    <phoneticPr fontId="6" type="noConversion"/>
  </si>
  <si>
    <t>起租日期（年/月/日）</t>
    <phoneticPr fontId="6" type="noConversion"/>
  </si>
  <si>
    <t>到期日期（年/月/日）</t>
    <phoneticPr fontId="6" type="noConversion"/>
  </si>
  <si>
    <t>起始租金(元/天.平方米)</t>
    <phoneticPr fontId="6" type="noConversion"/>
  </si>
  <si>
    <t>租金涨幅情况</t>
    <phoneticPr fontId="6" type="noConversion"/>
  </si>
  <si>
    <t>备注（是否含物业费，物业费水平）</t>
    <phoneticPr fontId="6" type="noConversion"/>
  </si>
  <si>
    <t xml:space="preserve">华胜资产管理有限公司 </t>
    <phoneticPr fontId="6" type="noConversion"/>
  </si>
  <si>
    <t>12幢</t>
    <phoneticPr fontId="6" type="noConversion"/>
  </si>
  <si>
    <t>2018.10.08</t>
    <phoneticPr fontId="6" type="noConversion"/>
  </si>
  <si>
    <t>2021.10.07</t>
    <phoneticPr fontId="6" type="noConversion"/>
  </si>
  <si>
    <t>无</t>
    <phoneticPr fontId="261" type="noConversion"/>
  </si>
  <si>
    <t>不含物业费，物业费1元/天.平方米</t>
    <phoneticPr fontId="261" type="noConversion"/>
  </si>
  <si>
    <t>北京子悦日和餐饮管理有限公司</t>
    <phoneticPr fontId="6" type="noConversion"/>
  </si>
  <si>
    <t>8幢-1F-W1</t>
    <phoneticPr fontId="6" type="noConversion"/>
  </si>
  <si>
    <t>2017.9.15</t>
    <phoneticPr fontId="6" type="noConversion"/>
  </si>
  <si>
    <t>2019.9.14</t>
    <phoneticPr fontId="6" type="noConversion"/>
  </si>
  <si>
    <t>不含物业费，物业费1.5元/天.平方米</t>
    <phoneticPr fontId="261" type="noConversion"/>
  </si>
  <si>
    <t>北京私家味道餐饮有限责任公司</t>
    <phoneticPr fontId="6" type="noConversion"/>
  </si>
  <si>
    <t>8幢-1F-E+E1</t>
    <phoneticPr fontId="6" type="noConversion"/>
  </si>
  <si>
    <t>2019.1.1</t>
    <phoneticPr fontId="6" type="noConversion"/>
  </si>
  <si>
    <t>2020.12.31</t>
    <phoneticPr fontId="6" type="noConversion"/>
  </si>
  <si>
    <t>北京一然天保餐饮管理有限公司</t>
    <phoneticPr fontId="6" type="noConversion"/>
  </si>
  <si>
    <t>8幢-1F-W2</t>
    <phoneticPr fontId="6" type="noConversion"/>
  </si>
  <si>
    <t>2018.3.15</t>
    <phoneticPr fontId="6" type="noConversion"/>
  </si>
  <si>
    <t>2020.3.14</t>
    <phoneticPr fontId="6" type="noConversion"/>
  </si>
  <si>
    <t>北京鹊缘叁两餐饮服务有限公司</t>
    <phoneticPr fontId="6" type="noConversion"/>
  </si>
  <si>
    <t>8幢-1F-W3</t>
    <phoneticPr fontId="6" type="noConversion"/>
  </si>
  <si>
    <t>2016.12.15</t>
    <phoneticPr fontId="6" type="noConversion"/>
  </si>
  <si>
    <t>2020.12.14</t>
    <phoneticPr fontId="6" type="noConversion"/>
  </si>
  <si>
    <t>牧融财富网络科技(北京)有限公司</t>
    <phoneticPr fontId="6" type="noConversion"/>
  </si>
  <si>
    <t>8幢-A-2F</t>
    <phoneticPr fontId="6" type="noConversion"/>
  </si>
  <si>
    <t>2019.4.1</t>
    <phoneticPr fontId="6" type="noConversion"/>
  </si>
  <si>
    <t>2021.3.31</t>
    <phoneticPr fontId="6" type="noConversion"/>
  </si>
  <si>
    <t>不含物业费，物业费0.7元/天.平方米</t>
    <phoneticPr fontId="261" type="noConversion"/>
  </si>
  <si>
    <t>耀盛影业有限公司</t>
    <phoneticPr fontId="6" type="noConversion"/>
  </si>
  <si>
    <t>8幢-B-2F</t>
    <phoneticPr fontId="6" type="noConversion"/>
  </si>
  <si>
    <t>2019.3.1</t>
    <phoneticPr fontId="6" type="noConversion"/>
  </si>
  <si>
    <t>2020.2.28</t>
    <phoneticPr fontId="6" type="noConversion"/>
  </si>
  <si>
    <t>霍尔果斯万达影院技术服务有限公司北京分公司</t>
    <phoneticPr fontId="6" type="noConversion"/>
  </si>
  <si>
    <t>8幢-3F</t>
    <phoneticPr fontId="6" type="noConversion"/>
  </si>
  <si>
    <t>2018.7.1</t>
    <phoneticPr fontId="6" type="noConversion"/>
  </si>
  <si>
    <t>2020.6.30</t>
    <phoneticPr fontId="6" type="noConversion"/>
  </si>
  <si>
    <t>不含物业费，物业费0.6元/天.平方米</t>
    <phoneticPr fontId="261" type="noConversion"/>
  </si>
  <si>
    <t>北京意景技术有限责任公司</t>
    <phoneticPr fontId="6" type="noConversion"/>
  </si>
  <si>
    <t>8幢A-5F</t>
    <phoneticPr fontId="6" type="noConversion"/>
  </si>
  <si>
    <t>2019.4.20</t>
    <phoneticPr fontId="6" type="noConversion"/>
  </si>
  <si>
    <t>2023.4.19</t>
    <phoneticPr fontId="6" type="noConversion"/>
  </si>
  <si>
    <t>北京毕括信息咨询有限公司</t>
    <phoneticPr fontId="6" type="noConversion"/>
  </si>
  <si>
    <t>8幢B-5F</t>
    <phoneticPr fontId="6" type="noConversion"/>
  </si>
  <si>
    <t>2018.11.15</t>
    <phoneticPr fontId="6" type="noConversion"/>
  </si>
  <si>
    <t>2020.11.14</t>
    <phoneticPr fontId="6" type="noConversion"/>
  </si>
  <si>
    <t>北京亲邻众联科技有限公司</t>
    <phoneticPr fontId="6" type="noConversion"/>
  </si>
  <si>
    <t>8幢B-6F</t>
    <phoneticPr fontId="6" type="noConversion"/>
  </si>
  <si>
    <t>2019.3.15</t>
    <phoneticPr fontId="6" type="noConversion"/>
  </si>
  <si>
    <t>2022.3.14</t>
    <phoneticPr fontId="6" type="noConversion"/>
  </si>
  <si>
    <t>双得力（北京）科技发展有限公司</t>
    <phoneticPr fontId="6" type="noConversion"/>
  </si>
  <si>
    <t>8幢A-7F</t>
    <phoneticPr fontId="6" type="noConversion"/>
  </si>
  <si>
    <t>北京元道同和建筑设计咨询有限公司</t>
    <phoneticPr fontId="6" type="noConversion"/>
  </si>
  <si>
    <t>8幢-B-7F</t>
    <phoneticPr fontId="6" type="noConversion"/>
  </si>
  <si>
    <t>2019.5.15</t>
    <phoneticPr fontId="261" type="noConversion"/>
  </si>
  <si>
    <t>2022.5.14</t>
    <phoneticPr fontId="6" type="noConversion"/>
  </si>
  <si>
    <t xml:space="preserve">星矿科技（北京）有限公司 </t>
    <phoneticPr fontId="6" type="noConversion"/>
  </si>
  <si>
    <t>8幢-A-8F</t>
    <phoneticPr fontId="6" type="noConversion"/>
  </si>
  <si>
    <t>2018.9.1</t>
    <phoneticPr fontId="6" type="noConversion"/>
  </si>
  <si>
    <t>2020.8.31</t>
    <phoneticPr fontId="6" type="noConversion"/>
  </si>
  <si>
    <t>深圳琮碧秋实投资管理有限公司</t>
    <phoneticPr fontId="6" type="noConversion"/>
  </si>
  <si>
    <t>8幢-B-8F</t>
    <phoneticPr fontId="6" type="noConversion"/>
  </si>
  <si>
    <t>2017.5.12</t>
    <phoneticPr fontId="6" type="noConversion"/>
  </si>
  <si>
    <t>2020.5.11</t>
    <phoneticPr fontId="6" type="noConversion"/>
  </si>
  <si>
    <t>高线科技（北京）有限责任公司</t>
    <phoneticPr fontId="6" type="noConversion"/>
  </si>
  <si>
    <t>7幢-1F</t>
    <phoneticPr fontId="6" type="noConversion"/>
  </si>
  <si>
    <t>2019.5.25</t>
    <phoneticPr fontId="6" type="noConversion"/>
  </si>
  <si>
    <t>2022.5.24</t>
    <phoneticPr fontId="6" type="noConversion"/>
  </si>
  <si>
    <t>7幢-1.2夹层</t>
    <phoneticPr fontId="6" type="noConversion"/>
  </si>
  <si>
    <t>2018.11.1</t>
    <phoneticPr fontId="6" type="noConversion"/>
  </si>
  <si>
    <t>2021.4.30</t>
    <phoneticPr fontId="6" type="noConversion"/>
  </si>
  <si>
    <t>北京景美广告有限公司</t>
    <phoneticPr fontId="6" type="noConversion"/>
  </si>
  <si>
    <t>7幢-2F -N1</t>
    <phoneticPr fontId="6" type="noConversion"/>
  </si>
  <si>
    <t>2017.3.7</t>
    <phoneticPr fontId="6" type="noConversion"/>
  </si>
  <si>
    <t>2020.3.6</t>
    <phoneticPr fontId="6" type="noConversion"/>
  </si>
  <si>
    <t>浙江荔只文化传媒有限公司</t>
    <phoneticPr fontId="6" type="noConversion"/>
  </si>
  <si>
    <t>2018.11.26</t>
    <phoneticPr fontId="6" type="noConversion"/>
  </si>
  <si>
    <t>2020.11.25</t>
    <phoneticPr fontId="6" type="noConversion"/>
  </si>
  <si>
    <t>北京京视传媒有限责任公司</t>
    <phoneticPr fontId="6" type="noConversion"/>
  </si>
  <si>
    <t>7幢-3F-南侧</t>
    <phoneticPr fontId="6" type="noConversion"/>
  </si>
  <si>
    <t>不含物业费，物业费0.8元/天.平方米（含水费）</t>
    <phoneticPr fontId="261" type="noConversion"/>
  </si>
  <si>
    <t>北京紫禁城影业有限责任公司</t>
    <phoneticPr fontId="6" type="noConversion"/>
  </si>
  <si>
    <t>7幢-3F-N1</t>
    <phoneticPr fontId="6" type="noConversion"/>
  </si>
  <si>
    <t>不含物业费，物业费0.8元/天.平方米</t>
    <phoneticPr fontId="261" type="noConversion"/>
  </si>
  <si>
    <t>广州市原象信息科技有限公司北京分公司</t>
    <phoneticPr fontId="6" type="noConversion"/>
  </si>
  <si>
    <t>7幢-4F</t>
    <phoneticPr fontId="6" type="noConversion"/>
  </si>
  <si>
    <t>2018.12.20</t>
    <phoneticPr fontId="6" type="noConversion"/>
  </si>
  <si>
    <t>2021.12.19</t>
    <phoneticPr fontId="6" type="noConversion"/>
  </si>
  <si>
    <t>北京十月初五影视传媒有限公司</t>
    <phoneticPr fontId="6" type="noConversion"/>
  </si>
  <si>
    <t>7幢-5F</t>
    <phoneticPr fontId="6" type="noConversion"/>
  </si>
  <si>
    <t>2017.6.15</t>
    <phoneticPr fontId="6" type="noConversion"/>
  </si>
  <si>
    <t>2020.6.14</t>
    <phoneticPr fontId="6" type="noConversion"/>
  </si>
  <si>
    <t>2019年6月15日起，租金为9元</t>
    <phoneticPr fontId="261" type="noConversion"/>
  </si>
  <si>
    <t>北京荟读文化传播有限公司</t>
    <phoneticPr fontId="6" type="noConversion"/>
  </si>
  <si>
    <t>14幢-1F</t>
    <phoneticPr fontId="6" type="noConversion"/>
  </si>
  <si>
    <t>不含物业费，物业费0.79元/天.平方米</t>
    <phoneticPr fontId="261" type="noConversion"/>
  </si>
  <si>
    <t>6幢南侧</t>
    <phoneticPr fontId="6" type="noConversion"/>
  </si>
  <si>
    <t>2019.8.31</t>
    <phoneticPr fontId="6" type="noConversion"/>
  </si>
  <si>
    <t>不含物业费，物业费0.5元/天.平方米</t>
    <phoneticPr fontId="261" type="noConversion"/>
  </si>
  <si>
    <t>北京兰境文化发展有限公司</t>
    <phoneticPr fontId="6" type="noConversion"/>
  </si>
  <si>
    <t>6幢北侧</t>
    <phoneticPr fontId="6" type="noConversion"/>
  </si>
  <si>
    <t>宁波正觉文化传媒有限公司</t>
    <phoneticPr fontId="6" type="noConversion"/>
  </si>
  <si>
    <t>5幢东侧</t>
    <phoneticPr fontId="6" type="noConversion"/>
  </si>
  <si>
    <t>2020.9.14</t>
    <phoneticPr fontId="6" type="noConversion"/>
  </si>
  <si>
    <t xml:space="preserve">北京星光灿烂科技服务有限公司 </t>
    <phoneticPr fontId="6" type="noConversion"/>
  </si>
  <si>
    <t>5幢西侧</t>
    <phoneticPr fontId="6" type="noConversion"/>
  </si>
  <si>
    <t>2025.2.28</t>
    <phoneticPr fontId="6" type="noConversion"/>
  </si>
  <si>
    <t>不含物业费，物业费0.85元/天.平方米</t>
    <phoneticPr fontId="261" type="noConversion"/>
  </si>
  <si>
    <t>沐迪（北京）珠宝有限公司</t>
    <phoneticPr fontId="6" type="noConversion"/>
  </si>
  <si>
    <t>15幢-101</t>
    <phoneticPr fontId="6" type="noConversion"/>
  </si>
  <si>
    <t>2019.10.7</t>
    <phoneticPr fontId="6" type="noConversion"/>
  </si>
  <si>
    <t>15幢-102.205/207</t>
    <phoneticPr fontId="6" type="noConversion"/>
  </si>
  <si>
    <t>2021.2.28</t>
    <phoneticPr fontId="6" type="noConversion"/>
  </si>
  <si>
    <t>北京翰香凝服饰有限公司</t>
    <phoneticPr fontId="6" type="noConversion"/>
  </si>
  <si>
    <t>15幢-103</t>
    <phoneticPr fontId="6" type="noConversion"/>
  </si>
  <si>
    <t>2017.2.3</t>
    <phoneticPr fontId="6" type="noConversion"/>
  </si>
  <si>
    <t>2020.2.2</t>
    <phoneticPr fontId="6" type="noConversion"/>
  </si>
  <si>
    <t>天津阳春白雪商贸有限公司</t>
    <phoneticPr fontId="6" type="noConversion"/>
  </si>
  <si>
    <t>2018.1.1</t>
    <phoneticPr fontId="6" type="noConversion"/>
  </si>
  <si>
    <t>2019.12.31</t>
    <phoneticPr fontId="6" type="noConversion"/>
  </si>
  <si>
    <t>北京禧珠文化发展有限公司</t>
    <phoneticPr fontId="6" type="noConversion"/>
  </si>
  <si>
    <t>15幢-105/308</t>
    <phoneticPr fontId="261" type="noConversion"/>
  </si>
  <si>
    <t>北京步麓建筑设计有限公司</t>
    <phoneticPr fontId="6" type="noConversion"/>
  </si>
  <si>
    <t>15幢-201</t>
    <phoneticPr fontId="6" type="noConversion"/>
  </si>
  <si>
    <t>2018.5.1</t>
    <phoneticPr fontId="6" type="noConversion"/>
  </si>
  <si>
    <t>北京步麓建筑设计咨询有限公司</t>
    <phoneticPr fontId="6" type="noConversion"/>
  </si>
  <si>
    <t>15幢-202/204</t>
    <phoneticPr fontId="6" type="noConversion"/>
  </si>
  <si>
    <t>2017.12.18</t>
    <phoneticPr fontId="6" type="noConversion"/>
  </si>
  <si>
    <t>2020.12.17</t>
    <phoneticPr fontId="6" type="noConversion"/>
  </si>
  <si>
    <t>15幢-208/209</t>
    <phoneticPr fontId="6" type="noConversion"/>
  </si>
  <si>
    <t xml:space="preserve">北京璞木工坊商贸有限公司 </t>
    <phoneticPr fontId="6" type="noConversion"/>
  </si>
  <si>
    <t>15幢-210</t>
    <phoneticPr fontId="6" type="noConversion"/>
  </si>
  <si>
    <t>2021.4.19</t>
    <phoneticPr fontId="6" type="noConversion"/>
  </si>
  <si>
    <t>北京当代艺术基金会</t>
    <phoneticPr fontId="6" type="noConversion"/>
  </si>
  <si>
    <t>2018.6.12</t>
    <phoneticPr fontId="6" type="noConversion"/>
  </si>
  <si>
    <t>2019.9.30</t>
    <phoneticPr fontId="6" type="noConversion"/>
  </si>
  <si>
    <t>北京言川建筑设计咨询有限公司</t>
    <phoneticPr fontId="6" type="noConversion"/>
  </si>
  <si>
    <t>15幢-302</t>
    <phoneticPr fontId="6" type="noConversion"/>
  </si>
  <si>
    <t>2018.12.21</t>
    <phoneticPr fontId="6" type="noConversion"/>
  </si>
  <si>
    <t>2020.12.20</t>
    <phoneticPr fontId="6" type="noConversion"/>
  </si>
  <si>
    <t>渐境（北京）建筑设计咨询有限公司</t>
    <phoneticPr fontId="6" type="noConversion"/>
  </si>
  <si>
    <t>北京埃姆创意文化有限公司</t>
    <phoneticPr fontId="6" type="noConversion"/>
  </si>
  <si>
    <t>2019.6.14</t>
    <phoneticPr fontId="6" type="noConversion"/>
  </si>
  <si>
    <t>北京拉格纳罗斯信息科技有限公司</t>
    <phoneticPr fontId="6" type="noConversion"/>
  </si>
  <si>
    <t>15幢-305/306</t>
    <phoneticPr fontId="261" type="noConversion"/>
  </si>
  <si>
    <t>北京绿樱网络科技有限公司</t>
    <phoneticPr fontId="6" type="noConversion"/>
  </si>
  <si>
    <t>15幢-307</t>
    <phoneticPr fontId="6" type="noConversion"/>
  </si>
  <si>
    <t>2018.1.22</t>
    <phoneticPr fontId="6" type="noConversion"/>
  </si>
  <si>
    <t>2020.1.21</t>
    <phoneticPr fontId="6" type="noConversion"/>
  </si>
  <si>
    <t>蓝天置业有限公司</t>
    <phoneticPr fontId="6" type="noConversion"/>
  </si>
  <si>
    <t>4幢-1F</t>
    <phoneticPr fontId="6" type="noConversion"/>
  </si>
  <si>
    <t>2023.11.14</t>
    <phoneticPr fontId="6" type="noConversion"/>
  </si>
  <si>
    <t>上海龙韵广告传播股份有限公司</t>
    <phoneticPr fontId="6" type="noConversion"/>
  </si>
  <si>
    <t>4幢-2F</t>
    <phoneticPr fontId="6" type="noConversion"/>
  </si>
  <si>
    <t>2016.11.15</t>
    <phoneticPr fontId="6" type="noConversion"/>
  </si>
  <si>
    <t>2019.11.14</t>
    <phoneticPr fontId="6" type="noConversion"/>
  </si>
  <si>
    <t xml:space="preserve"> 北京新鼎明文化传媒有限公司</t>
    <phoneticPr fontId="6" type="noConversion"/>
  </si>
  <si>
    <t>3幢-东1、2层</t>
    <phoneticPr fontId="6" type="noConversion"/>
  </si>
  <si>
    <t>2018.3.1</t>
    <phoneticPr fontId="6" type="noConversion"/>
  </si>
  <si>
    <t>北京时悦形象设计中心（有限合伙）</t>
    <phoneticPr fontId="6" type="noConversion"/>
  </si>
  <si>
    <t>3幢-1层西侧</t>
    <phoneticPr fontId="6" type="noConversion"/>
  </si>
  <si>
    <t>2018.12.1</t>
    <phoneticPr fontId="6" type="noConversion"/>
  </si>
  <si>
    <t>2024.11.30</t>
    <phoneticPr fontId="6" type="noConversion"/>
  </si>
  <si>
    <t>2021年12月1日起，租金为10元/天.平方米</t>
    <phoneticPr fontId="261" type="noConversion"/>
  </si>
  <si>
    <t>北京志家科技有限公司</t>
    <phoneticPr fontId="6" type="noConversion"/>
  </si>
  <si>
    <t>3幢-A座</t>
    <phoneticPr fontId="6" type="noConversion"/>
  </si>
  <si>
    <t>2023.3.31</t>
    <phoneticPr fontId="6" type="noConversion"/>
  </si>
  <si>
    <t>北京千和资本投资管理有限公司</t>
    <phoneticPr fontId="6" type="noConversion"/>
  </si>
  <si>
    <t>16幢</t>
    <phoneticPr fontId="6" type="noConversion"/>
  </si>
  <si>
    <t>2018.2.21</t>
    <phoneticPr fontId="6" type="noConversion"/>
  </si>
  <si>
    <t>2021.11.20</t>
    <phoneticPr fontId="6" type="noConversion"/>
  </si>
  <si>
    <t>北京百味纯麦餐饮有限责任公司</t>
    <phoneticPr fontId="6" type="noConversion"/>
  </si>
  <si>
    <t>17幢</t>
    <phoneticPr fontId="6" type="noConversion"/>
  </si>
  <si>
    <t>2017.4.1</t>
    <phoneticPr fontId="6" type="noConversion"/>
  </si>
  <si>
    <t>2022.3.31</t>
    <phoneticPr fontId="6" type="noConversion"/>
  </si>
  <si>
    <t>2021年12月1日起递增，递增率不超过10%</t>
    <phoneticPr fontId="261" type="noConversion"/>
  </si>
  <si>
    <t>1幢</t>
    <phoneticPr fontId="6" type="noConversion"/>
  </si>
  <si>
    <t>2019.1.1</t>
    <phoneticPr fontId="261" type="noConversion"/>
  </si>
  <si>
    <t>2019.12.31</t>
    <phoneticPr fontId="261" type="noConversion"/>
  </si>
  <si>
    <t>不含物业费，物业费0.7元/天.平方米（尚未完成合同签订）</t>
    <phoneticPr fontId="261" type="noConversion"/>
  </si>
  <si>
    <t>北京登枝肆两餐饮服务有限公司</t>
    <phoneticPr fontId="6" type="noConversion"/>
  </si>
  <si>
    <t>[3-2]1幢</t>
    <phoneticPr fontId="261" type="noConversion"/>
  </si>
  <si>
    <t>2018.12.15</t>
    <phoneticPr fontId="6" type="noConversion"/>
  </si>
  <si>
    <t>2023.10.14</t>
    <phoneticPr fontId="6" type="noConversion"/>
  </si>
  <si>
    <t>[3-2]3幢-C座</t>
    <phoneticPr fontId="261" type="noConversion"/>
  </si>
  <si>
    <t>2019.7.31</t>
    <phoneticPr fontId="6" type="noConversion"/>
  </si>
  <si>
    <t>宁波梅山保税港区真成致诺投资管理有限公司</t>
    <phoneticPr fontId="6" type="noConversion"/>
  </si>
  <si>
    <t>[3-2]3幢-1F东</t>
    <phoneticPr fontId="261" type="noConversion"/>
  </si>
  <si>
    <t>2018.4.1</t>
    <phoneticPr fontId="6" type="noConversion"/>
  </si>
  <si>
    <t>北京恒盛华星投资管理有限公司</t>
    <phoneticPr fontId="6" type="noConversion"/>
  </si>
  <si>
    <t>[3-2]3幢-B座</t>
    <phoneticPr fontId="261" type="noConversion"/>
  </si>
  <si>
    <t>2018.12.14</t>
    <phoneticPr fontId="6" type="noConversion"/>
  </si>
  <si>
    <t>2020.12.13</t>
    <phoneticPr fontId="6" type="noConversion"/>
  </si>
  <si>
    <t>中视科华有限公司</t>
    <phoneticPr fontId="6" type="noConversion"/>
  </si>
  <si>
    <t>2020.3.31</t>
    <phoneticPr fontId="6" type="noConversion"/>
  </si>
  <si>
    <t>腾讯影业文化传播有限公司</t>
    <phoneticPr fontId="6" type="noConversion"/>
  </si>
  <si>
    <t>[3-2]7幢</t>
    <phoneticPr fontId="261" type="noConversion"/>
  </si>
  <si>
    <t>2019.4.1</t>
    <phoneticPr fontId="261" type="noConversion"/>
  </si>
  <si>
    <t>2019.5.31</t>
    <phoneticPr fontId="6" type="noConversion"/>
  </si>
  <si>
    <t>不含物业费，物业费0.36元/天.平方米</t>
    <phoneticPr fontId="261" type="noConversion"/>
  </si>
  <si>
    <t>年租金合计</t>
    <phoneticPr fontId="146" type="noConversion"/>
  </si>
  <si>
    <t>建筑面积合计（合同）</t>
    <phoneticPr fontId="146" type="noConversion"/>
  </si>
  <si>
    <t>单价</t>
    <phoneticPr fontId="146" type="noConversion"/>
  </si>
  <si>
    <t>年租金</t>
    <phoneticPr fontId="146" type="noConversion"/>
  </si>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</sst>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5">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1"/>
      <name val="微软雅黑"/>
      <family val="2"/>
      <charset val="134"/>
    </font>
    <font>
      <b/>
      <sz val="12"/>
      <color theme="1"/>
      <name val="微软雅黑"/>
      <family val="2"/>
      <charset val="134"/>
    </font>
    <font>
      <sz val="12"/>
      <color rgb="FFFF0000"/>
      <name val="微软雅黑"/>
      <family val="2"/>
      <charset val="134"/>
    </font>
    <font>
      <sz val="10"/>
      <color theme="1"/>
      <name val="微软雅黑"/>
      <family val="2"/>
      <charset val="134"/>
    </font>
    <font>
      <sz val="9"/>
      <name val="宋体"/>
      <family val="2"/>
      <charset val="134"/>
      <scheme val="minor"/>
    </font>
    <font>
      <sz val="10"/>
      <color indexed="8"/>
      <name val="微软雅黑"/>
      <family val="2"/>
      <charset val="134"/>
    </font>
    <font>
      <sz val="10"/>
      <name val="微软雅黑"/>
      <family val="2"/>
      <charset val="134"/>
    </font>
    <font>
      <sz val="10"/>
      <color rgb="FFFF0000"/>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1">
    <xf numFmtId="0" fontId="0" fillId="0" borderId="0">
      <alignment vertical="center"/>
    </xf>
    <xf numFmtId="0" fontId="102" fillId="0" borderId="0">
      <alignment vertical="center"/>
    </xf>
    <xf numFmtId="0" fontId="102" fillId="0" borderId="0"/>
    <xf numFmtId="0" fontId="102" fillId="0" borderId="0">
      <alignment vertical="center"/>
    </xf>
    <xf numFmtId="0" fontId="40" fillId="0" borderId="0"/>
    <xf numFmtId="0" fontId="102" fillId="0" borderId="0">
      <alignment vertical="center"/>
    </xf>
    <xf numFmtId="0" fontId="102" fillId="0" borderId="0"/>
    <xf numFmtId="0" fontId="102" fillId="0" borderId="0">
      <alignment vertical="center"/>
    </xf>
    <xf numFmtId="0" fontId="102" fillId="0" borderId="0">
      <alignment vertical="center"/>
    </xf>
    <xf numFmtId="0" fontId="5" fillId="0" borderId="0">
      <alignment vertical="center"/>
    </xf>
    <xf numFmtId="0" fontId="102" fillId="0" borderId="0">
      <alignment vertical="center"/>
    </xf>
    <xf numFmtId="0" fontId="4" fillId="0" borderId="0">
      <alignment vertical="center"/>
    </xf>
    <xf numFmtId="0" fontId="173" fillId="0" borderId="0"/>
    <xf numFmtId="0" fontId="4" fillId="0" borderId="0">
      <alignment vertical="center"/>
    </xf>
    <xf numFmtId="9" fontId="40" fillId="0" borderId="0" applyFont="0" applyFill="0" applyBorder="0" applyAlignment="0" applyProtection="0">
      <alignment vertical="center"/>
    </xf>
    <xf numFmtId="0" fontId="102" fillId="0" borderId="0">
      <alignment vertical="center"/>
    </xf>
    <xf numFmtId="0" fontId="4" fillId="0" borderId="0">
      <alignment vertical="center"/>
    </xf>
    <xf numFmtId="0" fontId="140" fillId="0" borderId="0">
      <alignment vertical="center"/>
    </xf>
    <xf numFmtId="197" fontId="102" fillId="0" borderId="0" applyFont="0" applyFill="0" applyBorder="0" applyAlignment="0" applyProtection="0">
      <alignment vertical="center"/>
    </xf>
    <xf numFmtId="0" fontId="3" fillId="0" borderId="0">
      <alignment vertical="center"/>
    </xf>
    <xf numFmtId="0" fontId="2" fillId="0" borderId="0">
      <alignment vertical="center"/>
    </xf>
  </cellStyleXfs>
  <cellXfs count="3398">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0" fillId="0" borderId="0" xfId="0" applyAlignment="1">
      <alignment vertical="center" wrapText="1"/>
    </xf>
    <xf numFmtId="0" fontId="106" fillId="0" borderId="1" xfId="0" applyFont="1" applyBorder="1" applyAlignment="1">
      <alignment vertical="center" wrapText="1"/>
    </xf>
    <xf numFmtId="0" fontId="106" fillId="0" borderId="1" xfId="0" applyFont="1" applyBorder="1" applyAlignment="1">
      <alignment horizontal="center" vertical="center" wrapText="1"/>
    </xf>
    <xf numFmtId="0" fontId="107" fillId="6" borderId="0" xfId="0" applyFont="1" applyFill="1" applyAlignment="1" applyProtection="1">
      <alignment horizontal="center" vertical="center"/>
    </xf>
    <xf numFmtId="0" fontId="107" fillId="6" borderId="0" xfId="0" applyFont="1" applyFill="1" applyProtection="1">
      <alignment vertical="center"/>
    </xf>
    <xf numFmtId="0" fontId="52" fillId="6" borderId="5" xfId="0" applyFont="1" applyFill="1" applyBorder="1" applyAlignment="1" applyProtection="1">
      <alignment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vertical="center" wrapText="1"/>
      <protection locked="0"/>
    </xf>
    <xf numFmtId="0" fontId="53" fillId="6" borderId="1" xfId="0"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179" fontId="53" fillId="0" borderId="1" xfId="0" applyNumberFormat="1" applyFont="1" applyBorder="1" applyAlignment="1" applyProtection="1">
      <alignment horizontal="center" vertical="center" wrapText="1"/>
      <protection locked="0"/>
    </xf>
    <xf numFmtId="179" fontId="108" fillId="6" borderId="1" xfId="0" applyNumberFormat="1" applyFont="1" applyFill="1" applyBorder="1" applyAlignment="1" applyProtection="1">
      <alignment horizontal="center" vertical="center" wrapText="1"/>
    </xf>
    <xf numFmtId="0" fontId="53" fillId="6" borderId="5" xfId="0" applyFont="1" applyFill="1" applyBorder="1" applyAlignment="1" applyProtection="1">
      <alignment horizontal="left" vertical="center"/>
    </xf>
    <xf numFmtId="176" fontId="53" fillId="6" borderId="1" xfId="0" applyNumberFormat="1"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176" fontId="53" fillId="6" borderId="9" xfId="0" applyNumberFormat="1" applyFont="1" applyFill="1" applyBorder="1" applyAlignment="1" applyProtection="1">
      <alignment horizontal="center" vertical="center" wrapText="1"/>
    </xf>
    <xf numFmtId="176" fontId="53" fillId="6" borderId="10" xfId="0" applyNumberFormat="1" applyFont="1" applyFill="1" applyBorder="1" applyAlignment="1" applyProtection="1">
      <alignment horizontal="center" vertical="center" wrapText="1"/>
    </xf>
    <xf numFmtId="176" fontId="53" fillId="6" borderId="13" xfId="0" applyNumberFormat="1" applyFont="1" applyFill="1" applyBorder="1" applyAlignment="1" applyProtection="1">
      <alignment horizontal="center" vertical="center" wrapText="1"/>
    </xf>
    <xf numFmtId="176" fontId="53" fillId="6" borderId="23"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8" xfId="0" applyFont="1" applyFill="1" applyBorder="1" applyAlignment="1" applyProtection="1">
      <alignment horizontal="center" vertical="center"/>
    </xf>
    <xf numFmtId="0" fontId="53" fillId="0" borderId="0" xfId="0" applyFont="1" applyAlignment="1" applyProtection="1">
      <alignment horizontal="center" vertical="center"/>
      <protection locked="0"/>
    </xf>
    <xf numFmtId="0" fontId="53" fillId="6" borderId="3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2"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176" fontId="53" fillId="0" borderId="2" xfId="0" applyNumberFormat="1" applyFont="1" applyFill="1" applyBorder="1" applyAlignment="1" applyProtection="1">
      <alignment horizontal="center" vertical="center" wrapText="1"/>
      <protection locked="0"/>
    </xf>
    <xf numFmtId="176" fontId="53" fillId="6" borderId="2" xfId="0" applyNumberFormat="1" applyFont="1" applyFill="1" applyBorder="1" applyAlignment="1" applyProtection="1">
      <alignment horizontal="center" vertical="center" wrapText="1"/>
    </xf>
    <xf numFmtId="0" fontId="50" fillId="0" borderId="2" xfId="0" applyFont="1" applyBorder="1" applyAlignment="1" applyProtection="1">
      <alignment horizontal="center" vertical="center" wrapText="1"/>
      <protection locked="0"/>
    </xf>
    <xf numFmtId="176" fontId="50" fillId="6" borderId="1" xfId="0" applyNumberFormat="1"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6" borderId="3" xfId="0"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76" fontId="50" fillId="0" borderId="1"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2" fillId="6" borderId="13" xfId="0" applyFont="1" applyFill="1" applyBorder="1" applyAlignment="1" applyProtection="1">
      <alignment vertical="center"/>
    </xf>
    <xf numFmtId="0" fontId="50" fillId="6" borderId="11" xfId="0" applyFont="1" applyFill="1" applyBorder="1" applyAlignment="1" applyProtection="1">
      <alignment vertical="center"/>
    </xf>
    <xf numFmtId="0" fontId="50" fillId="6" borderId="1" xfId="0" applyFont="1" applyFill="1" applyBorder="1" applyAlignment="1" applyProtection="1">
      <alignment vertical="center"/>
    </xf>
    <xf numFmtId="176" fontId="50" fillId="6" borderId="24" xfId="0" applyNumberFormat="1" applyFont="1" applyFill="1" applyBorder="1" applyAlignment="1" applyProtection="1">
      <alignment vertical="center"/>
    </xf>
    <xf numFmtId="0" fontId="50" fillId="6" borderId="13" xfId="0" applyFont="1" applyFill="1" applyBorder="1" applyAlignment="1" applyProtection="1">
      <alignment vertical="center"/>
    </xf>
    <xf numFmtId="0" fontId="50" fillId="6" borderId="24" xfId="0" applyFont="1" applyFill="1" applyBorder="1" applyAlignment="1" applyProtection="1">
      <alignment vertical="center"/>
    </xf>
    <xf numFmtId="0" fontId="50" fillId="0" borderId="24" xfId="0" applyFont="1" applyFill="1" applyBorder="1" applyAlignment="1" applyProtection="1">
      <alignment vertical="center"/>
      <protection locked="0"/>
    </xf>
    <xf numFmtId="0" fontId="50" fillId="6" borderId="61" xfId="0" applyFont="1" applyFill="1" applyBorder="1" applyAlignment="1" applyProtection="1">
      <alignment vertical="center"/>
    </xf>
    <xf numFmtId="179"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176" fontId="50" fillId="6" borderId="1" xfId="0" applyNumberFormat="1" applyFont="1" applyFill="1" applyBorder="1" applyAlignment="1" applyProtection="1">
      <alignment vertical="center"/>
    </xf>
    <xf numFmtId="0" fontId="53" fillId="3" borderId="3" xfId="0" applyFont="1" applyFill="1" applyBorder="1" applyProtection="1">
      <alignment vertical="center"/>
      <protection locked="0"/>
    </xf>
    <xf numFmtId="0" fontId="53" fillId="3" borderId="24" xfId="0" applyFont="1" applyFill="1" applyBorder="1" applyProtection="1">
      <alignment vertical="center"/>
      <protection locked="0"/>
    </xf>
    <xf numFmtId="0" fontId="53" fillId="0" borderId="1" xfId="0" applyFont="1" applyBorder="1" applyAlignment="1" applyProtection="1">
      <alignment horizontal="center" vertical="center"/>
      <protection locked="0"/>
    </xf>
    <xf numFmtId="177" fontId="50" fillId="0" borderId="1" xfId="1" applyNumberFormat="1" applyFont="1" applyFill="1" applyBorder="1" applyAlignment="1" applyProtection="1">
      <alignment vertical="center"/>
      <protection locked="0"/>
    </xf>
    <xf numFmtId="0" fontId="50" fillId="3" borderId="22" xfId="0" applyFont="1" applyFill="1" applyBorder="1" applyProtection="1">
      <alignment vertical="center"/>
      <protection locked="0"/>
    </xf>
    <xf numFmtId="0" fontId="50" fillId="3" borderId="61" xfId="0" applyFont="1" applyFill="1" applyBorder="1" applyProtection="1">
      <alignment vertical="center"/>
      <protection locked="0"/>
    </xf>
    <xf numFmtId="177" fontId="50" fillId="0" borderId="3" xfId="1" applyNumberFormat="1" applyFont="1" applyFill="1" applyBorder="1" applyAlignment="1" applyProtection="1">
      <alignment vertical="center"/>
      <protection locked="0"/>
    </xf>
    <xf numFmtId="0" fontId="50" fillId="6" borderId="3" xfId="0" applyFont="1" applyFill="1" applyBorder="1" applyProtection="1">
      <alignment vertical="center"/>
    </xf>
    <xf numFmtId="0" fontId="50" fillId="6" borderId="48" xfId="0" applyFont="1" applyFill="1" applyBorder="1" applyProtection="1">
      <alignment vertical="center"/>
    </xf>
    <xf numFmtId="0" fontId="50" fillId="6" borderId="22" xfId="0" applyFont="1" applyFill="1" applyBorder="1" applyProtection="1">
      <alignment vertical="center"/>
    </xf>
    <xf numFmtId="0" fontId="50" fillId="6" borderId="61" xfId="0" applyFont="1" applyFill="1" applyBorder="1" applyProtection="1">
      <alignment vertical="center"/>
    </xf>
    <xf numFmtId="0" fontId="52" fillId="6" borderId="27" xfId="0" applyFont="1" applyFill="1" applyBorder="1" applyAlignment="1" applyProtection="1">
      <alignment vertical="center" wrapText="1"/>
    </xf>
    <xf numFmtId="0" fontId="50" fillId="6" borderId="29"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179" fontId="57" fillId="6" borderId="1" xfId="1" applyNumberFormat="1" applyFont="1" applyFill="1" applyBorder="1" applyAlignment="1" applyProtection="1">
      <alignment horizontal="center" vertical="center"/>
    </xf>
    <xf numFmtId="180" fontId="57" fillId="6" borderId="1" xfId="1" applyNumberFormat="1" applyFont="1" applyFill="1" applyBorder="1" applyAlignment="1" applyProtection="1">
      <alignment horizontal="center" vertical="center"/>
    </xf>
    <xf numFmtId="181" fontId="50" fillId="0" borderId="1" xfId="0" applyNumberFormat="1" applyFont="1" applyFill="1" applyBorder="1" applyAlignment="1" applyProtection="1">
      <alignment horizontal="center" vertical="center"/>
      <protection locked="0"/>
    </xf>
    <xf numFmtId="0" fontId="50" fillId="6" borderId="1" xfId="1"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179" fontId="50" fillId="6" borderId="23" xfId="1" applyNumberFormat="1" applyFont="1" applyFill="1" applyBorder="1" applyAlignment="1" applyProtection="1">
      <alignment horizontal="center" vertical="center"/>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3" xfId="0" applyFont="1" applyBorder="1" applyAlignment="1" applyProtection="1">
      <alignment vertical="center"/>
      <protection locked="0"/>
    </xf>
    <xf numFmtId="181" fontId="50" fillId="0" borderId="5"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3" fontId="50" fillId="0" borderId="1" xfId="0"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0" fontId="52" fillId="6" borderId="32" xfId="1" applyFont="1" applyFill="1" applyBorder="1" applyAlignment="1" applyProtection="1">
      <alignment vertical="center"/>
    </xf>
    <xf numFmtId="0" fontId="52" fillId="6" borderId="32" xfId="1" applyFont="1" applyFill="1" applyBorder="1" applyAlignment="1" applyProtection="1">
      <alignment horizontal="center" vertical="center"/>
    </xf>
    <xf numFmtId="181" fontId="52" fillId="6" borderId="32" xfId="1" applyNumberFormat="1" applyFont="1" applyFill="1" applyBorder="1" applyAlignment="1" applyProtection="1">
      <alignment vertical="center"/>
    </xf>
    <xf numFmtId="0" fontId="52" fillId="6" borderId="49" xfId="1" applyFont="1" applyFill="1" applyBorder="1" applyAlignment="1" applyProtection="1">
      <alignment vertical="center"/>
    </xf>
    <xf numFmtId="176"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79"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2"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0" fontId="50" fillId="6" borderId="33" xfId="0" applyFont="1" applyFill="1" applyBorder="1" applyAlignment="1" applyProtection="1">
      <alignment vertical="center"/>
    </xf>
    <xf numFmtId="176" fontId="57" fillId="0" borderId="10" xfId="1" applyNumberFormat="1" applyFont="1" applyFill="1" applyBorder="1" applyAlignment="1" applyProtection="1">
      <alignment horizontal="center" vertical="center"/>
      <protection locked="0"/>
    </xf>
    <xf numFmtId="176" fontId="50" fillId="0" borderId="24" xfId="1" applyNumberFormat="1" applyFont="1" applyFill="1" applyBorder="1" applyAlignment="1" applyProtection="1">
      <alignment horizontal="center" vertical="center"/>
      <protection locked="0"/>
    </xf>
    <xf numFmtId="176" fontId="57" fillId="6" borderId="24" xfId="1" applyNumberFormat="1" applyFont="1" applyFill="1" applyBorder="1" applyAlignment="1" applyProtection="1">
      <alignment horizontal="center" vertical="center"/>
    </xf>
    <xf numFmtId="176" fontId="57" fillId="6" borderId="49" xfId="1" applyNumberFormat="1" applyFont="1" applyFill="1" applyBorder="1" applyAlignment="1" applyProtection="1">
      <alignment horizontal="center" vertical="center"/>
    </xf>
    <xf numFmtId="0" fontId="59" fillId="0" borderId="10" xfId="1" applyNumberFormat="1"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9" fillId="0" borderId="24" xfId="1" applyNumberFormat="1" applyFont="1" applyFill="1" applyBorder="1" applyAlignment="1" applyProtection="1">
      <alignment horizontal="center" vertical="center"/>
      <protection locked="0"/>
    </xf>
    <xf numFmtId="0" fontId="57" fillId="6" borderId="24" xfId="1" applyNumberFormat="1" applyFont="1" applyFill="1" applyBorder="1" applyAlignment="1" applyProtection="1">
      <alignment horizontal="center" vertical="center"/>
    </xf>
    <xf numFmtId="0" fontId="59" fillId="0" borderId="49" xfId="1" applyNumberFormat="1" applyFont="1" applyFill="1" applyBorder="1" applyAlignment="1" applyProtection="1">
      <alignment horizontal="center" vertical="center"/>
      <protection locked="0"/>
    </xf>
    <xf numFmtId="181" fontId="53" fillId="0" borderId="24" xfId="0" applyNumberFormat="1" applyFont="1" applyFill="1" applyBorder="1" applyAlignment="1" applyProtection="1">
      <alignment horizontal="center" vertical="center"/>
      <protection locked="0"/>
    </xf>
    <xf numFmtId="181" fontId="53" fillId="0" borderId="49" xfId="0" applyNumberFormat="1" applyFont="1" applyFill="1" applyBorder="1" applyAlignment="1" applyProtection="1">
      <alignment horizontal="center" vertical="center"/>
      <protection locked="0"/>
    </xf>
    <xf numFmtId="181" fontId="53" fillId="0" borderId="8" xfId="0" applyNumberFormat="1" applyFont="1" applyFill="1" applyBorder="1" applyAlignment="1" applyProtection="1">
      <alignment horizontal="center" vertical="center"/>
      <protection locked="0"/>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3"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8" fontId="50" fillId="6" borderId="62" xfId="0" applyNumberFormat="1" applyFont="1" applyFill="1" applyBorder="1" applyAlignment="1" applyProtection="1">
      <alignment horizontal="center" vertical="center"/>
    </xf>
    <xf numFmtId="0" fontId="50" fillId="0" borderId="49" xfId="0" applyFont="1" applyBorder="1" applyAlignment="1" applyProtection="1">
      <alignment vertical="center"/>
      <protection locked="0"/>
    </xf>
    <xf numFmtId="0" fontId="50" fillId="6" borderId="10"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center" vertical="center" wrapText="1"/>
    </xf>
    <xf numFmtId="0" fontId="53" fillId="6" borderId="0" xfId="0" applyFont="1" applyFill="1" applyProtection="1">
      <alignment vertical="center"/>
      <protection locked="0"/>
    </xf>
    <xf numFmtId="0" fontId="53" fillId="0" borderId="0" xfId="0" applyFont="1" applyProtection="1">
      <alignment vertical="center"/>
      <protection locked="0"/>
    </xf>
    <xf numFmtId="0" fontId="53" fillId="6" borderId="5" xfId="0" applyFont="1" applyFill="1" applyBorder="1" applyAlignment="1" applyProtection="1">
      <alignment vertical="center"/>
    </xf>
    <xf numFmtId="0" fontId="50" fillId="6" borderId="2" xfId="0" applyFont="1" applyFill="1" applyBorder="1" applyAlignment="1" applyProtection="1">
      <alignment horizontal="center" vertical="center"/>
    </xf>
    <xf numFmtId="179" fontId="50" fillId="6" borderId="13" xfId="0" applyNumberFormat="1" applyFont="1" applyFill="1" applyBorder="1" applyAlignment="1" applyProtection="1">
      <alignment horizontal="center" vertical="center"/>
    </xf>
    <xf numFmtId="0" fontId="107" fillId="6" borderId="9" xfId="0" applyFont="1" applyFill="1" applyBorder="1" applyAlignment="1" applyProtection="1">
      <alignment horizontal="center" vertical="center"/>
    </xf>
    <xf numFmtId="0" fontId="107" fillId="6" borderId="10"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107" fillId="6" borderId="1"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4" xfId="0" applyFont="1" applyFill="1" applyBorder="1" applyAlignment="1" applyProtection="1">
      <alignment horizontal="right" vertical="center"/>
    </xf>
    <xf numFmtId="0" fontId="109" fillId="0" borderId="1" xfId="0" applyFont="1" applyFill="1" applyBorder="1" applyAlignment="1" applyProtection="1">
      <alignment horizontal="center" vertical="center"/>
      <protection locked="0"/>
    </xf>
    <xf numFmtId="0" fontId="109" fillId="0" borderId="24" xfId="0" applyFont="1" applyFill="1" applyBorder="1" applyAlignment="1" applyProtection="1">
      <alignment horizontal="center" vertical="center"/>
      <protection locked="0"/>
    </xf>
    <xf numFmtId="0" fontId="50" fillId="6" borderId="29" xfId="0" applyFont="1" applyFill="1" applyBorder="1" applyAlignment="1" applyProtection="1">
      <alignment horizontal="center" vertical="center"/>
    </xf>
    <xf numFmtId="0" fontId="52" fillId="0" borderId="10" xfId="0" applyFont="1" applyFill="1" applyBorder="1" applyAlignment="1" applyProtection="1">
      <alignment horizontal="center" vertical="center"/>
      <protection locked="0"/>
    </xf>
    <xf numFmtId="0" fontId="53" fillId="6" borderId="1" xfId="0" applyFont="1" applyFill="1" applyBorder="1" applyProtection="1">
      <alignment vertical="center"/>
    </xf>
    <xf numFmtId="0" fontId="52" fillId="0" borderId="24" xfId="0" applyFont="1" applyFill="1" applyBorder="1" applyAlignment="1" applyProtection="1">
      <alignment horizontal="center" vertical="center"/>
      <protection locked="0"/>
    </xf>
    <xf numFmtId="0" fontId="52" fillId="6" borderId="4" xfId="0" applyFont="1" applyFill="1" applyBorder="1" applyAlignment="1" applyProtection="1">
      <alignment horizontal="center" vertical="center"/>
    </xf>
    <xf numFmtId="0" fontId="53" fillId="0" borderId="23" xfId="0" applyFont="1" applyBorder="1" applyProtection="1">
      <alignment vertical="center"/>
      <protection locked="0"/>
    </xf>
    <xf numFmtId="0" fontId="53" fillId="0" borderId="1" xfId="0" applyFont="1" applyBorder="1" applyProtection="1">
      <alignment vertical="center"/>
      <protection locked="0"/>
    </xf>
    <xf numFmtId="0" fontId="53" fillId="0" borderId="24" xfId="0" applyFont="1" applyFill="1" applyBorder="1" applyAlignment="1" applyProtection="1">
      <alignment horizontal="center" vertical="center"/>
      <protection locked="0"/>
    </xf>
    <xf numFmtId="0" fontId="53" fillId="0" borderId="25" xfId="0" applyFont="1" applyBorder="1" applyProtection="1">
      <alignment vertical="center"/>
      <protection locked="0"/>
    </xf>
    <xf numFmtId="0" fontId="53" fillId="0" borderId="32" xfId="0" applyFont="1" applyBorder="1" applyProtection="1">
      <alignment vertical="center"/>
      <protection locked="0"/>
    </xf>
    <xf numFmtId="0" fontId="53" fillId="0" borderId="49" xfId="0" applyFont="1" applyBorder="1" applyProtection="1">
      <alignment vertical="center"/>
      <protection locked="0"/>
    </xf>
    <xf numFmtId="0" fontId="53" fillId="6" borderId="13" xfId="0" applyFont="1" applyFill="1" applyBorder="1" applyAlignment="1" applyProtection="1">
      <alignment vertical="center"/>
    </xf>
    <xf numFmtId="0" fontId="53" fillId="6" borderId="36" xfId="0" applyFont="1" applyFill="1" applyBorder="1" applyAlignment="1" applyProtection="1">
      <alignment horizontal="right" vertical="center"/>
    </xf>
    <xf numFmtId="9" fontId="53" fillId="5" borderId="36" xfId="0" applyNumberFormat="1" applyFont="1" applyFill="1" applyBorder="1" applyAlignment="1" applyProtection="1">
      <alignment horizontal="center" vertical="center"/>
      <protection locked="0"/>
    </xf>
    <xf numFmtId="0" fontId="53" fillId="6" borderId="22" xfId="0" applyFont="1" applyFill="1" applyBorder="1" applyProtection="1">
      <alignment vertical="center"/>
    </xf>
    <xf numFmtId="0" fontId="53" fillId="6" borderId="0" xfId="0" applyFont="1" applyFill="1" applyAlignment="1" applyProtection="1">
      <alignment horizontal="center" vertical="center"/>
      <protection locked="0"/>
    </xf>
    <xf numFmtId="0" fontId="58" fillId="6" borderId="18" xfId="0" applyFont="1" applyFill="1" applyBorder="1" applyAlignment="1" applyProtection="1">
      <alignment horizontal="left" vertical="center" wrapText="1"/>
    </xf>
    <xf numFmtId="0" fontId="58" fillId="6" borderId="60" xfId="0" applyFont="1" applyFill="1" applyBorder="1" applyAlignment="1" applyProtection="1">
      <alignment horizontal="left" vertical="center" wrapText="1"/>
    </xf>
    <xf numFmtId="0" fontId="58" fillId="6" borderId="7" xfId="0" applyFont="1" applyFill="1" applyBorder="1" applyAlignment="1" applyProtection="1">
      <alignment horizontal="left" vertical="center" wrapText="1"/>
    </xf>
    <xf numFmtId="0" fontId="53" fillId="6" borderId="4" xfId="0" applyFont="1" applyFill="1" applyBorder="1" applyAlignment="1" applyProtection="1">
      <alignment horizontal="center" vertical="center"/>
    </xf>
    <xf numFmtId="0" fontId="58" fillId="6" borderId="1"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center" vertical="center"/>
    </xf>
    <xf numFmtId="10" fontId="53" fillId="6" borderId="2" xfId="0" applyNumberFormat="1" applyFont="1" applyFill="1" applyBorder="1" applyAlignment="1" applyProtection="1">
      <alignment horizontal="center" vertical="center"/>
    </xf>
    <xf numFmtId="0" fontId="53" fillId="6" borderId="11" xfId="0" applyFont="1" applyFill="1" applyBorder="1" applyAlignment="1" applyProtection="1">
      <alignment horizontal="right" vertical="center" wrapText="1"/>
    </xf>
    <xf numFmtId="0" fontId="53" fillId="6" borderId="46" xfId="0" applyFont="1" applyFill="1" applyBorder="1" applyAlignment="1" applyProtection="1">
      <alignment vertical="center"/>
    </xf>
    <xf numFmtId="0" fontId="53" fillId="6" borderId="14" xfId="0" applyFont="1" applyFill="1" applyBorder="1" applyAlignment="1" applyProtection="1">
      <alignment horizontal="right" vertical="center" wrapText="1"/>
    </xf>
    <xf numFmtId="0" fontId="53" fillId="6" borderId="58" xfId="0" applyFont="1" applyFill="1" applyBorder="1" applyAlignment="1" applyProtection="1">
      <alignment vertical="center"/>
    </xf>
    <xf numFmtId="0" fontId="53" fillId="6" borderId="35" xfId="0" applyFont="1" applyFill="1" applyBorder="1" applyProtection="1">
      <alignment vertical="center"/>
    </xf>
    <xf numFmtId="0" fontId="53" fillId="6" borderId="41" xfId="0" applyFont="1" applyFill="1" applyBorder="1" applyAlignment="1" applyProtection="1">
      <alignment horizontal="right" vertical="center" wrapText="1"/>
    </xf>
    <xf numFmtId="0" fontId="53" fillId="6" borderId="4" xfId="0" applyFont="1" applyFill="1" applyBorder="1" applyAlignment="1" applyProtection="1">
      <alignment vertical="center"/>
    </xf>
    <xf numFmtId="0" fontId="53" fillId="6" borderId="23" xfId="0" applyFont="1" applyFill="1" applyBorder="1" applyAlignment="1" applyProtection="1">
      <alignment horizontal="right" vertical="center" wrapText="1"/>
    </xf>
    <xf numFmtId="1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10" fontId="53" fillId="6" borderId="5" xfId="0" applyNumberFormat="1" applyFont="1" applyFill="1" applyBorder="1" applyAlignment="1" applyProtection="1">
      <alignment horizontal="center" vertical="center"/>
    </xf>
    <xf numFmtId="0" fontId="53" fillId="6" borderId="46" xfId="0" applyFont="1" applyFill="1" applyBorder="1" applyAlignment="1" applyProtection="1">
      <alignment horizontal="right" vertical="center"/>
    </xf>
    <xf numFmtId="0" fontId="53" fillId="6" borderId="33" xfId="0" applyFont="1" applyFill="1" applyBorder="1" applyAlignment="1" applyProtection="1">
      <alignment horizontal="right" vertical="center"/>
    </xf>
    <xf numFmtId="0" fontId="53" fillId="6" borderId="32" xfId="0" applyFont="1" applyFill="1" applyBorder="1" applyAlignment="1" applyProtection="1">
      <alignment horizontal="center" vertical="center" wrapText="1"/>
    </xf>
    <xf numFmtId="10" fontId="53" fillId="6" borderId="32" xfId="0" applyNumberFormat="1" applyFont="1" applyFill="1" applyBorder="1" applyAlignment="1" applyProtection="1">
      <alignment horizontal="center" vertical="center"/>
    </xf>
    <xf numFmtId="9" fontId="53" fillId="6" borderId="5" xfId="0" applyNumberFormat="1" applyFont="1" applyFill="1" applyBorder="1" applyAlignment="1" applyProtection="1">
      <alignment horizontal="center" vertical="center" wrapText="1"/>
    </xf>
    <xf numFmtId="0" fontId="53" fillId="6" borderId="10" xfId="0" applyFont="1" applyFill="1" applyBorder="1" applyAlignment="1" applyProtection="1">
      <alignment horizontal="left" vertical="center" wrapText="1"/>
    </xf>
    <xf numFmtId="0" fontId="60" fillId="6" borderId="2" xfId="0" applyFont="1" applyFill="1" applyBorder="1" applyAlignment="1" applyProtection="1">
      <alignment horizontal="left" vertical="center" wrapText="1"/>
    </xf>
    <xf numFmtId="177" fontId="60" fillId="6" borderId="2" xfId="0" applyNumberFormat="1" applyFont="1" applyFill="1" applyBorder="1" applyAlignment="1" applyProtection="1">
      <alignment horizontal="center" vertical="center" wrapText="1"/>
    </xf>
    <xf numFmtId="0" fontId="60" fillId="6" borderId="2" xfId="0" applyFont="1" applyFill="1" applyBorder="1" applyAlignment="1" applyProtection="1">
      <alignment horizontal="center" vertical="center" wrapText="1"/>
    </xf>
    <xf numFmtId="0" fontId="53" fillId="6" borderId="8"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177" fontId="59" fillId="6" borderId="1" xfId="0" applyNumberFormat="1" applyFont="1" applyFill="1" applyBorder="1" applyAlignment="1" applyProtection="1">
      <alignment horizontal="center" vertical="center" wrapText="1"/>
    </xf>
    <xf numFmtId="0" fontId="59" fillId="6" borderId="1" xfId="0" applyFont="1" applyFill="1" applyBorder="1" applyAlignment="1" applyProtection="1">
      <alignment horizontal="center" vertical="center" wrapText="1"/>
    </xf>
    <xf numFmtId="0" fontId="53" fillId="6" borderId="24" xfId="0" applyFont="1" applyFill="1" applyBorder="1" applyAlignment="1" applyProtection="1">
      <alignment horizontal="left" vertical="center" wrapText="1"/>
    </xf>
    <xf numFmtId="177" fontId="59" fillId="0" borderId="1" xfId="0" applyNumberFormat="1" applyFont="1" applyFill="1" applyBorder="1" applyAlignment="1" applyProtection="1">
      <alignment horizontal="center" vertical="center" wrapText="1"/>
      <protection locked="0"/>
    </xf>
    <xf numFmtId="49" fontId="58" fillId="6" borderId="23" xfId="0" applyNumberFormat="1" applyFont="1" applyFill="1" applyBorder="1" applyAlignment="1" applyProtection="1">
      <alignment horizontal="left" vertical="center" wrapText="1"/>
    </xf>
    <xf numFmtId="0" fontId="60" fillId="6" borderId="1" xfId="0" applyFont="1" applyFill="1" applyBorder="1" applyAlignment="1" applyProtection="1">
      <alignment horizontal="left" vertical="center" wrapText="1"/>
    </xf>
    <xf numFmtId="0" fontId="60" fillId="0" borderId="1" xfId="0" applyFont="1" applyFill="1" applyBorder="1" applyAlignment="1" applyProtection="1">
      <alignment horizontal="center" vertical="center" wrapText="1"/>
      <protection locked="0"/>
    </xf>
    <xf numFmtId="0" fontId="60" fillId="6" borderId="1" xfId="0" applyFont="1" applyFill="1" applyBorder="1" applyAlignment="1" applyProtection="1">
      <alignment horizontal="center" vertical="center" wrapText="1"/>
    </xf>
    <xf numFmtId="177" fontId="60" fillId="6" borderId="1" xfId="0" applyNumberFormat="1" applyFont="1" applyFill="1" applyBorder="1" applyAlignment="1" applyProtection="1">
      <alignment horizontal="center" vertical="center" wrapText="1"/>
    </xf>
    <xf numFmtId="49" fontId="58" fillId="6" borderId="25" xfId="0" applyNumberFormat="1" applyFont="1" applyFill="1" applyBorder="1" applyAlignment="1" applyProtection="1">
      <alignment horizontal="left" vertical="center" wrapText="1"/>
    </xf>
    <xf numFmtId="0" fontId="60" fillId="6" borderId="32" xfId="0" applyFont="1" applyFill="1" applyBorder="1" applyAlignment="1" applyProtection="1">
      <alignment horizontal="left" vertical="center" wrapText="1"/>
    </xf>
    <xf numFmtId="177" fontId="60" fillId="6" borderId="32" xfId="0" applyNumberFormat="1" applyFont="1" applyFill="1" applyBorder="1" applyAlignment="1" applyProtection="1">
      <alignment horizontal="center" vertical="center" wrapText="1"/>
    </xf>
    <xf numFmtId="10" fontId="59" fillId="6" borderId="32" xfId="0" applyNumberFormat="1" applyFont="1" applyFill="1" applyBorder="1" applyAlignment="1" applyProtection="1">
      <alignment horizontal="center" vertical="center" wrapText="1"/>
    </xf>
    <xf numFmtId="0" fontId="53" fillId="6" borderId="49" xfId="0" applyFont="1" applyFill="1" applyBorder="1" applyAlignment="1" applyProtection="1">
      <alignment horizontal="left" vertical="center"/>
    </xf>
    <xf numFmtId="0" fontId="53" fillId="6" borderId="28" xfId="0" applyFont="1" applyFill="1" applyBorder="1" applyAlignment="1" applyProtection="1">
      <alignment horizontal="left" vertical="center" wrapText="1"/>
    </xf>
    <xf numFmtId="0" fontId="53" fillId="6" borderId="20" xfId="0"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49" fontId="53" fillId="6" borderId="23" xfId="0" applyNumberFormat="1" applyFont="1" applyFill="1" applyBorder="1" applyAlignment="1" applyProtection="1">
      <alignment vertical="center" wrapText="1"/>
    </xf>
    <xf numFmtId="0" fontId="59" fillId="0" borderId="1" xfId="0" applyFont="1" applyFill="1" applyBorder="1" applyAlignment="1" applyProtection="1">
      <alignment horizontal="center" vertical="center" wrapText="1"/>
      <protection locked="0"/>
    </xf>
    <xf numFmtId="0" fontId="50" fillId="6" borderId="1" xfId="2" applyFont="1" applyFill="1" applyBorder="1" applyAlignment="1" applyProtection="1">
      <alignment horizontal="left" vertical="center" wrapText="1"/>
    </xf>
    <xf numFmtId="177" fontId="59" fillId="0" borderId="24" xfId="0" applyNumberFormat="1" applyFont="1" applyFill="1" applyBorder="1" applyAlignment="1" applyProtection="1">
      <alignment horizontal="center" vertical="center" wrapText="1"/>
      <protection locked="0"/>
    </xf>
    <xf numFmtId="0" fontId="59" fillId="6" borderId="2" xfId="0" applyFont="1" applyFill="1" applyBorder="1" applyAlignment="1" applyProtection="1">
      <alignment horizontal="left" vertical="center" wrapText="1"/>
    </xf>
    <xf numFmtId="9" fontId="50" fillId="6" borderId="0" xfId="0" applyNumberFormat="1" applyFont="1" applyFill="1" applyBorder="1" applyAlignment="1" applyProtection="1">
      <alignment horizontal="center" vertical="center"/>
    </xf>
    <xf numFmtId="10" fontId="59" fillId="6" borderId="1" xfId="0"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xf>
    <xf numFmtId="191" fontId="59" fillId="6" borderId="1" xfId="0" applyNumberFormat="1" applyFont="1" applyFill="1" applyBorder="1" applyAlignment="1" applyProtection="1">
      <alignment horizontal="center" vertical="center" wrapText="1"/>
    </xf>
    <xf numFmtId="10" fontId="58" fillId="6" borderId="5" xfId="0" applyNumberFormat="1" applyFont="1" applyFill="1" applyBorder="1" applyAlignment="1" applyProtection="1">
      <alignment horizontal="center" vertical="center" wrapText="1"/>
    </xf>
    <xf numFmtId="181" fontId="60" fillId="6" borderId="1" xfId="0" applyNumberFormat="1"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53" fillId="6" borderId="33" xfId="0" applyFont="1" applyFill="1" applyBorder="1" applyAlignment="1" applyProtection="1">
      <alignment horizontal="left" vertical="center"/>
    </xf>
    <xf numFmtId="0" fontId="53" fillId="6" borderId="52" xfId="0"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53" fillId="6" borderId="21" xfId="2" applyFont="1" applyFill="1" applyBorder="1" applyAlignment="1" applyProtection="1">
      <alignment horizontal="left" vertical="center" wrapText="1"/>
    </xf>
    <xf numFmtId="0" fontId="53" fillId="6" borderId="48" xfId="2" applyFont="1" applyFill="1" applyBorder="1" applyAlignment="1" applyProtection="1">
      <alignment horizontal="left" vertical="center" wrapText="1"/>
    </xf>
    <xf numFmtId="0" fontId="59" fillId="6" borderId="5" xfId="0" applyFont="1" applyFill="1" applyBorder="1" applyAlignment="1" applyProtection="1">
      <alignment horizontal="center" vertical="center" wrapText="1"/>
    </xf>
    <xf numFmtId="191" fontId="59" fillId="0" borderId="1" xfId="0" applyNumberFormat="1" applyFont="1" applyFill="1" applyBorder="1" applyAlignment="1" applyProtection="1">
      <alignment horizontal="center" vertical="center" wrapText="1"/>
      <protection locked="0"/>
    </xf>
    <xf numFmtId="10" fontId="53" fillId="6" borderId="5" xfId="0" applyNumberFormat="1" applyFont="1" applyFill="1" applyBorder="1" applyAlignment="1" applyProtection="1">
      <alignment horizontal="left" vertical="center"/>
    </xf>
    <xf numFmtId="0" fontId="61" fillId="6" borderId="0" xfId="0" applyFont="1" applyFill="1" applyBorder="1" applyAlignment="1" applyProtection="1">
      <alignment horizontal="left" vertical="center"/>
    </xf>
    <xf numFmtId="0" fontId="53" fillId="6" borderId="68" xfId="2" applyFont="1" applyFill="1" applyBorder="1" applyAlignment="1" applyProtection="1">
      <alignment horizontal="left" vertical="center" wrapText="1"/>
    </xf>
    <xf numFmtId="0" fontId="110" fillId="6" borderId="51" xfId="1" applyFont="1" applyFill="1" applyBorder="1" applyAlignment="1" applyProtection="1">
      <alignment vertical="center"/>
    </xf>
    <xf numFmtId="0" fontId="63" fillId="6" borderId="20" xfId="1" applyFont="1" applyFill="1" applyBorder="1" applyAlignment="1" applyProtection="1">
      <alignment vertical="center"/>
    </xf>
    <xf numFmtId="0" fontId="63" fillId="6" borderId="19" xfId="1" applyFont="1" applyFill="1" applyBorder="1" applyAlignment="1" applyProtection="1">
      <alignment vertical="center"/>
    </xf>
    <xf numFmtId="0" fontId="63" fillId="6" borderId="0" xfId="1" applyFont="1" applyFill="1" applyBorder="1" applyAlignment="1" applyProtection="1">
      <alignment vertical="center"/>
    </xf>
    <xf numFmtId="0" fontId="64" fillId="3" borderId="0" xfId="0" applyFont="1" applyFill="1" applyAlignment="1" applyProtection="1">
      <alignment vertical="center"/>
      <protection locked="0"/>
    </xf>
    <xf numFmtId="0" fontId="63" fillId="6" borderId="1" xfId="1" applyFont="1" applyFill="1" applyBorder="1" applyAlignment="1" applyProtection="1">
      <alignment vertical="center"/>
    </xf>
    <xf numFmtId="177" fontId="63" fillId="6" borderId="1" xfId="1" applyNumberFormat="1" applyFont="1" applyFill="1" applyBorder="1" applyAlignment="1" applyProtection="1">
      <alignment horizontal="right" vertical="center"/>
    </xf>
    <xf numFmtId="0" fontId="63" fillId="6" borderId="13" xfId="1" applyFont="1" applyFill="1" applyBorder="1" applyAlignment="1" applyProtection="1">
      <alignment vertical="center"/>
    </xf>
    <xf numFmtId="0" fontId="63" fillId="6" borderId="13" xfId="1" applyFont="1" applyFill="1" applyBorder="1" applyAlignment="1" applyProtection="1">
      <alignment horizontal="right" vertical="center"/>
    </xf>
    <xf numFmtId="49" fontId="63" fillId="6" borderId="51" xfId="1" applyNumberFormat="1" applyFont="1" applyFill="1" applyBorder="1" applyAlignment="1" applyProtection="1"/>
    <xf numFmtId="49" fontId="63" fillId="6" borderId="20" xfId="1" applyNumberFormat="1" applyFont="1" applyFill="1" applyBorder="1" applyAlignment="1" applyProtection="1"/>
    <xf numFmtId="49" fontId="63" fillId="6" borderId="21" xfId="1" applyNumberFormat="1" applyFont="1" applyFill="1" applyBorder="1" applyAlignment="1" applyProtection="1"/>
    <xf numFmtId="0" fontId="63" fillId="3" borderId="0" xfId="0" applyFont="1" applyFill="1" applyAlignment="1" applyProtection="1">
      <alignment vertical="center"/>
      <protection locked="0"/>
    </xf>
    <xf numFmtId="0" fontId="60" fillId="6" borderId="23" xfId="1" applyFont="1" applyFill="1" applyBorder="1" applyAlignment="1" applyProtection="1">
      <alignment horizontal="left"/>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60" fillId="6" borderId="1" xfId="1" applyFont="1" applyFill="1" applyBorder="1" applyAlignment="1" applyProtection="1">
      <alignment horizontal="center"/>
    </xf>
    <xf numFmtId="0" fontId="60" fillId="6" borderId="24" xfId="1" applyFont="1" applyFill="1" applyBorder="1" applyAlignment="1" applyProtection="1">
      <alignment horizontal="left"/>
    </xf>
    <xf numFmtId="0" fontId="60" fillId="3" borderId="0" xfId="0" applyFont="1" applyFill="1" applyAlignment="1" applyProtection="1">
      <alignment vertical="center"/>
      <protection locked="0"/>
    </xf>
    <xf numFmtId="0" fontId="59" fillId="6" borderId="5" xfId="1" applyFont="1" applyFill="1" applyBorder="1" applyAlignment="1" applyProtection="1"/>
    <xf numFmtId="177" fontId="59" fillId="0" borderId="1" xfId="1" applyNumberFormat="1" applyFont="1" applyFill="1" applyBorder="1" applyAlignment="1" applyProtection="1">
      <alignment horizontal="center"/>
      <protection locked="0"/>
    </xf>
    <xf numFmtId="179"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177" fontId="59" fillId="6" borderId="1" xfId="1" applyNumberFormat="1" applyFont="1" applyFill="1" applyBorder="1" applyAlignment="1" applyProtection="1">
      <alignment horizontal="center"/>
    </xf>
    <xf numFmtId="10" fontId="59" fillId="6" borderId="1" xfId="1" applyNumberFormat="1" applyFont="1" applyFill="1" applyBorder="1" applyAlignment="1" applyProtection="1">
      <alignment horizontal="center"/>
    </xf>
    <xf numFmtId="177" fontId="59" fillId="6" borderId="1" xfId="1" applyNumberFormat="1" applyFont="1" applyFill="1" applyBorder="1" applyAlignment="1" applyProtection="1"/>
    <xf numFmtId="0" fontId="60" fillId="0" borderId="0" xfId="0" applyFont="1" applyFill="1" applyAlignment="1" applyProtection="1">
      <alignment vertical="center"/>
      <protection locked="0"/>
    </xf>
    <xf numFmtId="0" fontId="65" fillId="6" borderId="5" xfId="1" applyFont="1" applyFill="1" applyBorder="1" applyAlignment="1" applyProtection="1"/>
    <xf numFmtId="177" fontId="65" fillId="6" borderId="1" xfId="1" applyNumberFormat="1" applyFont="1" applyFill="1" applyBorder="1" applyAlignment="1" applyProtection="1">
      <alignment horizontal="center"/>
    </xf>
    <xf numFmtId="0" fontId="59" fillId="6" borderId="24" xfId="1" applyFont="1" applyFill="1" applyBorder="1" applyAlignment="1" applyProtection="1">
      <alignment vertical="center" wrapText="1"/>
    </xf>
    <xf numFmtId="0" fontId="59" fillId="6" borderId="23" xfId="1" applyFont="1" applyFill="1" applyBorder="1" applyAlignment="1" applyProtection="1">
      <alignment horizontal="left"/>
    </xf>
    <xf numFmtId="0" fontId="59" fillId="6" borderId="0" xfId="1" applyFont="1" applyFill="1" applyBorder="1" applyAlignment="1" applyProtection="1">
      <alignment horizontal="center"/>
    </xf>
    <xf numFmtId="0" fontId="59" fillId="6" borderId="1" xfId="0" applyFont="1" applyFill="1" applyBorder="1" applyProtection="1">
      <alignment vertical="center"/>
    </xf>
    <xf numFmtId="179" fontId="60" fillId="6" borderId="1" xfId="1" applyNumberFormat="1" applyFont="1" applyFill="1" applyBorder="1" applyAlignment="1" applyProtection="1">
      <alignment horizontal="center"/>
    </xf>
    <xf numFmtId="9" fontId="60" fillId="6" borderId="5" xfId="1" applyNumberFormat="1" applyFont="1" applyFill="1" applyBorder="1" applyAlignment="1" applyProtection="1">
      <alignment horizontal="center"/>
    </xf>
    <xf numFmtId="0" fontId="60" fillId="6" borderId="1" xfId="0" applyFont="1" applyFill="1" applyBorder="1" applyAlignment="1" applyProtection="1">
      <alignment horizontal="center" vertical="center"/>
    </xf>
    <xf numFmtId="10" fontId="60" fillId="6" borderId="5" xfId="1" applyNumberFormat="1" applyFont="1" applyFill="1" applyBorder="1" applyAlignment="1" applyProtection="1">
      <alignment horizontal="center"/>
    </xf>
    <xf numFmtId="0" fontId="60" fillId="6" borderId="24" xfId="0" applyFont="1" applyFill="1" applyBorder="1" applyAlignment="1" applyProtection="1">
      <alignment vertical="center"/>
    </xf>
    <xf numFmtId="0" fontId="60" fillId="6" borderId="1" xfId="0" applyFont="1" applyFill="1" applyBorder="1" applyAlignment="1" applyProtection="1">
      <alignment horizontal="right" vertical="center"/>
    </xf>
    <xf numFmtId="0" fontId="60" fillId="6" borderId="1" xfId="0" applyFont="1" applyFill="1" applyBorder="1" applyAlignment="1" applyProtection="1">
      <alignment horizontal="left" vertical="center"/>
    </xf>
    <xf numFmtId="10" fontId="60" fillId="6" borderId="5" xfId="1" applyNumberFormat="1"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17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xf>
    <xf numFmtId="0" fontId="60" fillId="6" borderId="1" xfId="0" applyFont="1" applyFill="1" applyBorder="1" applyAlignment="1" applyProtection="1">
      <alignment vertical="center"/>
    </xf>
    <xf numFmtId="0" fontId="59" fillId="6" borderId="61" xfId="0" applyFont="1" applyFill="1" applyBorder="1" applyAlignment="1" applyProtection="1">
      <alignment vertical="center" wrapText="1"/>
    </xf>
    <xf numFmtId="0" fontId="59" fillId="6" borderId="8" xfId="0" applyFont="1" applyFill="1" applyBorder="1" applyAlignment="1" applyProtection="1">
      <alignment vertical="center"/>
    </xf>
    <xf numFmtId="0" fontId="60" fillId="6" borderId="5" xfId="1" applyFont="1" applyFill="1" applyBorder="1" applyAlignment="1" applyProtection="1">
      <alignment vertical="center"/>
    </xf>
    <xf numFmtId="177" fontId="60" fillId="6" borderId="1" xfId="1" applyNumberFormat="1" applyFont="1" applyFill="1" applyBorder="1" applyAlignment="1" applyProtection="1">
      <alignment horizontal="center" vertical="center"/>
    </xf>
    <xf numFmtId="9" fontId="60" fillId="6" borderId="5" xfId="1" applyNumberFormat="1" applyFont="1" applyFill="1" applyBorder="1" applyAlignment="1" applyProtection="1">
      <alignment horizontal="center" vertical="center"/>
    </xf>
    <xf numFmtId="0" fontId="60" fillId="6" borderId="24" xfId="0" applyFont="1" applyFill="1" applyBorder="1" applyAlignment="1" applyProtection="1">
      <alignment vertical="center" wrapText="1"/>
    </xf>
    <xf numFmtId="0" fontId="59" fillId="6" borderId="5" xfId="1" applyFont="1" applyFill="1" applyBorder="1" applyAlignment="1" applyProtection="1">
      <alignment horizontal="left"/>
    </xf>
    <xf numFmtId="177" fontId="59" fillId="6" borderId="1" xfId="1" applyNumberFormat="1" applyFont="1" applyFill="1" applyBorder="1" applyAlignment="1" applyProtection="1">
      <alignment horizontal="center" vertical="center"/>
    </xf>
    <xf numFmtId="9" fontId="60" fillId="6" borderId="1" xfId="1" applyNumberFormat="1" applyFont="1" applyFill="1" applyBorder="1" applyAlignment="1" applyProtection="1">
      <alignment horizontal="center"/>
    </xf>
    <xf numFmtId="0" fontId="59" fillId="3" borderId="0" xfId="0" applyFont="1" applyFill="1" applyAlignment="1" applyProtection="1">
      <alignment vertical="center"/>
      <protection locked="0"/>
    </xf>
    <xf numFmtId="49" fontId="63" fillId="6" borderId="37" xfId="1" applyNumberFormat="1" applyFont="1" applyFill="1" applyBorder="1" applyAlignment="1" applyProtection="1"/>
    <xf numFmtId="49" fontId="63" fillId="6" borderId="54" xfId="1" applyNumberFormat="1" applyFont="1" applyFill="1" applyBorder="1" applyAlignment="1" applyProtection="1"/>
    <xf numFmtId="49" fontId="63" fillId="6" borderId="48" xfId="1" applyNumberFormat="1" applyFont="1" applyFill="1" applyBorder="1" applyAlignment="1" applyProtection="1"/>
    <xf numFmtId="49" fontId="60" fillId="6" borderId="23" xfId="1" applyNumberFormat="1" applyFont="1" applyFill="1" applyBorder="1" applyAlignment="1" applyProtection="1">
      <alignment horizontal="left"/>
    </xf>
    <xf numFmtId="177" fontId="60" fillId="6" borderId="1" xfId="0" applyNumberFormat="1" applyFont="1" applyFill="1" applyBorder="1" applyAlignment="1" applyProtection="1">
      <alignment horizontal="center" vertical="center"/>
    </xf>
    <xf numFmtId="181" fontId="60" fillId="6" borderId="5" xfId="1" applyNumberFormat="1" applyFont="1" applyFill="1" applyBorder="1" applyAlignment="1" applyProtection="1">
      <alignment horizontal="center"/>
    </xf>
    <xf numFmtId="0" fontId="59" fillId="0" borderId="0" xfId="0" applyFont="1" applyFill="1" applyAlignment="1" applyProtection="1">
      <alignment vertical="center"/>
      <protection locked="0"/>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wrapText="1"/>
    </xf>
    <xf numFmtId="0" fontId="59" fillId="6" borderId="24" xfId="1" applyFont="1" applyFill="1" applyBorder="1" applyAlignment="1" applyProtection="1">
      <alignment horizontal="left" vertical="center"/>
    </xf>
    <xf numFmtId="10" fontId="60" fillId="6" borderId="1" xfId="0" applyNumberFormat="1" applyFont="1" applyFill="1" applyBorder="1" applyAlignment="1" applyProtection="1">
      <alignment horizontal="right" vertical="center"/>
    </xf>
    <xf numFmtId="185" fontId="60" fillId="6" borderId="1" xfId="0" applyNumberFormat="1" applyFont="1" applyFill="1" applyBorder="1" applyAlignment="1" applyProtection="1">
      <alignment horizontal="right" vertical="center"/>
    </xf>
    <xf numFmtId="10" fontId="60" fillId="6" borderId="1" xfId="1" applyNumberFormat="1" applyFont="1" applyFill="1" applyBorder="1" applyAlignment="1" applyProtection="1">
      <alignment horizontal="center" vertical="center"/>
    </xf>
    <xf numFmtId="49" fontId="63" fillId="6" borderId="38" xfId="1" applyNumberFormat="1" applyFont="1" applyFill="1" applyBorder="1" applyAlignment="1" applyProtection="1"/>
    <xf numFmtId="49" fontId="63" fillId="6" borderId="52" xfId="1" applyNumberFormat="1" applyFont="1" applyFill="1" applyBorder="1" applyAlignment="1" applyProtection="1"/>
    <xf numFmtId="177" fontId="60" fillId="6" borderId="32" xfId="0" applyNumberFormat="1" applyFont="1" applyFill="1" applyBorder="1" applyAlignment="1" applyProtection="1">
      <alignment horizontal="center" vertical="center"/>
    </xf>
    <xf numFmtId="49" fontId="63" fillId="6" borderId="68" xfId="1" applyNumberFormat="1" applyFont="1" applyFill="1" applyBorder="1" applyAlignment="1" applyProtection="1"/>
    <xf numFmtId="0" fontId="59" fillId="3" borderId="0" xfId="0" applyFont="1" applyFill="1" applyAlignment="1" applyProtection="1">
      <alignment horizontal="left" vertical="center"/>
      <protection locked="0"/>
    </xf>
    <xf numFmtId="0" fontId="66" fillId="6" borderId="1" xfId="0" applyFont="1" applyFill="1" applyBorder="1" applyAlignment="1" applyProtection="1">
      <alignment horizontal="left"/>
    </xf>
    <xf numFmtId="0" fontId="64" fillId="6" borderId="1" xfId="0" applyFont="1" applyFill="1" applyBorder="1" applyAlignment="1" applyProtection="1">
      <alignment horizontal="center" vertical="center"/>
    </xf>
    <xf numFmtId="0" fontId="59" fillId="3" borderId="0" xfId="0" applyFont="1" applyFill="1" applyAlignment="1" applyProtection="1">
      <alignment horizontal="center" vertical="center"/>
      <protection locked="0"/>
    </xf>
    <xf numFmtId="0" fontId="53" fillId="6" borderId="1" xfId="0" applyFont="1" applyFill="1" applyBorder="1" applyAlignment="1" applyProtection="1"/>
    <xf numFmtId="181" fontId="59" fillId="6" borderId="1" xfId="0" applyNumberFormat="1" applyFont="1" applyFill="1" applyBorder="1" applyAlignment="1" applyProtection="1">
      <alignment horizontal="center"/>
    </xf>
    <xf numFmtId="181" fontId="53" fillId="6" borderId="1" xfId="0" applyNumberFormat="1" applyFont="1" applyFill="1" applyBorder="1" applyAlignment="1" applyProtection="1">
      <alignment horizontal="center"/>
    </xf>
    <xf numFmtId="0" fontId="51" fillId="6" borderId="0" xfId="1" applyFont="1" applyFill="1" applyBorder="1" applyAlignment="1" applyProtection="1">
      <alignment vertical="center"/>
    </xf>
    <xf numFmtId="176" fontId="108" fillId="6" borderId="1" xfId="0" applyNumberFormat="1" applyFont="1" applyFill="1" applyBorder="1" applyAlignment="1" applyProtection="1">
      <alignment horizontal="center" vertical="center"/>
    </xf>
    <xf numFmtId="176" fontId="108" fillId="6" borderId="24" xfId="0" applyNumberFormat="1" applyFont="1" applyFill="1" applyBorder="1" applyAlignment="1" applyProtection="1">
      <alignment horizontal="center" vertical="center"/>
    </xf>
    <xf numFmtId="177" fontId="53"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right" vertical="center"/>
    </xf>
    <xf numFmtId="177" fontId="52" fillId="6" borderId="1" xfId="1" applyNumberFormat="1" applyFont="1" applyFill="1" applyBorder="1" applyAlignment="1" applyProtection="1">
      <alignment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77"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77" fontId="52" fillId="6" borderId="3" xfId="0" applyNumberFormat="1" applyFont="1" applyFill="1" applyBorder="1" applyAlignment="1" applyProtection="1">
      <alignment horizontal="center" vertical="center" wrapText="1"/>
    </xf>
    <xf numFmtId="10" fontId="52" fillId="6" borderId="1" xfId="0" applyNumberFormat="1" applyFont="1" applyFill="1" applyBorder="1" applyAlignment="1" applyProtection="1">
      <alignment horizontal="center" vertical="center" wrapText="1"/>
    </xf>
    <xf numFmtId="0" fontId="55" fillId="3" borderId="0" xfId="0" applyFont="1" applyFill="1" applyAlignment="1" applyProtection="1">
      <alignment vertical="center" wrapText="1"/>
      <protection locked="0"/>
    </xf>
    <xf numFmtId="10" fontId="53"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77" fontId="53" fillId="6" borderId="1" xfId="0" applyNumberFormat="1" applyFont="1" applyFill="1" applyBorder="1" applyAlignment="1" applyProtection="1">
      <alignment horizontal="center" vertical="center" wrapText="1"/>
    </xf>
    <xf numFmtId="0" fontId="69" fillId="0" borderId="0" xfId="0" applyFont="1" applyFill="1" applyAlignment="1" applyProtection="1">
      <alignment vertical="center"/>
      <protection locked="0"/>
    </xf>
    <xf numFmtId="0" fontId="51" fillId="6" borderId="1" xfId="0" applyFont="1" applyFill="1" applyBorder="1" applyAlignment="1" applyProtection="1">
      <alignment horizontal="center" vertical="center"/>
    </xf>
    <xf numFmtId="49" fontId="68" fillId="6" borderId="0" xfId="0" applyNumberFormat="1" applyFont="1" applyFill="1" applyBorder="1" applyAlignment="1" applyProtection="1">
      <alignment horizontal="center"/>
    </xf>
    <xf numFmtId="49" fontId="53" fillId="6" borderId="6"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28" xfId="0" applyFont="1" applyFill="1" applyBorder="1" applyAlignment="1" applyProtection="1">
      <alignment horizontal="right" vertical="center"/>
    </xf>
    <xf numFmtId="0" fontId="53" fillId="6" borderId="21" xfId="0" applyFont="1" applyFill="1" applyBorder="1" applyAlignment="1" applyProtection="1">
      <alignment horizontal="center" vertical="center"/>
    </xf>
    <xf numFmtId="49" fontId="58" fillId="6" borderId="11" xfId="0" applyNumberFormat="1" applyFont="1" applyFill="1" applyBorder="1" applyAlignment="1" applyProtection="1">
      <alignment vertical="center"/>
    </xf>
    <xf numFmtId="0" fontId="58" fillId="6" borderId="13" xfId="0" applyFont="1" applyFill="1" applyBorder="1" applyAlignment="1" applyProtection="1">
      <alignment vertical="center" wrapText="1"/>
    </xf>
    <xf numFmtId="0" fontId="58" fillId="6" borderId="13" xfId="0" applyFont="1" applyFill="1" applyBorder="1" applyAlignment="1" applyProtection="1">
      <alignment horizontal="center" vertical="center"/>
    </xf>
    <xf numFmtId="0" fontId="53" fillId="6" borderId="1" xfId="0" applyFont="1" applyFill="1" applyBorder="1" applyAlignment="1" applyProtection="1">
      <alignment horizontal="left" vertical="center"/>
    </xf>
    <xf numFmtId="0" fontId="58" fillId="6" borderId="24" xfId="0" applyFont="1" applyFill="1" applyBorder="1" applyAlignment="1" applyProtection="1">
      <alignment horizontal="center" vertical="center"/>
    </xf>
    <xf numFmtId="49" fontId="58" fillId="6" borderId="14" xfId="0" applyNumberFormat="1" applyFont="1" applyFill="1" applyBorder="1" applyAlignment="1" applyProtection="1">
      <alignment vertical="center"/>
    </xf>
    <xf numFmtId="0" fontId="58" fillId="6" borderId="15" xfId="0" applyFont="1" applyFill="1" applyBorder="1" applyAlignment="1" applyProtection="1">
      <alignment vertical="center" wrapText="1"/>
    </xf>
    <xf numFmtId="0" fontId="58" fillId="6" borderId="15" xfId="0" applyFont="1" applyFill="1" applyBorder="1" applyAlignment="1" applyProtection="1">
      <alignment horizontal="center" vertical="center"/>
    </xf>
    <xf numFmtId="0" fontId="53" fillId="6" borderId="15" xfId="0" applyFont="1" applyFill="1" applyBorder="1" applyAlignment="1" applyProtection="1">
      <alignment vertical="center"/>
    </xf>
    <xf numFmtId="49" fontId="58" fillId="6" borderId="41" xfId="0" applyNumberFormat="1" applyFont="1" applyFill="1" applyBorder="1" applyAlignment="1" applyProtection="1">
      <alignment vertical="center"/>
    </xf>
    <xf numFmtId="0" fontId="58" fillId="6" borderId="2" xfId="0" applyFont="1" applyFill="1" applyBorder="1" applyAlignment="1" applyProtection="1">
      <alignment vertical="center" wrapText="1"/>
    </xf>
    <xf numFmtId="0" fontId="58" fillId="6" borderId="2" xfId="0" applyFont="1" applyFill="1" applyBorder="1" applyAlignment="1" applyProtection="1">
      <alignment horizontal="center" vertical="center"/>
    </xf>
    <xf numFmtId="0" fontId="53" fillId="6" borderId="2" xfId="0" applyFont="1" applyFill="1" applyBorder="1" applyAlignment="1" applyProtection="1">
      <alignment vertical="center"/>
    </xf>
    <xf numFmtId="181" fontId="58" fillId="6" borderId="24" xfId="0" applyNumberFormat="1" applyFont="1" applyFill="1" applyBorder="1" applyAlignment="1" applyProtection="1">
      <alignment horizontal="center" vertical="center"/>
    </xf>
    <xf numFmtId="0" fontId="53" fillId="6" borderId="13" xfId="0" applyFont="1" applyFill="1" applyBorder="1" applyAlignment="1" applyProtection="1">
      <alignment horizontal="left" vertical="center"/>
    </xf>
    <xf numFmtId="181" fontId="58" fillId="6" borderId="61" xfId="0" applyNumberFormat="1" applyFont="1" applyFill="1" applyBorder="1" applyAlignment="1" applyProtection="1">
      <alignment horizontal="center" vertical="center"/>
    </xf>
    <xf numFmtId="49" fontId="58" fillId="6" borderId="23" xfId="0" applyNumberFormat="1" applyFont="1" applyFill="1" applyBorder="1" applyAlignment="1" applyProtection="1">
      <alignment horizontal="left" vertical="center"/>
    </xf>
    <xf numFmtId="0" fontId="58" fillId="6" borderId="1" xfId="0" applyFont="1" applyFill="1" applyBorder="1" applyAlignment="1" applyProtection="1">
      <alignment horizontal="center" vertical="center"/>
    </xf>
    <xf numFmtId="181" fontId="53" fillId="6" borderId="61" xfId="0" applyNumberFormat="1" applyFont="1" applyFill="1" applyBorder="1" applyAlignment="1" applyProtection="1">
      <alignment horizontal="center" vertical="center"/>
    </xf>
    <xf numFmtId="0" fontId="108" fillId="6" borderId="5" xfId="0" applyFont="1" applyFill="1" applyBorder="1" applyAlignment="1" applyProtection="1">
      <alignment horizontal="center" vertical="center"/>
    </xf>
    <xf numFmtId="179" fontId="58" fillId="6" borderId="48"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xf>
    <xf numFmtId="181" fontId="53" fillId="6" borderId="8" xfId="0" applyNumberFormat="1" applyFont="1" applyFill="1" applyBorder="1" applyAlignment="1" applyProtection="1">
      <alignment horizontal="center" vertical="center"/>
    </xf>
    <xf numFmtId="181" fontId="53" fillId="6" borderId="24" xfId="0" applyNumberFormat="1" applyFont="1" applyFill="1" applyBorder="1" applyAlignment="1" applyProtection="1">
      <alignment horizontal="center" vertical="center"/>
    </xf>
    <xf numFmtId="181" fontId="53" fillId="6" borderId="48" xfId="0" applyNumberFormat="1" applyFont="1" applyFill="1" applyBorder="1" applyAlignment="1" applyProtection="1">
      <alignment horizontal="center" vertical="center" wrapText="1"/>
    </xf>
    <xf numFmtId="0" fontId="53" fillId="6" borderId="1"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24" xfId="0" applyFont="1" applyFill="1" applyBorder="1" applyAlignment="1" applyProtection="1">
      <alignment horizontal="center"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horizontal="left" vertical="center" wrapText="1"/>
    </xf>
    <xf numFmtId="10" fontId="58" fillId="6" borderId="24" xfId="0" applyNumberFormat="1" applyFont="1" applyFill="1" applyBorder="1" applyAlignment="1" applyProtection="1">
      <alignment horizontal="center" vertical="center"/>
    </xf>
    <xf numFmtId="0" fontId="53" fillId="6" borderId="1" xfId="0" applyFont="1" applyFill="1" applyBorder="1" applyAlignment="1" applyProtection="1">
      <alignment vertical="center"/>
    </xf>
    <xf numFmtId="183" fontId="58" fillId="6" borderId="24" xfId="0" applyNumberFormat="1" applyFont="1" applyFill="1" applyBorder="1" applyAlignment="1" applyProtection="1">
      <alignment horizontal="center" vertical="center"/>
    </xf>
    <xf numFmtId="10" fontId="53" fillId="6" borderId="24" xfId="0" applyNumberFormat="1" applyFont="1" applyFill="1" applyBorder="1" applyAlignment="1" applyProtection="1">
      <alignment horizontal="center" vertical="center"/>
    </xf>
    <xf numFmtId="0" fontId="53" fillId="6" borderId="15" xfId="0" applyFont="1" applyFill="1" applyBorder="1" applyAlignment="1" applyProtection="1">
      <alignment horizontal="left" vertical="center" wrapText="1"/>
    </xf>
    <xf numFmtId="179" fontId="58" fillId="6" borderId="24"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8" fillId="6" borderId="32" xfId="0" applyFont="1" applyFill="1" applyBorder="1" applyAlignment="1" applyProtection="1">
      <alignment horizontal="left" vertical="center"/>
    </xf>
    <xf numFmtId="0" fontId="58" fillId="6" borderId="32" xfId="0" applyFont="1" applyFill="1" applyBorder="1" applyAlignment="1" applyProtection="1">
      <alignment horizontal="center" vertical="center"/>
    </xf>
    <xf numFmtId="0" fontId="53" fillId="6" borderId="32" xfId="0" applyFont="1" applyFill="1" applyBorder="1" applyAlignment="1" applyProtection="1">
      <alignment vertical="center"/>
    </xf>
    <xf numFmtId="0" fontId="53" fillId="6" borderId="32" xfId="0" applyFont="1" applyFill="1" applyBorder="1" applyAlignment="1" applyProtection="1">
      <alignment horizontal="left" vertical="center"/>
    </xf>
    <xf numFmtId="179" fontId="58" fillId="6" borderId="49" xfId="0" applyNumberFormat="1" applyFont="1" applyFill="1" applyBorder="1" applyAlignment="1" applyProtection="1">
      <alignment horizontal="center" vertical="center"/>
    </xf>
    <xf numFmtId="0" fontId="59" fillId="6" borderId="1" xfId="0" applyFont="1" applyFill="1" applyBorder="1" applyAlignment="1" applyProtection="1">
      <alignment horizontal="left"/>
    </xf>
    <xf numFmtId="186" fontId="59" fillId="6" borderId="1" xfId="0" applyNumberFormat="1" applyFont="1" applyFill="1" applyBorder="1" applyAlignment="1" applyProtection="1">
      <alignment horizontal="center"/>
    </xf>
    <xf numFmtId="0" fontId="59" fillId="6" borderId="1" xfId="0" applyFont="1" applyFill="1" applyBorder="1" applyAlignment="1" applyProtection="1">
      <alignment vertical="center" wrapText="1"/>
    </xf>
    <xf numFmtId="181" fontId="58"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left"/>
    </xf>
    <xf numFmtId="0" fontId="111" fillId="6" borderId="1" xfId="0" applyFont="1" applyFill="1" applyBorder="1" applyAlignment="1" applyProtection="1">
      <alignment horizontal="center"/>
    </xf>
    <xf numFmtId="0" fontId="66" fillId="6" borderId="1" xfId="0" applyFont="1" applyFill="1" applyBorder="1" applyAlignment="1" applyProtection="1">
      <alignment horizontal="center"/>
    </xf>
    <xf numFmtId="0" fontId="64" fillId="0" borderId="0" xfId="0" applyFont="1" applyFill="1" applyAlignment="1" applyProtection="1">
      <alignment horizontal="center" vertical="center"/>
      <protection locked="0"/>
    </xf>
    <xf numFmtId="0" fontId="110" fillId="6" borderId="46" xfId="0" applyFont="1" applyFill="1" applyBorder="1" applyAlignment="1" applyProtection="1">
      <alignment vertical="center"/>
    </xf>
    <xf numFmtId="0" fontId="68" fillId="6" borderId="36" xfId="0" applyFont="1" applyFill="1" applyBorder="1" applyAlignment="1" applyProtection="1">
      <alignment horizontal="right" vertical="center"/>
    </xf>
    <xf numFmtId="0" fontId="68" fillId="6" borderId="0" xfId="0" applyFont="1" applyFill="1" applyAlignment="1" applyProtection="1">
      <alignment horizontal="center" vertical="center"/>
    </xf>
    <xf numFmtId="0" fontId="69" fillId="0" borderId="0" xfId="0"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3" fillId="6" borderId="13" xfId="0" applyFont="1" applyFill="1" applyBorder="1" applyAlignment="1" applyProtection="1">
      <alignment horizontal="right" vertical="center"/>
    </xf>
    <xf numFmtId="0" fontId="63" fillId="6" borderId="13" xfId="0" applyFont="1" applyFill="1" applyBorder="1" applyAlignment="1" applyProtection="1">
      <alignment horizontal="center" vertical="center"/>
    </xf>
    <xf numFmtId="0" fontId="56" fillId="6" borderId="16" xfId="0" applyFont="1" applyFill="1" applyBorder="1" applyAlignment="1" applyProtection="1">
      <alignment vertical="center" wrapText="1"/>
    </xf>
    <xf numFmtId="0" fontId="56" fillId="6" borderId="19" xfId="0" applyFont="1" applyFill="1" applyBorder="1" applyAlignment="1" applyProtection="1">
      <alignment vertical="center" wrapText="1"/>
    </xf>
    <xf numFmtId="0" fontId="57" fillId="0" borderId="0" xfId="0" applyFont="1" applyFill="1" applyAlignment="1" applyProtection="1">
      <alignment horizontal="center" vertical="center"/>
      <protection locked="0"/>
    </xf>
    <xf numFmtId="0" fontId="56" fillId="6" borderId="1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6" fillId="6" borderId="42"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2" fillId="6" borderId="63" xfId="0" applyFont="1" applyFill="1" applyBorder="1" applyAlignment="1" applyProtection="1">
      <alignment vertical="center" wrapText="1"/>
    </xf>
    <xf numFmtId="0" fontId="52" fillId="6" borderId="64" xfId="0" applyFont="1" applyFill="1" applyBorder="1" applyAlignment="1" applyProtection="1">
      <alignment vertical="center" wrapText="1"/>
    </xf>
    <xf numFmtId="184" fontId="50" fillId="6" borderId="26" xfId="0" applyNumberFormat="1" applyFont="1" applyFill="1" applyBorder="1" applyAlignment="1" applyProtection="1">
      <alignment horizontal="center" vertical="center" wrapText="1"/>
    </xf>
    <xf numFmtId="0" fontId="50" fillId="6" borderId="67" xfId="0" applyNumberFormat="1" applyFont="1" applyFill="1" applyBorder="1" applyAlignment="1" applyProtection="1">
      <alignment horizontal="center" vertical="center" wrapText="1"/>
    </xf>
    <xf numFmtId="184" fontId="50" fillId="0" borderId="70" xfId="0" applyNumberFormat="1" applyFont="1" applyFill="1" applyBorder="1" applyAlignment="1" applyProtection="1">
      <alignment horizontal="center" vertical="center" wrapText="1"/>
      <protection locked="0"/>
    </xf>
    <xf numFmtId="0" fontId="50" fillId="6" borderId="34" xfId="0" applyNumberFormat="1" applyFont="1" applyFill="1" applyBorder="1" applyAlignment="1" applyProtection="1">
      <alignment horizontal="center" vertical="center" wrapText="1"/>
    </xf>
    <xf numFmtId="49" fontId="50" fillId="2" borderId="26"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wrapText="1"/>
    </xf>
    <xf numFmtId="0" fontId="50" fillId="0" borderId="51" xfId="0" applyNumberFormat="1" applyFont="1" applyFill="1" applyBorder="1" applyAlignment="1" applyProtection="1">
      <alignment horizontal="center" vertical="center" wrapText="1"/>
      <protection locked="0"/>
    </xf>
    <xf numFmtId="49" fontId="50" fillId="2" borderId="30" xfId="0" applyNumberFormat="1" applyFont="1" applyFill="1" applyBorder="1" applyAlignment="1" applyProtection="1">
      <alignment horizontal="center" vertical="center" wrapText="1"/>
      <protection locked="0"/>
    </xf>
    <xf numFmtId="0" fontId="50" fillId="6" borderId="28" xfId="0" applyNumberFormat="1" applyFont="1" applyFill="1" applyBorder="1" applyAlignment="1" applyProtection="1">
      <alignment horizontal="center" vertical="center" wrapText="1"/>
    </xf>
    <xf numFmtId="49" fontId="50" fillId="2" borderId="6"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protection locked="0"/>
    </xf>
    <xf numFmtId="0" fontId="72" fillId="6" borderId="14" xfId="0" applyFont="1" applyFill="1" applyBorder="1" applyAlignment="1" applyProtection="1">
      <alignment vertical="center" wrapText="1"/>
    </xf>
    <xf numFmtId="0" fontId="50" fillId="6" borderId="5" xfId="0"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wrapText="1"/>
    </xf>
    <xf numFmtId="0" fontId="64" fillId="0" borderId="48"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wrapText="1"/>
    </xf>
    <xf numFmtId="0" fontId="50" fillId="0" borderId="2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2" fillId="6" borderId="14" xfId="0" applyFont="1" applyFill="1" applyBorder="1" applyAlignment="1" applyProtection="1">
      <alignment vertical="center" wrapText="1"/>
    </xf>
    <xf numFmtId="0" fontId="50" fillId="0" borderId="41" xfId="0" applyNumberFormat="1" applyFont="1" applyFill="1" applyBorder="1" applyAlignment="1" applyProtection="1">
      <alignment horizontal="center" vertical="center" wrapText="1"/>
      <protection locked="0"/>
    </xf>
    <xf numFmtId="0" fontId="50" fillId="6" borderId="71" xfId="0" applyNumberFormat="1"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57" fillId="6" borderId="24" xfId="0" applyNumberFormat="1" applyFont="1" applyFill="1" applyBorder="1" applyAlignment="1" applyProtection="1">
      <alignment horizontal="center" vertical="center" wrapText="1"/>
    </xf>
    <xf numFmtId="0" fontId="56" fillId="6" borderId="12" xfId="0" applyFont="1" applyFill="1" applyBorder="1" applyAlignment="1" applyProtection="1">
      <alignment vertical="center" wrapText="1"/>
    </xf>
    <xf numFmtId="0" fontId="57" fillId="0" borderId="38" xfId="0" applyNumberFormat="1" applyFont="1" applyFill="1" applyBorder="1" applyAlignment="1" applyProtection="1">
      <alignment horizontal="center" vertical="center" wrapText="1"/>
      <protection locked="0"/>
    </xf>
    <xf numFmtId="0" fontId="57" fillId="6" borderId="49" xfId="0" applyNumberFormat="1" applyFont="1" applyFill="1" applyBorder="1" applyAlignment="1" applyProtection="1">
      <alignment horizontal="center" vertical="center" wrapText="1"/>
    </xf>
    <xf numFmtId="0" fontId="57" fillId="6" borderId="33" xfId="0" applyNumberFormat="1" applyFont="1" applyFill="1" applyBorder="1" applyAlignment="1" applyProtection="1">
      <alignment horizontal="center" vertical="center" wrapText="1"/>
    </xf>
    <xf numFmtId="0" fontId="56" fillId="6" borderId="40" xfId="0" applyFont="1" applyFill="1" applyBorder="1" applyAlignment="1" applyProtection="1">
      <alignment vertical="center" wrapText="1"/>
    </xf>
    <xf numFmtId="0" fontId="57" fillId="6" borderId="62" xfId="0" applyNumberFormat="1" applyFont="1" applyFill="1" applyBorder="1" applyAlignment="1" applyProtection="1">
      <alignment horizontal="center" vertical="center" wrapText="1"/>
    </xf>
    <xf numFmtId="49" fontId="57" fillId="0" borderId="39" xfId="0" applyNumberFormat="1" applyFont="1" applyFill="1" applyBorder="1" applyAlignment="1" applyProtection="1">
      <alignment horizontal="center" vertical="center" wrapText="1"/>
      <protection locked="0"/>
    </xf>
    <xf numFmtId="0" fontId="57" fillId="6" borderId="29" xfId="0" applyNumberFormat="1" applyFont="1" applyFill="1" applyBorder="1" applyAlignment="1" applyProtection="1">
      <alignment horizontal="center" vertical="center" wrapText="1"/>
    </xf>
    <xf numFmtId="49" fontId="57" fillId="0" borderId="40"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57" fillId="6" borderId="0" xfId="0" applyFont="1" applyFill="1" applyBorder="1" applyAlignment="1" applyProtection="1">
      <alignment horizontal="center" vertical="center"/>
    </xf>
    <xf numFmtId="0" fontId="57" fillId="2" borderId="41" xfId="0" applyNumberFormat="1" applyFont="1" applyFill="1" applyBorder="1" applyAlignment="1" applyProtection="1">
      <alignment horizontal="center" vertical="center" wrapText="1"/>
      <protection locked="0"/>
    </xf>
    <xf numFmtId="0" fontId="57" fillId="6" borderId="8" xfId="0" applyNumberFormat="1" applyFont="1" applyFill="1" applyBorder="1" applyAlignment="1" applyProtection="1">
      <alignment horizontal="center" vertical="center" wrapText="1"/>
    </xf>
    <xf numFmtId="0" fontId="57" fillId="6" borderId="4" xfId="0" applyNumberFormat="1" applyFont="1" applyFill="1" applyBorder="1" applyAlignment="1" applyProtection="1">
      <alignment horizontal="center" vertical="center" wrapText="1"/>
    </xf>
    <xf numFmtId="0" fontId="57" fillId="6" borderId="53" xfId="0" applyNumberFormat="1"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49" fontId="57" fillId="0" borderId="35" xfId="0" applyNumberFormat="1" applyFont="1" applyFill="1" applyBorder="1" applyAlignment="1" applyProtection="1">
      <alignment horizontal="center" vertical="center" wrapText="1"/>
      <protection locked="0"/>
    </xf>
    <xf numFmtId="0" fontId="57" fillId="6" borderId="58" xfId="0" applyNumberFormat="1" applyFont="1" applyFill="1" applyBorder="1" applyAlignment="1" applyProtection="1">
      <alignment horizontal="center" vertical="center" wrapText="1"/>
    </xf>
    <xf numFmtId="49" fontId="57" fillId="0" borderId="14" xfId="0" applyNumberFormat="1" applyFont="1" applyFill="1" applyBorder="1" applyAlignment="1" applyProtection="1">
      <alignment horizontal="center" vertical="center" wrapText="1"/>
      <protection locked="0"/>
    </xf>
    <xf numFmtId="0" fontId="57" fillId="6" borderId="61" xfId="0" applyNumberFormat="1" applyFont="1" applyFill="1" applyBorder="1" applyAlignment="1" applyProtection="1">
      <alignment horizontal="center" vertical="center" wrapText="1"/>
    </xf>
    <xf numFmtId="0" fontId="50" fillId="6" borderId="4" xfId="0" applyFont="1" applyFill="1" applyBorder="1" applyAlignment="1" applyProtection="1">
      <alignment horizontal="center" vertical="center" wrapText="1"/>
    </xf>
    <xf numFmtId="49" fontId="57" fillId="0" borderId="22" xfId="0" applyNumberFormat="1" applyFont="1" applyFill="1" applyBorder="1" applyAlignment="1" applyProtection="1">
      <alignment horizontal="center" vertical="center" wrapText="1"/>
      <protection locked="0"/>
    </xf>
    <xf numFmtId="0" fontId="57" fillId="6" borderId="46" xfId="0" applyNumberFormat="1" applyFont="1" applyFill="1" applyBorder="1" applyAlignment="1" applyProtection="1">
      <alignment horizontal="center" vertical="center" wrapText="1"/>
    </xf>
    <xf numFmtId="49" fontId="57" fillId="0" borderId="11" xfId="0" applyNumberFormat="1" applyFont="1" applyFill="1" applyBorder="1" applyAlignment="1" applyProtection="1">
      <alignment horizontal="center" vertical="center" wrapText="1"/>
      <protection locked="0"/>
    </xf>
    <xf numFmtId="0" fontId="57" fillId="2" borderId="23"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center" vertical="center" wrapText="1"/>
    </xf>
    <xf numFmtId="49" fontId="50" fillId="0" borderId="7"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center" vertical="center" wrapText="1"/>
    </xf>
    <xf numFmtId="49" fontId="50" fillId="0" borderId="41" xfId="0" applyNumberFormat="1" applyFont="1" applyFill="1" applyBorder="1" applyAlignment="1" applyProtection="1">
      <alignment horizontal="center" vertical="center" wrapText="1"/>
      <protection locked="0"/>
    </xf>
    <xf numFmtId="0" fontId="56" fillId="6" borderId="40" xfId="0" applyFont="1" applyFill="1" applyBorder="1" applyAlignment="1" applyProtection="1">
      <alignment vertical="center" textRotation="255" wrapText="1"/>
    </xf>
    <xf numFmtId="0" fontId="57" fillId="6" borderId="10" xfId="0" applyNumberFormat="1" applyFont="1" applyFill="1" applyBorder="1" applyAlignment="1" applyProtection="1">
      <alignment horizontal="center" vertical="center" wrapText="1"/>
    </xf>
    <xf numFmtId="0" fontId="75" fillId="6" borderId="14" xfId="0" applyFont="1" applyFill="1" applyBorder="1" applyAlignment="1" applyProtection="1">
      <alignment vertical="center" textRotation="255" wrapText="1"/>
    </xf>
    <xf numFmtId="0" fontId="50" fillId="0" borderId="37"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textRotation="255" wrapText="1"/>
    </xf>
    <xf numFmtId="0" fontId="52" fillId="6" borderId="14" xfId="0" applyFont="1" applyFill="1" applyBorder="1" applyAlignment="1" applyProtection="1">
      <alignment vertical="center" textRotation="255" wrapText="1"/>
    </xf>
    <xf numFmtId="9" fontId="50" fillId="0" borderId="37" xfId="0" applyNumberFormat="1" applyFont="1" applyFill="1" applyBorder="1" applyAlignment="1" applyProtection="1">
      <alignment horizontal="center" vertical="center" wrapText="1"/>
      <protection locked="0"/>
    </xf>
    <xf numFmtId="9" fontId="50" fillId="0" borderId="3" xfId="0" applyNumberFormat="1" applyFont="1" applyFill="1" applyBorder="1" applyAlignment="1" applyProtection="1">
      <alignment horizontal="center" vertical="center" wrapText="1"/>
      <protection locked="0"/>
    </xf>
    <xf numFmtId="9" fontId="50" fillId="0" borderId="23"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6" fillId="6" borderId="12" xfId="0" applyFont="1" applyFill="1" applyBorder="1" applyAlignment="1" applyProtection="1">
      <alignment vertical="center" textRotation="255"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0" fontId="56" fillId="6" borderId="21" xfId="0" applyFont="1" applyFill="1" applyBorder="1" applyAlignment="1" applyProtection="1">
      <alignment vertical="center" wrapText="1"/>
    </xf>
    <xf numFmtId="0" fontId="76" fillId="3" borderId="20" xfId="0" applyFont="1" applyFill="1" applyBorder="1" applyAlignment="1" applyProtection="1">
      <alignment vertical="center" wrapText="1"/>
      <protection locked="0"/>
    </xf>
    <xf numFmtId="0" fontId="76" fillId="6" borderId="20" xfId="0" applyFont="1" applyFill="1" applyBorder="1" applyAlignment="1" applyProtection="1">
      <alignment vertical="center" wrapText="1"/>
    </xf>
    <xf numFmtId="0" fontId="76" fillId="3" borderId="51" xfId="0" applyFont="1" applyFill="1" applyBorder="1" applyAlignment="1" applyProtection="1">
      <alignment vertical="center" wrapText="1"/>
      <protection locked="0"/>
    </xf>
    <xf numFmtId="0" fontId="76" fillId="6" borderId="21" xfId="0" applyFont="1" applyFill="1" applyBorder="1" applyAlignment="1" applyProtection="1">
      <alignment vertical="center"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186" fontId="56" fillId="6" borderId="38" xfId="0" applyNumberFormat="1" applyFont="1" applyFill="1" applyBorder="1" applyAlignment="1" applyProtection="1">
      <alignment vertical="center" wrapText="1"/>
    </xf>
    <xf numFmtId="0" fontId="56" fillId="6" borderId="68" xfId="0" applyFont="1" applyFill="1" applyBorder="1" applyAlignment="1" applyProtection="1">
      <alignment vertical="center" wrapText="1"/>
    </xf>
    <xf numFmtId="186" fontId="56" fillId="6" borderId="52" xfId="0" applyNumberFormat="1" applyFont="1" applyFill="1" applyBorder="1" applyAlignment="1" applyProtection="1">
      <alignment vertical="center" wrapText="1"/>
    </xf>
    <xf numFmtId="0" fontId="56" fillId="6" borderId="52" xfId="0" applyFont="1" applyFill="1" applyBorder="1" applyAlignment="1" applyProtection="1">
      <alignmen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186" fontId="56" fillId="6" borderId="47" xfId="0" applyNumberFormat="1" applyFont="1" applyFill="1" applyBorder="1" applyAlignment="1" applyProtection="1">
      <alignment vertical="center" wrapText="1"/>
    </xf>
    <xf numFmtId="189" fontId="57" fillId="0" borderId="0" xfId="0" applyNumberFormat="1" applyFont="1" applyFill="1" applyAlignment="1" applyProtection="1">
      <alignment horizontal="center" vertical="center"/>
      <protection locked="0"/>
    </xf>
    <xf numFmtId="181" fontId="57" fillId="0" borderId="0" xfId="0" applyNumberFormat="1" applyFont="1" applyFill="1" applyAlignment="1" applyProtection="1">
      <alignment horizontal="center" vertical="center"/>
      <protection locked="0"/>
    </xf>
    <xf numFmtId="0" fontId="56" fillId="6" borderId="1"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181" fontId="57" fillId="6" borderId="5" xfId="0" applyNumberFormat="1" applyFont="1" applyFill="1" applyBorder="1" applyAlignment="1" applyProtection="1">
      <alignment horizontal="center" vertical="center"/>
    </xf>
    <xf numFmtId="181" fontId="57" fillId="6" borderId="3" xfId="0" applyNumberFormat="1" applyFont="1" applyFill="1" applyBorder="1" applyAlignment="1" applyProtection="1">
      <alignment vertical="center"/>
    </xf>
    <xf numFmtId="0" fontId="56" fillId="6" borderId="3" xfId="0"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57" fillId="0" borderId="0" xfId="0" applyFont="1" applyBorder="1" applyAlignment="1" applyProtection="1">
      <protection locked="0"/>
    </xf>
    <xf numFmtId="9" fontId="50" fillId="0" borderId="0"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vertical="center" wrapText="1"/>
    </xf>
    <xf numFmtId="0" fontId="52" fillId="6" borderId="39" xfId="0" applyNumberFormat="1" applyFont="1" applyFill="1" applyBorder="1" applyAlignment="1" applyProtection="1">
      <alignment vertical="center" wrapText="1"/>
    </xf>
    <xf numFmtId="49" fontId="50" fillId="0" borderId="0" xfId="0" applyNumberFormat="1" applyFont="1" applyFill="1" applyBorder="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35" xfId="0" applyNumberFormat="1" applyFont="1" applyFill="1" applyBorder="1" applyAlignment="1" applyProtection="1">
      <alignment vertical="center" wrapText="1"/>
    </xf>
    <xf numFmtId="0" fontId="50" fillId="0" borderId="22"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0" fillId="0" borderId="46" xfId="0" applyNumberFormat="1" applyFont="1" applyFill="1" applyBorder="1" applyAlignment="1" applyProtection="1">
      <alignment horizontal="center" vertical="center" wrapText="1"/>
      <protection locked="0"/>
    </xf>
    <xf numFmtId="0" fontId="50" fillId="0" borderId="61" xfId="0" applyNumberFormat="1" applyFont="1" applyFill="1" applyBorder="1" applyAlignment="1" applyProtection="1">
      <alignment horizontal="center" vertical="center" wrapText="1"/>
      <protection locked="0"/>
    </xf>
    <xf numFmtId="0" fontId="52" fillId="6" borderId="42" xfId="0" applyNumberFormat="1" applyFont="1" applyFill="1" applyBorder="1" applyAlignment="1" applyProtection="1">
      <alignment vertical="center"/>
    </xf>
    <xf numFmtId="0" fontId="52" fillId="6" borderId="73" xfId="0" applyNumberFormat="1" applyFont="1" applyFill="1" applyBorder="1" applyAlignment="1" applyProtection="1">
      <alignment vertical="center" wrapText="1"/>
    </xf>
    <xf numFmtId="0" fontId="50" fillId="0" borderId="73"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0" fillId="0" borderId="76"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xf>
    <xf numFmtId="0" fontId="50" fillId="6" borderId="7" xfId="0" applyNumberFormat="1" applyFont="1" applyFill="1" applyBorder="1" applyAlignment="1" applyProtection="1">
      <alignment horizontal="center" vertical="center" wrapText="1"/>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107" fillId="0" borderId="0" xfId="0" applyFont="1" applyFill="1" applyBorder="1" applyAlignment="1" applyProtection="1">
      <alignment vertical="center"/>
      <protection locked="0"/>
    </xf>
    <xf numFmtId="0" fontId="56" fillId="6" borderId="40" xfId="0" applyNumberFormat="1" applyFont="1" applyFill="1" applyBorder="1" applyAlignment="1" applyProtection="1">
      <alignment vertical="center" wrapText="1"/>
    </xf>
    <xf numFmtId="0" fontId="50" fillId="6" borderId="17"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wrapText="1"/>
    </xf>
    <xf numFmtId="0" fontId="55" fillId="6" borderId="77" xfId="0" applyNumberFormat="1" applyFont="1" applyFill="1" applyBorder="1" applyAlignment="1" applyProtection="1">
      <alignment horizontal="center" vertical="center" wrapText="1"/>
    </xf>
    <xf numFmtId="0" fontId="57" fillId="0" borderId="78" xfId="0" applyNumberFormat="1" applyFont="1" applyFill="1" applyBorder="1" applyAlignment="1" applyProtection="1">
      <alignment horizontal="center" vertical="center" wrapText="1"/>
      <protection locked="0"/>
    </xf>
    <xf numFmtId="0" fontId="57" fillId="0" borderId="79" xfId="0" applyNumberFormat="1" applyFont="1" applyFill="1" applyBorder="1" applyAlignment="1" applyProtection="1">
      <alignment horizontal="center" vertical="center" wrapText="1"/>
      <protection locked="0"/>
    </xf>
    <xf numFmtId="0" fontId="50" fillId="6" borderId="57" xfId="0" applyNumberFormat="1" applyFont="1" applyFill="1" applyBorder="1" applyAlignment="1" applyProtection="1">
      <alignment horizontal="center" vertical="center" wrapText="1"/>
    </xf>
    <xf numFmtId="0" fontId="57"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50" fillId="6" borderId="77" xfId="0" applyNumberFormat="1" applyFont="1" applyFill="1" applyBorder="1" applyAlignment="1" applyProtection="1">
      <alignment horizontal="center" vertical="center" wrapText="1"/>
    </xf>
    <xf numFmtId="0" fontId="57" fillId="6" borderId="78" xfId="0" applyNumberFormat="1" applyFont="1" applyFill="1" applyBorder="1" applyAlignment="1" applyProtection="1">
      <alignment horizontal="center" vertical="center" wrapText="1"/>
    </xf>
    <xf numFmtId="0" fontId="57" fillId="6" borderId="79"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7" fillId="6" borderId="2"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50" fillId="0" borderId="78"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wrapText="1"/>
      <protection locked="0"/>
    </xf>
    <xf numFmtId="0" fontId="75" fillId="6" borderId="12" xfId="0" applyNumberFormat="1" applyFont="1" applyFill="1" applyBorder="1" applyAlignment="1" applyProtection="1">
      <alignment vertical="center" wrapText="1"/>
    </xf>
    <xf numFmtId="0" fontId="50" fillId="6" borderId="74" xfId="0" applyNumberFormat="1" applyFont="1" applyFill="1" applyBorder="1" applyAlignment="1" applyProtection="1">
      <alignment horizontal="center" vertical="center" wrapText="1"/>
    </xf>
    <xf numFmtId="0" fontId="50" fillId="0" borderId="32"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0"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left" vertical="center" wrapText="1"/>
    </xf>
    <xf numFmtId="0" fontId="74" fillId="6" borderId="10" xfId="0" applyNumberFormat="1" applyFont="1" applyFill="1" applyBorder="1" applyAlignment="1" applyProtection="1">
      <alignment horizontal="center" vertical="center" wrapText="1"/>
    </xf>
    <xf numFmtId="0" fontId="50" fillId="0" borderId="0" xfId="0" applyFont="1" applyFill="1" applyBorder="1" applyAlignment="1" applyProtection="1">
      <alignment vertical="center" wrapText="1"/>
      <protection locked="0"/>
    </xf>
    <xf numFmtId="0" fontId="50" fillId="6" borderId="4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78" xfId="0" applyNumberFormat="1" applyFont="1" applyFill="1" applyBorder="1" applyAlignment="1" applyProtection="1">
      <alignment horizontal="center" vertical="center" wrapText="1"/>
    </xf>
    <xf numFmtId="0" fontId="57"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49"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50" fillId="6" borderId="58"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textRotation="255" wrapText="1"/>
    </xf>
    <xf numFmtId="0" fontId="55" fillId="6" borderId="44"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left" vertical="center" wrapText="1"/>
    </xf>
    <xf numFmtId="0" fontId="55"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left" vertical="center" wrapText="1"/>
    </xf>
    <xf numFmtId="0" fontId="55" fillId="6" borderId="24"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186" fontId="63" fillId="6" borderId="13" xfId="0" applyNumberFormat="1" applyFont="1" applyFill="1" applyBorder="1" applyAlignment="1" applyProtection="1">
      <alignment horizontal="right" vertical="center"/>
    </xf>
    <xf numFmtId="189" fontId="50" fillId="6" borderId="3"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4" fillId="6" borderId="41" xfId="0" applyNumberFormat="1" applyFont="1" applyFill="1" applyBorder="1" applyAlignment="1" applyProtection="1">
      <alignment horizontal="center" vertical="center" wrapText="1"/>
    </xf>
    <xf numFmtId="0" fontId="57" fillId="2" borderId="37" xfId="0" applyNumberFormat="1" applyFont="1" applyFill="1" applyBorder="1" applyAlignment="1" applyProtection="1">
      <alignment horizontal="center" vertical="center" wrapText="1"/>
      <protection locked="0"/>
    </xf>
    <xf numFmtId="17" fontId="55" fillId="0" borderId="37" xfId="0" applyNumberFormat="1" applyFont="1" applyFill="1" applyBorder="1" applyAlignment="1" applyProtection="1">
      <alignment horizontal="center" vertical="center" wrapText="1"/>
      <protection locked="0"/>
    </xf>
    <xf numFmtId="0" fontId="55" fillId="0" borderId="37" xfId="0" applyNumberFormat="1" applyFont="1" applyFill="1" applyBorder="1" applyAlignment="1" applyProtection="1">
      <alignment horizontal="center" vertical="center" wrapText="1"/>
      <protection locked="0"/>
    </xf>
    <xf numFmtId="189" fontId="57" fillId="3" borderId="3" xfId="0" applyNumberFormat="1" applyFont="1" applyFill="1" applyBorder="1" applyAlignment="1" applyProtection="1">
      <alignment horizontal="center" vertical="center"/>
      <protection locked="0"/>
    </xf>
    <xf numFmtId="189" fontId="57" fillId="3" borderId="3" xfId="0" applyNumberFormat="1" applyFont="1" applyFill="1" applyBorder="1" applyAlignment="1" applyProtection="1">
      <alignment horizontal="center" vertical="center" wrapText="1"/>
      <protection locked="0"/>
    </xf>
    <xf numFmtId="189" fontId="57" fillId="3" borderId="1" xfId="0" applyNumberFormat="1" applyFont="1" applyFill="1" applyBorder="1" applyAlignment="1" applyProtection="1">
      <alignment horizontal="center" vertical="center" wrapText="1"/>
      <protection locked="0"/>
    </xf>
    <xf numFmtId="0" fontId="50" fillId="6" borderId="4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left" vertical="center" wrapText="1"/>
      <protection locked="0"/>
    </xf>
    <xf numFmtId="0" fontId="74" fillId="0" borderId="53" xfId="0" applyNumberFormat="1" applyFont="1" applyFill="1" applyBorder="1" applyAlignment="1" applyProtection="1">
      <alignment horizontal="center" vertical="center" wrapText="1"/>
      <protection locked="0"/>
    </xf>
    <xf numFmtId="0" fontId="107" fillId="0" borderId="44"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50" fillId="6" borderId="62"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xf>
    <xf numFmtId="0" fontId="50" fillId="6" borderId="61" xfId="0" applyFont="1" applyFill="1" applyBorder="1" applyAlignment="1" applyProtection="1">
      <alignment horizontal="center" vertical="center" wrapText="1"/>
    </xf>
    <xf numFmtId="0" fontId="50" fillId="6" borderId="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57" fillId="2" borderId="54" xfId="0" applyNumberFormat="1"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57" fillId="6" borderId="57"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0" fontId="50" fillId="6" borderId="22"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50" fillId="6" borderId="54" xfId="0" applyFont="1" applyFill="1" applyBorder="1" applyAlignment="1" applyProtection="1">
      <alignment horizontal="center" vertical="center" wrapText="1"/>
    </xf>
    <xf numFmtId="0" fontId="56" fillId="6" borderId="80" xfId="0" applyFont="1" applyFill="1" applyBorder="1" applyAlignment="1" applyProtection="1">
      <alignment vertical="center" wrapText="1"/>
    </xf>
    <xf numFmtId="0" fontId="50" fillId="0" borderId="36" xfId="0" applyFont="1" applyFill="1" applyBorder="1" applyAlignment="1" applyProtection="1">
      <alignment horizontal="center" vertical="center" wrapText="1"/>
      <protection locked="0"/>
    </xf>
    <xf numFmtId="0" fontId="52" fillId="6" borderId="80" xfId="0"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7" fillId="6" borderId="53" xfId="0" applyFont="1" applyFill="1" applyBorder="1" applyAlignment="1" applyProtection="1">
      <alignment horizontal="center" vertical="center"/>
    </xf>
    <xf numFmtId="0" fontId="50" fillId="0" borderId="61" xfId="0"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wrapText="1"/>
    </xf>
    <xf numFmtId="0" fontId="50" fillId="6" borderId="76" xfId="0" applyNumberFormat="1" applyFont="1" applyFill="1" applyBorder="1" applyAlignment="1" applyProtection="1">
      <alignment horizontal="center" vertical="center" wrapText="1"/>
    </xf>
    <xf numFmtId="0" fontId="50" fillId="6" borderId="75" xfId="0" applyNumberFormat="1" applyFont="1" applyFill="1" applyBorder="1" applyAlignment="1" applyProtection="1">
      <alignment horizontal="center" vertical="center" wrapText="1"/>
    </xf>
    <xf numFmtId="0" fontId="56" fillId="6" borderId="16" xfId="0" applyFont="1" applyFill="1" applyBorder="1" applyAlignment="1" applyProtection="1">
      <alignment vertical="center" textRotation="255" wrapText="1"/>
    </xf>
    <xf numFmtId="0" fontId="75" fillId="6" borderId="18" xfId="0" applyFont="1" applyFill="1" applyBorder="1" applyAlignment="1" applyProtection="1">
      <alignment vertical="center" textRotation="255" wrapText="1"/>
    </xf>
    <xf numFmtId="0" fontId="50" fillId="6" borderId="24" xfId="0" applyFont="1" applyFill="1" applyBorder="1" applyAlignment="1" applyProtection="1">
      <alignment horizontal="center" vertical="center" wrapText="1"/>
    </xf>
    <xf numFmtId="49" fontId="50" fillId="0" borderId="37"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vertical="center" textRotation="255" wrapText="1"/>
    </xf>
    <xf numFmtId="0" fontId="50" fillId="2"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56" fillId="6" borderId="42" xfId="0" applyFont="1" applyFill="1" applyBorder="1" applyAlignment="1" applyProtection="1">
      <alignment vertical="center" textRotation="255" wrapText="1"/>
    </xf>
    <xf numFmtId="0" fontId="57" fillId="6" borderId="15" xfId="0" applyNumberFormat="1" applyFont="1" applyFill="1" applyBorder="1" applyAlignment="1" applyProtection="1">
      <alignment horizontal="center" vertical="center" wrapText="1"/>
    </xf>
    <xf numFmtId="49" fontId="57"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left" vertical="center" wrapText="1"/>
      <protection locked="0"/>
    </xf>
    <xf numFmtId="49" fontId="74" fillId="0" borderId="10" xfId="0" applyNumberFormat="1" applyFont="1" applyFill="1" applyBorder="1" applyAlignment="1" applyProtection="1">
      <alignment horizontal="center" vertical="center" wrapText="1"/>
      <protection locked="0"/>
    </xf>
    <xf numFmtId="0" fontId="50" fillId="6" borderId="53"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left" vertical="center" wrapText="1"/>
    </xf>
    <xf numFmtId="0" fontId="74" fillId="6" borderId="53" xfId="0" applyNumberFormat="1" applyFont="1" applyFill="1" applyBorder="1" applyAlignment="1" applyProtection="1">
      <alignment horizontal="center" vertical="center" wrapText="1"/>
    </xf>
    <xf numFmtId="177" fontId="63" fillId="6" borderId="1" xfId="0" applyNumberFormat="1" applyFont="1" applyFill="1" applyBorder="1" applyAlignment="1" applyProtection="1">
      <alignment horizontal="right" vertical="center"/>
    </xf>
    <xf numFmtId="0" fontId="67" fillId="6" borderId="3" xfId="0" applyNumberFormat="1"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57" fillId="0" borderId="23" xfId="0" applyNumberFormat="1" applyFont="1" applyFill="1" applyBorder="1" applyAlignment="1" applyProtection="1">
      <alignment horizontal="center" vertical="center" wrapText="1"/>
      <protection locked="0"/>
    </xf>
    <xf numFmtId="0" fontId="57" fillId="6" borderId="18" xfId="0" applyFont="1" applyFill="1" applyBorder="1" applyAlignment="1" applyProtection="1">
      <alignment horizontal="center" vertical="center"/>
    </xf>
    <xf numFmtId="0" fontId="75" fillId="6" borderId="42" xfId="0" applyFont="1" applyFill="1" applyBorder="1" applyAlignment="1" applyProtection="1">
      <alignment vertical="center" textRotation="255" wrapText="1"/>
    </xf>
    <xf numFmtId="0" fontId="57" fillId="0" borderId="13" xfId="0" applyNumberFormat="1" applyFont="1" applyFill="1" applyBorder="1" applyAlignment="1" applyProtection="1">
      <alignment horizontal="center" vertical="center" wrapText="1"/>
      <protection locked="0"/>
    </xf>
    <xf numFmtId="0" fontId="57" fillId="0" borderId="25"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77" fillId="6" borderId="3"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right" vertical="center" wrapText="1"/>
    </xf>
    <xf numFmtId="49" fontId="56" fillId="6" borderId="68" xfId="0" applyNumberFormat="1" applyFont="1" applyFill="1" applyBorder="1" applyAlignment="1" applyProtection="1">
      <alignment vertical="center"/>
    </xf>
    <xf numFmtId="14" fontId="57" fillId="6" borderId="6" xfId="0" applyNumberFormat="1" applyFont="1" applyFill="1" applyBorder="1" applyAlignment="1" applyProtection="1">
      <alignment horizontal="left" vertical="center"/>
    </xf>
    <xf numFmtId="176" fontId="57" fillId="6" borderId="9"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0" xfId="0" applyFont="1" applyFill="1" applyBorder="1" applyAlignment="1" applyProtection="1">
      <alignment horizontal="center" vertical="center"/>
    </xf>
    <xf numFmtId="0" fontId="59" fillId="6" borderId="23" xfId="0" applyFont="1" applyFill="1" applyBorder="1" applyAlignment="1" applyProtection="1"/>
    <xf numFmtId="186" fontId="59" fillId="6" borderId="1" xfId="1" applyNumberFormat="1" applyFont="1" applyFill="1" applyBorder="1" applyAlignment="1" applyProtection="1">
      <alignment horizontal="center"/>
    </xf>
    <xf numFmtId="0" fontId="59" fillId="6" borderId="1" xfId="0" applyFont="1" applyFill="1" applyBorder="1" applyAlignment="1" applyProtection="1">
      <alignment horizontal="center"/>
    </xf>
    <xf numFmtId="177" fontId="59" fillId="6" borderId="24" xfId="1" applyNumberFormat="1" applyFont="1" applyFill="1" applyBorder="1" applyAlignment="1" applyProtection="1">
      <alignment horizontal="center"/>
    </xf>
    <xf numFmtId="0" fontId="78" fillId="0" borderId="0" xfId="0" applyFont="1" applyFill="1" applyAlignment="1" applyProtection="1">
      <alignment horizontal="center" vertical="center"/>
      <protection locked="0"/>
    </xf>
    <xf numFmtId="0" fontId="59" fillId="6" borderId="23" xfId="1" applyFont="1" applyFill="1" applyBorder="1" applyAlignment="1" applyProtection="1"/>
    <xf numFmtId="179" fontId="59" fillId="0" borderId="1" xfId="1" applyNumberFormat="1" applyFont="1" applyFill="1" applyBorder="1" applyAlignment="1" applyProtection="1">
      <alignment horizontal="center"/>
      <protection locked="0"/>
    </xf>
    <xf numFmtId="0" fontId="60" fillId="6" borderId="25" xfId="1" applyFont="1" applyFill="1" applyBorder="1" applyAlignment="1" applyProtection="1"/>
    <xf numFmtId="0" fontId="59" fillId="6" borderId="32" xfId="0" applyFont="1" applyFill="1" applyBorder="1" applyAlignment="1" applyProtection="1">
      <alignment horizontal="center"/>
    </xf>
    <xf numFmtId="177" fontId="60" fillId="6" borderId="49" xfId="0" applyNumberFormat="1" applyFont="1" applyFill="1" applyBorder="1" applyAlignment="1" applyProtection="1">
      <alignment horizontal="center"/>
    </xf>
    <xf numFmtId="0" fontId="50" fillId="6" borderId="44" xfId="0" applyNumberFormat="1" applyFont="1" applyFill="1" applyBorder="1" applyAlignment="1" applyProtection="1">
      <alignment horizontal="left" vertical="center" wrapText="1"/>
    </xf>
    <xf numFmtId="0" fontId="57" fillId="0" borderId="61" xfId="0" applyNumberFormat="1" applyFont="1" applyFill="1" applyBorder="1" applyAlignment="1" applyProtection="1">
      <alignment horizontal="center" vertical="center" wrapText="1"/>
      <protection locked="0"/>
    </xf>
    <xf numFmtId="0" fontId="55" fillId="6" borderId="74" xfId="0" applyNumberFormat="1" applyFont="1" applyFill="1" applyBorder="1" applyAlignment="1" applyProtection="1">
      <alignment horizontal="center" vertical="center" wrapText="1"/>
    </xf>
    <xf numFmtId="0" fontId="57" fillId="0" borderId="66" xfId="0" applyNumberFormat="1" applyFont="1" applyFill="1" applyBorder="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6" borderId="16"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31"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protection locked="0"/>
    </xf>
    <xf numFmtId="0" fontId="53" fillId="6" borderId="18" xfId="0" applyNumberFormat="1" applyFont="1" applyFill="1" applyBorder="1" applyAlignment="1" applyProtection="1">
      <alignment horizontal="center" vertical="center"/>
    </xf>
    <xf numFmtId="0" fontId="53" fillId="0" borderId="23"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4" fillId="6" borderId="59"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3" fillId="0" borderId="56" xfId="0" applyNumberFormat="1" applyFont="1" applyFill="1" applyBorder="1" applyAlignment="1" applyProtection="1">
      <alignment horizontal="center" vertical="center" wrapText="1"/>
      <protection locked="0"/>
    </xf>
    <xf numFmtId="0" fontId="59" fillId="6" borderId="25" xfId="0" applyNumberFormat="1" applyFont="1" applyFill="1" applyBorder="1" applyAlignment="1" applyProtection="1">
      <alignment horizontal="center" vertical="center" wrapText="1"/>
    </xf>
    <xf numFmtId="0" fontId="51" fillId="6" borderId="1" xfId="0" applyFont="1" applyFill="1" applyBorder="1" applyProtection="1">
      <alignment vertical="center"/>
    </xf>
    <xf numFmtId="0" fontId="53"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protection locked="0"/>
    </xf>
    <xf numFmtId="0" fontId="66" fillId="6" borderId="1" xfId="0" applyFont="1" applyFill="1" applyBorder="1" applyAlignment="1" applyProtection="1">
      <alignment horizontal="center" vertical="center"/>
    </xf>
    <xf numFmtId="0" fontId="66" fillId="2" borderId="1"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0" fontId="66" fillId="0" borderId="0" xfId="0" applyFont="1" applyProtection="1">
      <alignment vertical="center"/>
      <protection locked="0"/>
    </xf>
    <xf numFmtId="0" fontId="50" fillId="6" borderId="23" xfId="0" applyFont="1" applyFill="1" applyBorder="1" applyAlignment="1" applyProtection="1">
      <alignment vertical="center"/>
    </xf>
    <xf numFmtId="0" fontId="59" fillId="0" borderId="8" xfId="1" applyNumberFormat="1" applyFont="1" applyFill="1" applyBorder="1" applyAlignment="1" applyProtection="1">
      <alignment horizontal="center" vertical="center"/>
      <protection locked="0"/>
    </xf>
    <xf numFmtId="0" fontId="59" fillId="0" borderId="61" xfId="1" applyNumberFormat="1" applyFont="1" applyFill="1" applyBorder="1" applyAlignment="1" applyProtection="1">
      <alignment horizontal="center" vertical="center"/>
      <protection locked="0"/>
    </xf>
    <xf numFmtId="181" fontId="53" fillId="0" borderId="10" xfId="0" applyNumberFormat="1" applyFont="1" applyFill="1" applyBorder="1" applyAlignment="1" applyProtection="1">
      <alignment horizontal="center" vertical="center"/>
      <protection locked="0"/>
    </xf>
    <xf numFmtId="0" fontId="52" fillId="0" borderId="32" xfId="0" applyFont="1" applyFill="1" applyBorder="1" applyAlignment="1" applyProtection="1">
      <alignment horizontal="center" vertical="center"/>
      <protection locked="0"/>
    </xf>
    <xf numFmtId="0" fontId="107" fillId="0" borderId="0" xfId="0" applyFont="1" applyProtection="1">
      <alignment vertical="center"/>
    </xf>
    <xf numFmtId="179" fontId="52" fillId="6" borderId="66" xfId="0" applyNumberFormat="1" applyFont="1" applyFill="1" applyBorder="1" applyAlignment="1" applyProtection="1">
      <alignment vertical="center"/>
    </xf>
    <xf numFmtId="179" fontId="52" fillId="6" borderId="32" xfId="0" applyNumberFormat="1" applyFont="1" applyFill="1" applyBorder="1" applyAlignment="1" applyProtection="1">
      <alignment vertical="center"/>
    </xf>
    <xf numFmtId="179" fontId="52" fillId="6" borderId="49" xfId="0" applyNumberFormat="1" applyFont="1" applyFill="1" applyBorder="1" applyAlignment="1" applyProtection="1">
      <alignment vertical="center"/>
    </xf>
    <xf numFmtId="0" fontId="53" fillId="6" borderId="0" xfId="0" applyFont="1" applyFill="1" applyAlignment="1" applyProtection="1">
      <alignment vertical="center"/>
    </xf>
    <xf numFmtId="0" fontId="107" fillId="6" borderId="0" xfId="0" applyFont="1" applyFill="1" applyAlignment="1" applyProtection="1">
      <alignment vertical="center"/>
    </xf>
    <xf numFmtId="0" fontId="107" fillId="6" borderId="0" xfId="0" applyFont="1" applyFill="1" applyAlignment="1" applyProtection="1">
      <alignment horizontal="left" vertical="center"/>
    </xf>
    <xf numFmtId="0" fontId="107" fillId="6" borderId="0" xfId="2" applyFont="1" applyFill="1" applyAlignment="1" applyProtection="1">
      <alignment horizontal="left"/>
    </xf>
    <xf numFmtId="0" fontId="113" fillId="6" borderId="1"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3"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48" xfId="0" applyFont="1" applyFill="1" applyBorder="1" applyAlignment="1" applyProtection="1">
      <alignment vertical="center" wrapText="1"/>
    </xf>
    <xf numFmtId="0" fontId="113" fillId="6" borderId="33" xfId="0" applyFont="1" applyFill="1" applyBorder="1" applyAlignment="1" applyProtection="1">
      <alignment vertical="center" wrapText="1"/>
    </xf>
    <xf numFmtId="0" fontId="113" fillId="6" borderId="68" xfId="0" applyFont="1" applyFill="1" applyBorder="1" applyAlignment="1" applyProtection="1">
      <alignment vertical="center" wrapText="1"/>
    </xf>
    <xf numFmtId="49" fontId="63"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66" fillId="6" borderId="0" xfId="0" applyFont="1" applyFill="1" applyBorder="1" applyAlignment="1" applyProtection="1">
      <alignment horizontal="center" vertical="center"/>
    </xf>
    <xf numFmtId="0" fontId="53" fillId="6" borderId="0" xfId="0" applyFont="1" applyFill="1" applyBorder="1" applyAlignment="1" applyProtection="1">
      <alignment vertical="center"/>
    </xf>
    <xf numFmtId="0" fontId="59" fillId="6" borderId="0" xfId="0" applyFont="1" applyFill="1" applyBorder="1" applyAlignment="1" applyProtection="1">
      <alignment horizontal="left" vertical="center"/>
    </xf>
    <xf numFmtId="179" fontId="66" fillId="6" borderId="0" xfId="0" applyNumberFormat="1" applyFont="1" applyFill="1" applyBorder="1" applyAlignment="1" applyProtection="1">
      <alignment horizontal="center" vertical="center"/>
    </xf>
    <xf numFmtId="0" fontId="53" fillId="6" borderId="0" xfId="0" applyFont="1" applyFill="1" applyAlignment="1" applyProtection="1">
      <alignment horizontal="left" vertical="center"/>
    </xf>
    <xf numFmtId="0" fontId="69" fillId="6" borderId="0" xfId="0" applyFont="1" applyFill="1" applyAlignment="1" applyProtection="1">
      <alignment vertical="center"/>
    </xf>
    <xf numFmtId="49" fontId="68" fillId="6" borderId="0" xfId="0" applyNumberFormat="1" applyFont="1" applyFill="1" applyBorder="1" applyAlignment="1" applyProtection="1">
      <alignment horizontal="left"/>
    </xf>
    <xf numFmtId="0" fontId="71" fillId="6" borderId="36" xfId="0" applyFont="1" applyFill="1" applyBorder="1" applyAlignment="1" applyProtection="1">
      <alignment vertical="center"/>
    </xf>
    <xf numFmtId="0" fontId="68" fillId="6" borderId="36" xfId="0" applyFont="1" applyFill="1" applyBorder="1" applyAlignment="1" applyProtection="1">
      <alignment vertical="center"/>
    </xf>
    <xf numFmtId="189" fontId="68" fillId="6" borderId="36" xfId="0" applyNumberFormat="1" applyFont="1" applyFill="1" applyBorder="1" applyAlignment="1" applyProtection="1">
      <alignment horizontal="center" vertical="center"/>
    </xf>
    <xf numFmtId="181" fontId="68" fillId="6" borderId="36" xfId="0" applyNumberFormat="1" applyFont="1" applyFill="1" applyBorder="1" applyAlignment="1" applyProtection="1">
      <alignment vertical="center"/>
    </xf>
    <xf numFmtId="0" fontId="68" fillId="6" borderId="36" xfId="0" applyFont="1" applyFill="1" applyBorder="1" applyAlignment="1" applyProtection="1">
      <alignment horizontal="center" vertical="center"/>
    </xf>
    <xf numFmtId="0" fontId="57" fillId="6" borderId="0" xfId="0" applyFont="1" applyFill="1" applyAlignment="1" applyProtection="1">
      <alignment horizontal="center" vertical="center"/>
    </xf>
    <xf numFmtId="0" fontId="74" fillId="6" borderId="0" xfId="0" applyFont="1" applyFill="1" applyAlignment="1" applyProtection="1">
      <alignment horizontal="center" vertical="center"/>
    </xf>
    <xf numFmtId="14" fontId="57" fillId="6" borderId="0" xfId="0" applyNumberFormat="1" applyFont="1" applyFill="1" applyAlignment="1" applyProtection="1">
      <alignment horizontal="center" vertical="center"/>
    </xf>
    <xf numFmtId="176" fontId="57" fillId="6" borderId="0" xfId="0" applyNumberFormat="1" applyFont="1" applyFill="1" applyAlignment="1" applyProtection="1">
      <alignment horizontal="center" vertical="center"/>
    </xf>
    <xf numFmtId="0" fontId="62" fillId="6" borderId="0" xfId="0" applyFont="1" applyFill="1" applyBorder="1" applyAlignment="1" applyProtection="1"/>
    <xf numFmtId="0" fontId="57" fillId="6" borderId="0" xfId="0" applyFont="1" applyFill="1" applyBorder="1" applyAlignment="1" applyProtection="1"/>
    <xf numFmtId="0" fontId="57" fillId="6" borderId="0" xfId="0" applyFont="1" applyFill="1" applyBorder="1" applyAlignment="1" applyProtection="1">
      <alignment horizontal="center"/>
    </xf>
    <xf numFmtId="189" fontId="57" fillId="6" borderId="0" xfId="0" applyNumberFormat="1" applyFont="1" applyFill="1" applyBorder="1" applyAlignment="1" applyProtection="1">
      <alignment horizontal="center"/>
    </xf>
    <xf numFmtId="181" fontId="57" fillId="6" borderId="0" xfId="0" applyNumberFormat="1" applyFont="1" applyFill="1" applyBorder="1" applyAlignment="1" applyProtection="1"/>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188"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8" fontId="57" fillId="6" borderId="5" xfId="0" applyNumberFormat="1" applyFont="1" applyFill="1" applyBorder="1" applyAlignment="1" applyProtection="1">
      <alignment horizontal="center" vertical="center"/>
    </xf>
    <xf numFmtId="49" fontId="57" fillId="6" borderId="3"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7" fillId="6" borderId="2" xfId="0" applyFont="1" applyFill="1" applyBorder="1" applyAlignment="1" applyProtection="1">
      <alignment vertical="center" textRotation="255" wrapText="1"/>
    </xf>
    <xf numFmtId="0" fontId="69" fillId="6" borderId="0" xfId="0" applyFont="1" applyFill="1" applyAlignment="1" applyProtection="1">
      <alignment horizontal="center" vertical="center"/>
    </xf>
    <xf numFmtId="189" fontId="57" fillId="6" borderId="3" xfId="0" applyNumberFormat="1" applyFont="1" applyFill="1" applyBorder="1" applyAlignment="1" applyProtection="1">
      <alignment horizontal="center" vertical="center"/>
    </xf>
    <xf numFmtId="189" fontId="57" fillId="6" borderId="3" xfId="0" applyNumberFormat="1" applyFont="1" applyFill="1" applyBorder="1" applyAlignment="1" applyProtection="1">
      <alignment horizontal="center" vertical="center" wrapText="1"/>
    </xf>
    <xf numFmtId="189" fontId="57" fillId="6" borderId="1" xfId="0" applyNumberFormat="1" applyFont="1" applyFill="1" applyBorder="1" applyAlignment="1" applyProtection="1">
      <alignment horizontal="center" vertical="center" wrapText="1"/>
    </xf>
    <xf numFmtId="0" fontId="68" fillId="6" borderId="60" xfId="0" applyFont="1" applyFill="1" applyBorder="1" applyAlignment="1" applyProtection="1">
      <alignment horizontal="center" vertical="center"/>
    </xf>
    <xf numFmtId="0" fontId="59" fillId="6" borderId="0" xfId="0" applyFont="1" applyFill="1" applyAlignment="1" applyProtection="1"/>
    <xf numFmtId="0" fontId="53" fillId="6" borderId="0" xfId="0" applyNumberFormat="1" applyFont="1" applyFill="1" applyAlignment="1" applyProtection="1">
      <alignment horizontal="center" vertical="center"/>
      <protection locked="0"/>
    </xf>
    <xf numFmtId="0" fontId="50" fillId="6" borderId="32" xfId="0" applyFont="1" applyFill="1" applyBorder="1" applyAlignment="1" applyProtection="1">
      <alignment horizontal="center" vertical="center"/>
    </xf>
    <xf numFmtId="0" fontId="50" fillId="6" borderId="49" xfId="0" applyFont="1" applyFill="1" applyBorder="1" applyAlignment="1" applyProtection="1">
      <alignment horizontal="center" vertical="center"/>
    </xf>
    <xf numFmtId="181" fontId="114" fillId="6" borderId="65" xfId="0" applyNumberFormat="1" applyFont="1" applyFill="1" applyBorder="1" applyAlignment="1" applyProtection="1">
      <alignment horizontal="center" vertical="center"/>
    </xf>
    <xf numFmtId="179" fontId="59" fillId="7" borderId="0" xfId="0" applyNumberFormat="1" applyFont="1" applyFill="1" applyBorder="1" applyAlignment="1" applyProtection="1">
      <alignment horizontal="center" vertical="center"/>
      <protection locked="0"/>
    </xf>
    <xf numFmtId="49" fontId="60" fillId="7" borderId="0" xfId="0" applyNumberFormat="1" applyFont="1" applyFill="1" applyBorder="1" applyAlignment="1" applyProtection="1">
      <alignment horizontal="left" vertical="center"/>
      <protection locked="0"/>
    </xf>
    <xf numFmtId="0" fontId="69" fillId="7" borderId="0" xfId="0" applyFont="1" applyFill="1" applyAlignment="1" applyProtection="1">
      <alignment vertical="center"/>
      <protection locked="0"/>
    </xf>
    <xf numFmtId="0" fontId="53" fillId="7" borderId="0" xfId="0" applyFont="1" applyFill="1" applyProtection="1">
      <alignment vertical="center"/>
      <protection locked="0"/>
    </xf>
    <xf numFmtId="0" fontId="59"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wrapText="1"/>
      <protection locked="0"/>
    </xf>
    <xf numFmtId="0" fontId="66" fillId="7" borderId="0" xfId="0" applyFont="1" applyFill="1" applyProtection="1">
      <alignment vertical="center"/>
      <protection locked="0"/>
    </xf>
    <xf numFmtId="10" fontId="53" fillId="0" borderId="1" xfId="1" applyNumberFormat="1" applyFont="1" applyFill="1" applyBorder="1" applyAlignment="1" applyProtection="1">
      <alignment horizontal="center" vertical="center"/>
      <protection locked="0"/>
    </xf>
    <xf numFmtId="181" fontId="108" fillId="0" borderId="1" xfId="0" applyNumberFormat="1" applyFont="1" applyFill="1" applyBorder="1" applyAlignment="1" applyProtection="1">
      <alignment horizontal="center" vertical="center"/>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53" fillId="0" borderId="23" xfId="0" applyFont="1" applyBorder="1" applyAlignment="1" applyProtection="1">
      <alignment vertical="center"/>
      <protection locked="0"/>
    </xf>
    <xf numFmtId="181" fontId="53" fillId="0" borderId="1" xfId="0" applyNumberFormat="1" applyFont="1" applyBorder="1" applyAlignment="1" applyProtection="1">
      <alignment vertical="center"/>
      <protection locked="0"/>
    </xf>
    <xf numFmtId="181" fontId="53" fillId="0" borderId="24" xfId="0" applyNumberFormat="1" applyFont="1" applyBorder="1" applyAlignment="1" applyProtection="1">
      <alignment vertical="center"/>
      <protection locked="0"/>
    </xf>
    <xf numFmtId="0" fontId="53" fillId="0" borderId="23" xfId="0" applyFont="1" applyBorder="1" applyAlignment="1" applyProtection="1">
      <alignment horizontal="center" vertical="center"/>
      <protection locked="0"/>
    </xf>
    <xf numFmtId="10" fontId="53" fillId="0" borderId="1" xfId="0" applyNumberFormat="1" applyFont="1" applyBorder="1" applyAlignment="1" applyProtection="1">
      <alignment horizontal="center" vertical="center"/>
      <protection locked="0"/>
    </xf>
    <xf numFmtId="183" fontId="53" fillId="0" borderId="1" xfId="0" applyNumberFormat="1" applyFont="1" applyBorder="1" applyAlignment="1" applyProtection="1">
      <alignment horizontal="center" vertical="center"/>
      <protection locked="0"/>
    </xf>
    <xf numFmtId="181" fontId="53" fillId="0" borderId="24" xfId="0" applyNumberFormat="1" applyFont="1" applyBorder="1" applyAlignment="1" applyProtection="1">
      <alignment horizontal="center" vertical="center"/>
      <protection locked="0"/>
    </xf>
    <xf numFmtId="0" fontId="67"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8" fillId="6" borderId="20" xfId="0" applyFont="1" applyFill="1" applyBorder="1" applyAlignment="1" applyProtection="1">
      <alignment vertical="center"/>
    </xf>
    <xf numFmtId="0" fontId="118" fillId="6" borderId="21" xfId="0" applyFont="1" applyFill="1" applyBorder="1" applyAlignment="1" applyProtection="1">
      <alignment horizontal="center" vertical="center"/>
    </xf>
    <xf numFmtId="0" fontId="0" fillId="0" borderId="0" xfId="0" applyProtection="1">
      <alignment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59" fillId="6" borderId="24" xfId="0" applyFont="1" applyFill="1" applyBorder="1" applyAlignment="1" applyProtection="1">
      <alignment horizontal="center" vertical="center" wrapText="1"/>
    </xf>
    <xf numFmtId="9" fontId="108" fillId="6" borderId="1" xfId="0" applyNumberFormat="1" applyFont="1" applyFill="1" applyBorder="1" applyAlignment="1" applyProtection="1">
      <alignment horizontal="center" vertical="center" wrapText="1"/>
    </xf>
    <xf numFmtId="10" fontId="59" fillId="6" borderId="61" xfId="0" applyNumberFormat="1" applyFont="1" applyFill="1" applyBorder="1" applyAlignment="1" applyProtection="1">
      <alignment horizontal="center" vertical="center" wrapText="1"/>
    </xf>
    <xf numFmtId="10" fontId="59" fillId="6" borderId="53" xfId="0" applyNumberFormat="1" applyFont="1" applyFill="1" applyBorder="1" applyAlignment="1" applyProtection="1">
      <alignment vertical="center" wrapText="1"/>
    </xf>
    <xf numFmtId="0" fontId="116" fillId="6" borderId="13" xfId="0" applyFont="1" applyFill="1" applyBorder="1" applyAlignment="1" applyProtection="1">
      <alignment horizontal="center" vertical="center" wrapText="1"/>
    </xf>
    <xf numFmtId="9" fontId="108" fillId="6" borderId="32"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vertical="center" wrapText="1"/>
    </xf>
    <xf numFmtId="10" fontId="59" fillId="6" borderId="53"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3"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9" fillId="6" borderId="23"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0" fontId="103" fillId="6" borderId="19" xfId="0" applyFont="1" applyFill="1" applyBorder="1" applyProtection="1">
      <alignment vertical="center"/>
    </xf>
    <xf numFmtId="0" fontId="120" fillId="6" borderId="28" xfId="0" applyFont="1" applyFill="1" applyBorder="1" applyAlignment="1" applyProtection="1">
      <alignment horizontal="center" vertical="center"/>
    </xf>
    <xf numFmtId="0" fontId="103" fillId="6" borderId="18" xfId="0" applyFont="1" applyFill="1" applyBorder="1" applyProtection="1">
      <alignment vertical="center"/>
    </xf>
    <xf numFmtId="0" fontId="120" fillId="6" borderId="32" xfId="0" applyFont="1" applyFill="1" applyBorder="1" applyAlignment="1" applyProtection="1">
      <alignment horizontal="center" vertical="center"/>
    </xf>
    <xf numFmtId="0" fontId="120" fillId="6" borderId="33" xfId="0" applyFont="1" applyFill="1" applyBorder="1" applyAlignment="1" applyProtection="1">
      <alignment horizontal="center" vertical="center"/>
    </xf>
    <xf numFmtId="0" fontId="119" fillId="6" borderId="40" xfId="0" applyFont="1" applyFill="1" applyBorder="1" applyAlignment="1" applyProtection="1">
      <alignment vertical="center" wrapText="1"/>
    </xf>
    <xf numFmtId="0" fontId="119" fillId="6" borderId="9" xfId="0" applyFont="1" applyFill="1" applyBorder="1" applyAlignment="1" applyProtection="1">
      <alignment horizontal="center" vertical="center" wrapText="1"/>
    </xf>
    <xf numFmtId="0" fontId="119" fillId="6" borderId="28" xfId="0" applyFont="1" applyFill="1" applyBorder="1" applyAlignment="1" applyProtection="1">
      <alignment horizontal="center" vertical="center" wrapText="1"/>
    </xf>
    <xf numFmtId="0" fontId="119" fillId="6" borderId="4" xfId="0" applyFont="1" applyFill="1" applyBorder="1" applyAlignment="1" applyProtection="1">
      <alignment horizontal="center" vertical="center" wrapText="1"/>
    </xf>
    <xf numFmtId="0" fontId="119" fillId="6" borderId="2" xfId="0" applyFont="1" applyFill="1" applyBorder="1" applyAlignment="1" applyProtection="1">
      <alignment horizontal="center" vertical="center" wrapText="1"/>
    </xf>
    <xf numFmtId="0" fontId="119" fillId="6" borderId="74" xfId="0" applyFont="1" applyFill="1" applyBorder="1" applyAlignment="1" applyProtection="1">
      <alignment horizontal="center" vertical="center" wrapText="1"/>
    </xf>
    <xf numFmtId="0" fontId="119" fillId="6" borderId="32" xfId="0" applyFont="1" applyFill="1" applyBorder="1" applyAlignment="1" applyProtection="1">
      <alignment horizontal="center" vertical="center" wrapText="1"/>
    </xf>
    <xf numFmtId="0" fontId="121" fillId="6" borderId="33" xfId="0" applyFont="1" applyFill="1" applyBorder="1" applyProtection="1">
      <alignment vertical="center"/>
    </xf>
    <xf numFmtId="0" fontId="119" fillId="6" borderId="5" xfId="0" applyFont="1" applyFill="1" applyBorder="1" applyAlignment="1" applyProtection="1">
      <alignment horizontal="center" vertical="center" wrapText="1"/>
    </xf>
    <xf numFmtId="0" fontId="121" fillId="6" borderId="5" xfId="0" applyFont="1" applyFill="1" applyBorder="1" applyProtection="1">
      <alignment vertical="center"/>
    </xf>
    <xf numFmtId="0" fontId="119" fillId="6" borderId="26" xfId="0" applyFont="1" applyFill="1" applyBorder="1" applyAlignment="1" applyProtection="1">
      <alignment vertical="center" wrapText="1"/>
    </xf>
    <xf numFmtId="0" fontId="11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6" fillId="6" borderId="6" xfId="0" applyFont="1" applyFill="1" applyBorder="1" applyAlignment="1" applyProtection="1">
      <alignment horizontal="center" vertical="center" wrapText="1"/>
    </xf>
    <xf numFmtId="0" fontId="116" fillId="6" borderId="9" xfId="0" applyFont="1" applyFill="1" applyBorder="1" applyAlignment="1" applyProtection="1">
      <alignment horizontal="center" vertical="center" wrapText="1"/>
    </xf>
    <xf numFmtId="0" fontId="116" fillId="6" borderId="10" xfId="0" applyFont="1" applyFill="1" applyBorder="1" applyAlignment="1" applyProtection="1">
      <alignment horizontal="center" vertical="center" wrapText="1"/>
    </xf>
    <xf numFmtId="0" fontId="116" fillId="6" borderId="24" xfId="0" applyFont="1" applyFill="1" applyBorder="1" applyAlignment="1" applyProtection="1">
      <alignment horizontal="center" vertical="center" wrapText="1"/>
    </xf>
    <xf numFmtId="0" fontId="116" fillId="6" borderId="11" xfId="0" applyFont="1" applyFill="1" applyBorder="1" applyAlignment="1" applyProtection="1">
      <alignment horizontal="center" vertical="center" wrapText="1"/>
    </xf>
    <xf numFmtId="0" fontId="11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2" fillId="6" borderId="60" xfId="0" applyFont="1" applyFill="1" applyBorder="1" applyAlignment="1" applyProtection="1">
      <alignment vertical="center"/>
    </xf>
    <xf numFmtId="0" fontId="122" fillId="6" borderId="0" xfId="0" applyFont="1" applyFill="1" applyBorder="1" applyAlignment="1" applyProtection="1">
      <alignment vertical="center"/>
    </xf>
    <xf numFmtId="0" fontId="0" fillId="0" borderId="0" xfId="0" applyAlignment="1" applyProtection="1">
      <alignment horizontal="center" vertical="center"/>
    </xf>
    <xf numFmtId="0" fontId="116" fillId="6" borderId="5" xfId="0" applyFont="1" applyFill="1" applyBorder="1" applyAlignment="1" applyProtection="1">
      <alignment horizontal="center" vertical="center" wrapText="1"/>
    </xf>
    <xf numFmtId="0" fontId="116" fillId="6" borderId="3" xfId="0" applyFont="1" applyFill="1" applyBorder="1" applyAlignment="1" applyProtection="1">
      <alignment horizontal="center" vertical="center" wrapText="1"/>
    </xf>
    <xf numFmtId="0" fontId="116" fillId="6" borderId="0"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xf>
    <xf numFmtId="0" fontId="116" fillId="6" borderId="5" xfId="0" applyFont="1" applyFill="1" applyBorder="1" applyAlignment="1" applyProtection="1">
      <alignment horizontal="left" vertical="center"/>
    </xf>
    <xf numFmtId="0" fontId="116" fillId="6" borderId="3" xfId="0" applyFont="1" applyFill="1" applyBorder="1" applyAlignment="1" applyProtection="1">
      <alignment horizontal="left" vertical="center"/>
    </xf>
    <xf numFmtId="0" fontId="116" fillId="6" borderId="0" xfId="0" applyFont="1" applyFill="1" applyBorder="1" applyAlignment="1" applyProtection="1">
      <alignment vertical="center"/>
    </xf>
    <xf numFmtId="0" fontId="116" fillId="6" borderId="0" xfId="0" applyFont="1" applyFill="1" applyBorder="1" applyAlignment="1" applyProtection="1">
      <alignment horizontal="center" vertical="center"/>
    </xf>
    <xf numFmtId="0" fontId="0" fillId="0" borderId="0" xfId="0" applyAlignment="1" applyProtection="1">
      <alignment vertical="center"/>
    </xf>
    <xf numFmtId="0" fontId="116" fillId="0" borderId="36" xfId="0" applyFont="1" applyBorder="1" applyAlignment="1" applyProtection="1">
      <alignment vertical="center"/>
    </xf>
    <xf numFmtId="0" fontId="116" fillId="0" borderId="0" xfId="0" applyFont="1" applyBorder="1" applyAlignment="1" applyProtection="1">
      <alignment vertical="center"/>
    </xf>
    <xf numFmtId="0" fontId="116" fillId="6" borderId="4" xfId="0" applyFont="1" applyFill="1" applyBorder="1" applyAlignment="1" applyProtection="1">
      <alignment vertical="center" wrapText="1"/>
    </xf>
    <xf numFmtId="0" fontId="116" fillId="6" borderId="2" xfId="0" applyFont="1" applyFill="1" applyBorder="1" applyAlignment="1" applyProtection="1">
      <alignment vertical="center" wrapText="1"/>
    </xf>
    <xf numFmtId="0" fontId="116" fillId="6" borderId="7" xfId="0" applyFont="1" applyFill="1" applyBorder="1" applyAlignment="1" applyProtection="1">
      <alignment vertical="center" wrapText="1"/>
    </xf>
    <xf numFmtId="0" fontId="116" fillId="6" borderId="2" xfId="0" applyFont="1" applyFill="1" applyBorder="1" applyAlignment="1" applyProtection="1">
      <alignment horizontal="center" vertical="center"/>
    </xf>
    <xf numFmtId="0" fontId="116" fillId="6" borderId="0" xfId="0" applyFont="1" applyFill="1" applyAlignment="1" applyProtection="1">
      <alignment horizontal="center" vertical="center"/>
    </xf>
    <xf numFmtId="9" fontId="116" fillId="6" borderId="1" xfId="0" applyNumberFormat="1" applyFont="1" applyFill="1" applyBorder="1" applyAlignment="1" applyProtection="1">
      <alignment horizontal="center" vertical="center"/>
    </xf>
    <xf numFmtId="179" fontId="84" fillId="0" borderId="60" xfId="3" applyNumberFormat="1" applyFont="1" applyBorder="1" applyAlignment="1" applyProtection="1">
      <alignment vertical="center"/>
    </xf>
    <xf numFmtId="0" fontId="84" fillId="0" borderId="60" xfId="3" applyNumberFormat="1" applyFont="1" applyBorder="1" applyAlignment="1" applyProtection="1">
      <alignment vertical="center"/>
    </xf>
    <xf numFmtId="0" fontId="0" fillId="0" borderId="0" xfId="0" applyNumberFormat="1" applyProtection="1">
      <alignment vertical="center"/>
    </xf>
    <xf numFmtId="179"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wrapText="1"/>
    </xf>
    <xf numFmtId="0" fontId="85" fillId="6" borderId="15" xfId="3" applyNumberFormat="1" applyFont="1" applyFill="1" applyBorder="1" applyAlignment="1" applyProtection="1">
      <alignment horizontal="center" vertical="center"/>
    </xf>
    <xf numFmtId="0" fontId="59" fillId="6" borderId="15" xfId="0" applyNumberFormat="1" applyFont="1" applyFill="1" applyBorder="1" applyAlignment="1" applyProtection="1">
      <alignment horizontal="center" vertical="center" wrapText="1"/>
    </xf>
    <xf numFmtId="0" fontId="59" fillId="6" borderId="17" xfId="0" applyNumberFormat="1" applyFont="1" applyFill="1" applyBorder="1" applyAlignment="1" applyProtection="1">
      <alignment horizontal="center" vertical="center" wrapText="1"/>
    </xf>
    <xf numFmtId="0" fontId="123" fillId="6" borderId="19" xfId="0" applyNumberFormat="1" applyFont="1" applyFill="1" applyBorder="1" applyAlignment="1" applyProtection="1">
      <alignment horizontal="center" vertical="center" wrapText="1"/>
    </xf>
    <xf numFmtId="0" fontId="124"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9" fillId="6" borderId="16" xfId="0" applyNumberFormat="1" applyFont="1" applyFill="1" applyBorder="1" applyAlignment="1" applyProtection="1">
      <alignment vertical="center" wrapText="1"/>
    </xf>
    <xf numFmtId="0" fontId="59" fillId="6" borderId="23" xfId="0" applyNumberFormat="1" applyFont="1" applyFill="1" applyBorder="1" applyAlignment="1" applyProtection="1">
      <alignment horizontal="center" vertical="center" wrapText="1"/>
    </xf>
    <xf numFmtId="0" fontId="123" fillId="6" borderId="1" xfId="0" applyNumberFormat="1" applyFont="1" applyFill="1" applyBorder="1" applyAlignment="1" applyProtection="1">
      <alignment horizontal="center" vertical="center" wrapText="1"/>
    </xf>
    <xf numFmtId="0" fontId="123" fillId="6" borderId="24" xfId="0" applyNumberFormat="1" applyFont="1" applyFill="1" applyBorder="1" applyAlignment="1" applyProtection="1">
      <alignment horizontal="center" vertical="center" wrapText="1"/>
    </xf>
    <xf numFmtId="0" fontId="123" fillId="6" borderId="32" xfId="0" applyNumberFormat="1" applyFont="1" applyFill="1" applyBorder="1" applyAlignment="1" applyProtection="1">
      <alignment horizontal="center" vertical="center" wrapText="1"/>
    </xf>
    <xf numFmtId="0" fontId="123" fillId="6" borderId="49" xfId="0" applyNumberFormat="1" applyFont="1" applyFill="1" applyBorder="1" applyAlignment="1" applyProtection="1">
      <alignment horizontal="center" vertical="center" wrapText="1"/>
    </xf>
    <xf numFmtId="179" fontId="85"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7" fillId="6" borderId="1" xfId="0" applyNumberFormat="1" applyFont="1" applyFill="1" applyBorder="1" applyAlignment="1" applyProtection="1">
      <alignment horizontal="center" vertical="center" wrapText="1"/>
    </xf>
    <xf numFmtId="0" fontId="56" fillId="6" borderId="36" xfId="0" applyFont="1" applyFill="1" applyBorder="1" applyAlignment="1" applyProtection="1">
      <alignment horizontal="center" vertical="center"/>
    </xf>
    <xf numFmtId="0" fontId="60" fillId="6" borderId="34" xfId="0" applyFont="1" applyFill="1" applyBorder="1" applyAlignment="1" applyProtection="1">
      <alignment horizontal="center" vertical="center"/>
    </xf>
    <xf numFmtId="0" fontId="60" fillId="6" borderId="28"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9" fillId="6" borderId="4" xfId="0" applyFont="1" applyFill="1" applyBorder="1" applyAlignment="1" applyProtection="1">
      <alignment horizontal="center" vertical="center" wrapText="1"/>
    </xf>
    <xf numFmtId="9" fontId="59" fillId="6" borderId="1" xfId="0" applyNumberFormat="1"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187" fontId="56" fillId="6" borderId="84" xfId="0" applyNumberFormat="1" applyFont="1" applyFill="1" applyBorder="1" applyAlignment="1" applyProtection="1">
      <alignment horizontal="center" vertical="center" wrapText="1"/>
    </xf>
    <xf numFmtId="14" fontId="57" fillId="6" borderId="84" xfId="0" applyNumberFormat="1" applyFont="1" applyFill="1" applyBorder="1" applyAlignment="1" applyProtection="1">
      <alignment horizontal="center" vertical="center" wrapText="1"/>
    </xf>
    <xf numFmtId="14" fontId="57" fillId="6" borderId="64" xfId="0" applyNumberFormat="1" applyFont="1" applyFill="1" applyBorder="1" applyAlignment="1" applyProtection="1">
      <alignment horizontal="center" vertical="center" wrapText="1"/>
    </xf>
    <xf numFmtId="10" fontId="57" fillId="6" borderId="64" xfId="0" applyNumberFormat="1" applyFont="1" applyFill="1" applyBorder="1" applyAlignment="1" applyProtection="1">
      <alignment horizontal="center" vertical="center" wrapText="1"/>
    </xf>
    <xf numFmtId="0" fontId="108" fillId="6" borderId="67" xfId="0" applyFont="1" applyFill="1" applyBorder="1" applyAlignment="1" applyProtection="1">
      <alignment horizontal="center" vertical="center" wrapText="1"/>
    </xf>
    <xf numFmtId="187" fontId="56" fillId="6" borderId="17" xfId="0" applyNumberFormat="1" applyFont="1" applyFill="1" applyBorder="1" applyAlignment="1" applyProtection="1">
      <alignment horizontal="center" vertical="center" wrapText="1"/>
    </xf>
    <xf numFmtId="0" fontId="60" fillId="6" borderId="20" xfId="0" applyFont="1" applyFill="1" applyBorder="1" applyAlignment="1" applyProtection="1">
      <alignment horizontal="center" vertical="center" wrapText="1"/>
    </xf>
    <xf numFmtId="0" fontId="60" fillId="6" borderId="15" xfId="0" applyFont="1" applyFill="1" applyBorder="1" applyAlignment="1" applyProtection="1">
      <alignment horizontal="center" vertical="center" wrapText="1"/>
    </xf>
    <xf numFmtId="0" fontId="60" fillId="6" borderId="32" xfId="0" applyFont="1" applyFill="1" applyBorder="1" applyAlignment="1" applyProtection="1">
      <alignment horizontal="center" vertical="center" wrapText="1"/>
    </xf>
    <xf numFmtId="0" fontId="116" fillId="6" borderId="5" xfId="0" applyFont="1" applyFill="1" applyBorder="1" applyAlignment="1" applyProtection="1">
      <alignment horizontal="center" vertical="center" wrapText="1"/>
    </xf>
    <xf numFmtId="181" fontId="108" fillId="6" borderId="17" xfId="0" applyNumberFormat="1" applyFont="1" applyFill="1" applyBorder="1" applyAlignment="1" applyProtection="1">
      <alignment horizontal="center" vertical="center" wrapText="1"/>
    </xf>
    <xf numFmtId="0" fontId="59" fillId="6" borderId="29" xfId="0" applyFont="1" applyFill="1" applyBorder="1" applyAlignment="1" applyProtection="1">
      <alignment horizontal="center" vertical="center" wrapText="1"/>
    </xf>
    <xf numFmtId="0" fontId="59" fillId="6" borderId="6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xf>
    <xf numFmtId="0" fontId="116" fillId="6" borderId="1" xfId="0" applyFont="1" applyFill="1" applyBorder="1" applyAlignment="1" applyProtection="1">
      <alignment horizontal="center" vertical="center"/>
    </xf>
    <xf numFmtId="0" fontId="78" fillId="6" borderId="0" xfId="0" applyFont="1" applyFill="1" applyAlignment="1" applyProtection="1">
      <alignment horizontal="center" vertical="center"/>
      <protection locked="0"/>
    </xf>
    <xf numFmtId="0" fontId="108" fillId="6"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protection locked="0"/>
    </xf>
    <xf numFmtId="177" fontId="57" fillId="0" borderId="1" xfId="0" applyNumberFormat="1"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59" fillId="0" borderId="49" xfId="0" applyFont="1" applyFill="1" applyBorder="1" applyAlignment="1" applyProtection="1">
      <alignment horizontal="center" vertical="center" wrapText="1"/>
      <protection locked="0"/>
    </xf>
    <xf numFmtId="49" fontId="87" fillId="6" borderId="23" xfId="1" applyNumberFormat="1" applyFont="1" applyFill="1" applyBorder="1" applyAlignment="1" applyProtection="1">
      <alignment horizontal="left"/>
    </xf>
    <xf numFmtId="49" fontId="59" fillId="6" borderId="23" xfId="1" applyNumberFormat="1" applyFont="1" applyFill="1" applyBorder="1" applyAlignment="1" applyProtection="1">
      <alignment horizontal="center"/>
    </xf>
    <xf numFmtId="0" fontId="65" fillId="6" borderId="23" xfId="1" applyFont="1" applyFill="1" applyBorder="1" applyAlignment="1" applyProtection="1">
      <alignment horizontal="right"/>
    </xf>
    <xf numFmtId="0" fontId="59" fillId="6" borderId="23" xfId="0" applyFont="1" applyFill="1" applyBorder="1" applyAlignment="1" applyProtection="1">
      <alignment horizontal="center" vertical="center"/>
    </xf>
    <xf numFmtId="0" fontId="53" fillId="3" borderId="0" xfId="0" applyFont="1" applyFill="1" applyAlignment="1" applyProtection="1">
      <alignment vertical="center"/>
      <protection locked="0"/>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0" fontId="51" fillId="6" borderId="21" xfId="0" applyFont="1" applyFill="1" applyBorder="1" applyAlignment="1" applyProtection="1">
      <alignment vertical="center"/>
    </xf>
    <xf numFmtId="0" fontId="67" fillId="7" borderId="0" xfId="0" applyFont="1" applyFill="1" applyAlignment="1" applyProtection="1">
      <alignment vertical="center"/>
      <protection locked="0"/>
    </xf>
    <xf numFmtId="0" fontId="52" fillId="6" borderId="23" xfId="0" applyFont="1" applyFill="1" applyBorder="1" applyAlignment="1" applyProtection="1">
      <alignment horizontal="center" vertical="center"/>
    </xf>
    <xf numFmtId="0" fontId="52" fillId="6" borderId="46"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49" fontId="53" fillId="6" borderId="23" xfId="0" applyNumberFormat="1" applyFont="1" applyFill="1" applyBorder="1" applyAlignment="1" applyProtection="1">
      <alignment horizontal="center" vertical="center"/>
    </xf>
    <xf numFmtId="186" fontId="53" fillId="0" borderId="1" xfId="0" applyNumberFormat="1" applyFont="1" applyFill="1" applyBorder="1" applyAlignment="1" applyProtection="1">
      <alignment horizontal="center" vertical="center"/>
      <protection locked="0"/>
    </xf>
    <xf numFmtId="186" fontId="53" fillId="0" borderId="24"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186"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0" fillId="7" borderId="0" xfId="0" applyFont="1" applyFill="1" applyAlignment="1" applyProtection="1">
      <alignment vertical="center"/>
      <protection locked="0"/>
    </xf>
    <xf numFmtId="0" fontId="53" fillId="6" borderId="23" xfId="1" applyFont="1" applyFill="1" applyBorder="1" applyAlignment="1" applyProtection="1">
      <alignment horizontal="right" vertical="center"/>
    </xf>
    <xf numFmtId="0" fontId="53" fillId="6" borderId="5" xfId="1" applyFont="1" applyFill="1" applyBorder="1" applyAlignment="1" applyProtection="1">
      <alignment vertical="center"/>
    </xf>
    <xf numFmtId="179"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0" fontId="55" fillId="7" borderId="0" xfId="0" applyFont="1" applyFill="1" applyAlignment="1" applyProtection="1">
      <alignment vertical="center"/>
      <protection locked="0"/>
    </xf>
    <xf numFmtId="9" fontId="53" fillId="6" borderId="1" xfId="1" applyNumberFormat="1" applyFont="1" applyFill="1" applyBorder="1" applyAlignment="1" applyProtection="1">
      <alignment horizontal="center" vertical="center"/>
    </xf>
    <xf numFmtId="0" fontId="55" fillId="0" borderId="0" xfId="0" applyFont="1" applyFill="1" applyAlignment="1" applyProtection="1">
      <alignment vertical="center"/>
      <protection locked="0"/>
    </xf>
    <xf numFmtId="177" fontId="53" fillId="6" borderId="1" xfId="1" applyNumberFormat="1" applyFont="1" applyFill="1" applyBorder="1" applyAlignment="1" applyProtection="1">
      <alignment vertical="center"/>
    </xf>
    <xf numFmtId="0" fontId="53" fillId="6" borderId="54" xfId="0" applyFont="1" applyFill="1" applyBorder="1" applyAlignment="1" applyProtection="1">
      <alignment vertical="center"/>
    </xf>
    <xf numFmtId="0" fontId="53" fillId="6" borderId="48" xfId="0" applyFont="1" applyFill="1" applyBorder="1" applyAlignment="1" applyProtection="1">
      <alignment vertical="center"/>
    </xf>
    <xf numFmtId="0" fontId="53" fillId="6" borderId="54" xfId="0" applyFont="1" applyFill="1" applyBorder="1" applyAlignment="1" applyProtection="1">
      <alignment horizontal="left" vertical="center"/>
    </xf>
    <xf numFmtId="0" fontId="53" fillId="6" borderId="48" xfId="0" applyFont="1" applyFill="1" applyBorder="1" applyAlignment="1" applyProtection="1">
      <alignment horizontal="left" vertical="center"/>
    </xf>
    <xf numFmtId="177" fontId="53" fillId="6" borderId="1" xfId="1" applyNumberFormat="1" applyFont="1" applyFill="1" applyBorder="1" applyAlignment="1" applyProtection="1">
      <alignment horizontal="center" vertical="center"/>
    </xf>
    <xf numFmtId="10" fontId="53" fillId="6" borderId="1" xfId="1" applyNumberFormat="1" applyFont="1" applyFill="1" applyBorder="1" applyAlignment="1" applyProtection="1">
      <alignment horizontal="center" vertical="center"/>
    </xf>
    <xf numFmtId="0" fontId="52" fillId="6" borderId="5" xfId="1" applyFont="1" applyFill="1" applyBorder="1" applyAlignment="1" applyProtection="1">
      <alignment vertical="center"/>
    </xf>
    <xf numFmtId="177"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vertical="center"/>
    </xf>
    <xf numFmtId="10" fontId="52" fillId="6" borderId="1" xfId="1" applyNumberFormat="1" applyFont="1" applyFill="1" applyBorder="1" applyAlignment="1" applyProtection="1">
      <alignment horizontal="center" vertical="center"/>
    </xf>
    <xf numFmtId="0" fontId="50" fillId="6" borderId="5" xfId="0"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3" fillId="6" borderId="1" xfId="1" applyFont="1" applyFill="1" applyBorder="1" applyAlignment="1" applyProtection="1">
      <alignment horizontal="left" vertical="center"/>
    </xf>
    <xf numFmtId="0" fontId="54" fillId="3" borderId="0" xfId="0" applyFont="1" applyFill="1" applyAlignment="1" applyProtection="1">
      <alignment vertical="center"/>
      <protection locked="0"/>
    </xf>
    <xf numFmtId="0" fontId="53" fillId="6" borderId="5" xfId="1" applyFont="1" applyFill="1" applyBorder="1" applyAlignment="1" applyProtection="1">
      <alignment horizontal="left" vertical="center"/>
    </xf>
    <xf numFmtId="186" fontId="53" fillId="3" borderId="0" xfId="0" applyNumberFormat="1" applyFont="1" applyFill="1" applyAlignment="1" applyProtection="1">
      <alignment horizontal="center" vertical="center"/>
      <protection locked="0"/>
    </xf>
    <xf numFmtId="186" fontId="52" fillId="6" borderId="28" xfId="0" applyNumberFormat="1" applyFont="1" applyFill="1" applyBorder="1" applyAlignment="1" applyProtection="1">
      <alignment horizontal="center" vertical="center"/>
    </xf>
    <xf numFmtId="186" fontId="108" fillId="0" borderId="13" xfId="0" applyNumberFormat="1" applyFont="1" applyFill="1" applyBorder="1" applyAlignment="1" applyProtection="1">
      <alignment horizontal="center" vertical="center"/>
      <protection locked="0"/>
    </xf>
    <xf numFmtId="186" fontId="53" fillId="0" borderId="13" xfId="0" applyNumberFormat="1" applyFont="1" applyFill="1" applyBorder="1" applyAlignment="1" applyProtection="1">
      <alignment horizontal="center" vertical="center"/>
      <protection locked="0"/>
    </xf>
    <xf numFmtId="186" fontId="53" fillId="0" borderId="61" xfId="0" applyNumberFormat="1" applyFont="1" applyFill="1" applyBorder="1" applyAlignment="1" applyProtection="1">
      <alignment horizontal="center" vertical="center"/>
      <protection locked="0"/>
    </xf>
    <xf numFmtId="0" fontId="52" fillId="6" borderId="42" xfId="0" applyFont="1" applyFill="1" applyBorder="1" applyAlignment="1" applyProtection="1">
      <alignment vertical="center"/>
    </xf>
    <xf numFmtId="0" fontId="52" fillId="6" borderId="47" xfId="0" applyFont="1" applyFill="1" applyBorder="1" applyAlignment="1" applyProtection="1">
      <alignment vertical="center"/>
    </xf>
    <xf numFmtId="186" fontId="51" fillId="6" borderId="74" xfId="0" applyNumberFormat="1" applyFont="1" applyFill="1" applyBorder="1" applyAlignment="1" applyProtection="1">
      <alignment horizontal="center" vertical="center"/>
    </xf>
    <xf numFmtId="0" fontId="51" fillId="6" borderId="75" xfId="0" applyFont="1" applyFill="1" applyBorder="1" applyAlignment="1" applyProtection="1">
      <alignment vertical="center"/>
    </xf>
    <xf numFmtId="0" fontId="52" fillId="6" borderId="43" xfId="0" applyFont="1" applyFill="1" applyBorder="1" applyAlignment="1" applyProtection="1">
      <alignment vertical="center"/>
    </xf>
    <xf numFmtId="0" fontId="52" fillId="6" borderId="33" xfId="1" applyFont="1" applyFill="1" applyBorder="1" applyAlignment="1" applyProtection="1">
      <alignment vertical="center"/>
    </xf>
    <xf numFmtId="177" fontId="52" fillId="6" borderId="32" xfId="0" applyNumberFormat="1" applyFont="1" applyFill="1" applyBorder="1" applyAlignment="1" applyProtection="1">
      <alignment horizontal="center" vertical="center"/>
    </xf>
    <xf numFmtId="0" fontId="52" fillId="6" borderId="32" xfId="0" applyFont="1" applyFill="1" applyBorder="1" applyAlignment="1" applyProtection="1">
      <alignment vertical="center"/>
    </xf>
    <xf numFmtId="177" fontId="52" fillId="6" borderId="32" xfId="0" applyNumberFormat="1" applyFont="1" applyFill="1" applyBorder="1" applyAlignment="1" applyProtection="1">
      <alignment vertical="center"/>
    </xf>
    <xf numFmtId="10" fontId="52" fillId="6" borderId="32" xfId="0" applyNumberFormat="1" applyFont="1" applyFill="1" applyBorder="1" applyAlignment="1" applyProtection="1">
      <alignment horizontal="center" vertical="center"/>
    </xf>
    <xf numFmtId="177" fontId="52" fillId="6" borderId="33" xfId="0" applyNumberFormat="1" applyFont="1" applyFill="1" applyBorder="1" applyAlignment="1" applyProtection="1">
      <alignment vertical="center"/>
    </xf>
    <xf numFmtId="177" fontId="52" fillId="6" borderId="52" xfId="0" applyNumberFormat="1" applyFont="1" applyFill="1" applyBorder="1" applyAlignment="1" applyProtection="1">
      <alignment vertical="center"/>
    </xf>
    <xf numFmtId="177" fontId="52" fillId="6" borderId="68" xfId="0" applyNumberFormat="1" applyFont="1" applyFill="1" applyBorder="1" applyAlignment="1" applyProtection="1">
      <alignment vertical="center"/>
    </xf>
    <xf numFmtId="0" fontId="56" fillId="6" borderId="15" xfId="0" applyFont="1" applyFill="1" applyBorder="1" applyAlignment="1" applyProtection="1">
      <alignment horizontal="center" vertical="center" wrapText="1"/>
    </xf>
    <xf numFmtId="0" fontId="126" fillId="0" borderId="0" xfId="5" applyFont="1">
      <alignment vertical="center"/>
    </xf>
    <xf numFmtId="0" fontId="102" fillId="0" borderId="0" xfId="5">
      <alignment vertical="center"/>
    </xf>
    <xf numFmtId="0" fontId="126" fillId="0" borderId="0" xfId="5" applyFont="1" applyAlignment="1">
      <alignment vertical="top" wrapText="1"/>
    </xf>
    <xf numFmtId="0" fontId="103" fillId="0" borderId="0" xfId="5" applyFont="1" applyAlignment="1">
      <alignment horizontal="right" vertical="center"/>
    </xf>
    <xf numFmtId="14" fontId="127" fillId="0" borderId="0" xfId="5" applyNumberFormat="1" applyFont="1" applyAlignment="1">
      <alignment horizontal="left" vertical="center"/>
    </xf>
    <xf numFmtId="0" fontId="104" fillId="0" borderId="0" xfId="5" applyFont="1">
      <alignment vertical="center"/>
    </xf>
    <xf numFmtId="0" fontId="128" fillId="5" borderId="13" xfId="5" applyFont="1" applyFill="1" applyBorder="1" applyAlignment="1">
      <alignment vertical="center"/>
    </xf>
    <xf numFmtId="0" fontId="129" fillId="0" borderId="1" xfId="5" applyFont="1" applyBorder="1" applyAlignment="1">
      <alignment horizontal="right" vertical="center"/>
    </xf>
    <xf numFmtId="0" fontId="129" fillId="0" borderId="1" xfId="5" applyFont="1" applyFill="1" applyBorder="1" applyAlignment="1">
      <alignment horizontal="right" vertical="center"/>
    </xf>
    <xf numFmtId="184" fontId="129" fillId="0" borderId="13" xfId="5" applyNumberFormat="1" applyFont="1" applyFill="1" applyBorder="1" applyAlignment="1">
      <alignment horizontal="right" vertical="center"/>
    </xf>
    <xf numFmtId="0" fontId="102" fillId="0" borderId="0" xfId="5" applyFill="1">
      <alignment vertical="center"/>
    </xf>
    <xf numFmtId="0" fontId="130" fillId="0" borderId="0" xfId="5" applyFont="1">
      <alignment vertical="center"/>
    </xf>
    <xf numFmtId="0" fontId="128" fillId="0" borderId="1" xfId="5" applyFont="1" applyFill="1" applyBorder="1" applyAlignment="1">
      <alignment vertical="center"/>
    </xf>
    <xf numFmtId="0" fontId="131" fillId="0" borderId="0" xfId="5" applyFont="1">
      <alignment vertical="center"/>
    </xf>
    <xf numFmtId="0" fontId="131" fillId="0" borderId="1" xfId="5" applyFont="1" applyBorder="1">
      <alignment vertical="center"/>
    </xf>
    <xf numFmtId="0" fontId="103" fillId="0" borderId="1" xfId="5" applyFont="1" applyBorder="1">
      <alignment vertical="center"/>
    </xf>
    <xf numFmtId="184" fontId="129" fillId="0" borderId="1" xfId="5" applyNumberFormat="1" applyFont="1" applyFill="1" applyBorder="1" applyAlignment="1">
      <alignment horizontal="right" vertical="center"/>
    </xf>
    <xf numFmtId="14" fontId="102" fillId="0" borderId="0" xfId="5" applyNumberFormat="1">
      <alignment vertical="center"/>
    </xf>
    <xf numFmtId="0" fontId="65" fillId="6" borderId="1" xfId="1" applyNumberFormat="1" applyFont="1" applyFill="1" applyBorder="1" applyAlignment="1" applyProtection="1"/>
    <xf numFmtId="0" fontId="53" fillId="6" borderId="1" xfId="1" applyNumberFormat="1" applyFont="1" applyFill="1" applyBorder="1" applyAlignment="1" applyProtection="1">
      <alignment horizontal="center" vertical="center"/>
    </xf>
    <xf numFmtId="0" fontId="59" fillId="6" borderId="1" xfId="1" applyNumberFormat="1" applyFont="1" applyFill="1" applyBorder="1" applyAlignment="1" applyProtection="1">
      <alignment horizontal="center"/>
    </xf>
    <xf numFmtId="0" fontId="59" fillId="6" borderId="1" xfId="0" applyNumberFormat="1" applyFont="1" applyFill="1" applyBorder="1" applyProtection="1">
      <alignment vertical="center"/>
    </xf>
    <xf numFmtId="0" fontId="60" fillId="6" borderId="1" xfId="1" applyNumberFormat="1" applyFont="1" applyFill="1" applyBorder="1" applyAlignment="1" applyProtection="1">
      <alignment horizontal="center"/>
    </xf>
    <xf numFmtId="0" fontId="67" fillId="6" borderId="78" xfId="0" applyFont="1" applyFill="1" applyBorder="1" applyAlignment="1" applyProtection="1">
      <alignment horizontal="right" vertical="center" shrinkToFit="1"/>
    </xf>
    <xf numFmtId="0" fontId="67" fillId="6" borderId="78" xfId="0" applyNumberFormat="1" applyFont="1" applyFill="1" applyBorder="1" applyAlignment="1" applyProtection="1">
      <alignment horizontal="right" vertical="center" shrinkToFit="1"/>
    </xf>
    <xf numFmtId="0" fontId="67" fillId="0" borderId="0" xfId="0" applyFont="1" applyFill="1" applyBorder="1" applyAlignment="1" applyProtection="1">
      <alignment vertical="center"/>
      <protection locked="0"/>
    </xf>
    <xf numFmtId="0" fontId="51" fillId="0" borderId="2" xfId="7" applyFont="1" applyFill="1" applyBorder="1" applyAlignment="1" applyProtection="1">
      <alignment horizontal="center" vertical="center" wrapText="1"/>
    </xf>
    <xf numFmtId="0" fontId="51" fillId="0" borderId="1" xfId="7" applyFont="1" applyFill="1" applyBorder="1" applyAlignment="1" applyProtection="1">
      <alignment horizontal="center" vertical="center" wrapText="1"/>
    </xf>
    <xf numFmtId="0" fontId="67" fillId="0" borderId="1" xfId="7" applyFont="1" applyFill="1" applyBorder="1" applyAlignment="1" applyProtection="1">
      <alignment horizontal="center" vertical="center" wrapText="1"/>
    </xf>
    <xf numFmtId="0" fontId="51" fillId="0" borderId="3" xfId="7"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0" fillId="6" borderId="24" xfId="0" applyFont="1" applyFill="1" applyBorder="1" applyAlignment="1" applyProtection="1">
      <alignment horizontal="center" vertical="center"/>
    </xf>
    <xf numFmtId="184" fontId="53" fillId="0" borderId="1" xfId="0" applyNumberFormat="1" applyFont="1" applyFill="1" applyBorder="1" applyAlignment="1" applyProtection="1">
      <alignment horizontal="center" vertical="center" shrinkToFit="1"/>
      <protection locked="0"/>
    </xf>
    <xf numFmtId="184" fontId="53" fillId="6" borderId="1" xfId="0" applyNumberFormat="1" applyFont="1" applyFill="1" applyBorder="1" applyAlignment="1" applyProtection="1">
      <alignment horizontal="center" vertical="center"/>
    </xf>
    <xf numFmtId="179" fontId="67" fillId="6" borderId="1" xfId="0" applyNumberFormat="1" applyFont="1" applyFill="1" applyBorder="1" applyAlignment="1" applyProtection="1">
      <alignment horizontal="center" vertical="center" wrapText="1"/>
    </xf>
    <xf numFmtId="177" fontId="67" fillId="5" borderId="1" xfId="1" applyNumberFormat="1" applyFont="1" applyFill="1" applyBorder="1" applyAlignment="1" applyProtection="1">
      <alignment horizontal="center" vertical="center"/>
      <protection locked="0"/>
    </xf>
    <xf numFmtId="177" fontId="53" fillId="6" borderId="23" xfId="1" applyNumberFormat="1" applyFont="1" applyFill="1" applyBorder="1" applyAlignment="1" applyProtection="1">
      <alignment horizontal="center" vertical="center"/>
    </xf>
    <xf numFmtId="0" fontId="67" fillId="0" borderId="3" xfId="7" applyFont="1" applyFill="1" applyBorder="1" applyAlignment="1" applyProtection="1">
      <alignment horizontal="center" vertical="center" wrapText="1"/>
    </xf>
    <xf numFmtId="0" fontId="67" fillId="0" borderId="78" xfId="7" applyFont="1" applyFill="1" applyBorder="1" applyAlignment="1" applyProtection="1">
      <alignment horizontal="center" vertical="center" wrapText="1"/>
    </xf>
    <xf numFmtId="0" fontId="67" fillId="6" borderId="1" xfId="0" applyFont="1" applyFill="1" applyBorder="1" applyAlignment="1" applyProtection="1">
      <alignment horizontal="center" vertical="center" wrapText="1"/>
    </xf>
    <xf numFmtId="181" fontId="50" fillId="6" borderId="8" xfId="0" applyNumberFormat="1" applyFont="1" applyFill="1" applyBorder="1" applyProtection="1">
      <alignment vertical="center"/>
    </xf>
    <xf numFmtId="181" fontId="58" fillId="6" borderId="59" xfId="0" applyNumberFormat="1" applyFont="1" applyFill="1" applyBorder="1" applyAlignment="1" applyProtection="1">
      <alignment horizontal="center" vertical="center"/>
    </xf>
    <xf numFmtId="0" fontId="132" fillId="6" borderId="0" xfId="0" applyFont="1" applyFill="1" applyAlignment="1" applyProtection="1">
      <alignment horizontal="center" vertical="center"/>
    </xf>
    <xf numFmtId="184" fontId="129" fillId="0" borderId="1" xfId="0" applyNumberFormat="1" applyFont="1" applyFill="1" applyBorder="1" applyAlignment="1">
      <alignment horizontal="right" vertical="center"/>
    </xf>
    <xf numFmtId="0" fontId="120" fillId="6" borderId="40" xfId="0" applyFont="1" applyFill="1" applyBorder="1" applyAlignment="1" applyProtection="1">
      <alignment vertical="center" wrapText="1"/>
    </xf>
    <xf numFmtId="0" fontId="120" fillId="6" borderId="13" xfId="0" applyFont="1" applyFill="1" applyBorder="1" applyAlignment="1" applyProtection="1">
      <alignment horizontal="center" vertical="center"/>
    </xf>
    <xf numFmtId="0" fontId="120" fillId="6" borderId="29" xfId="0" applyFont="1" applyFill="1" applyBorder="1" applyAlignment="1" applyProtection="1">
      <alignment horizontal="center" vertical="center"/>
    </xf>
    <xf numFmtId="10" fontId="108" fillId="0" borderId="9" xfId="0" applyNumberFormat="1" applyFont="1" applyBorder="1" applyAlignment="1">
      <alignment horizontal="center" vertical="center" wrapText="1"/>
    </xf>
    <xf numFmtId="10" fontId="108" fillId="0" borderId="10" xfId="0" applyNumberFormat="1" applyFont="1" applyBorder="1" applyAlignment="1">
      <alignment horizontal="center" vertical="center" wrapText="1"/>
    </xf>
    <xf numFmtId="10" fontId="108" fillId="0" borderId="1" xfId="0" applyNumberFormat="1" applyFont="1" applyBorder="1" applyAlignment="1">
      <alignment horizontal="center" vertical="center" wrapText="1"/>
    </xf>
    <xf numFmtId="10" fontId="108" fillId="0" borderId="24" xfId="0" applyNumberFormat="1" applyFont="1" applyBorder="1" applyAlignment="1">
      <alignment horizontal="center" vertical="center" wrapText="1"/>
    </xf>
    <xf numFmtId="10" fontId="108" fillId="0" borderId="32" xfId="0" applyNumberFormat="1" applyFont="1" applyBorder="1" applyAlignment="1">
      <alignment horizontal="center" vertical="center" wrapText="1"/>
    </xf>
    <xf numFmtId="10" fontId="108" fillId="0" borderId="49" xfId="0" applyNumberFormat="1" applyFont="1" applyBorder="1" applyAlignment="1">
      <alignment horizontal="center" vertical="center" wrapText="1"/>
    </xf>
    <xf numFmtId="0" fontId="119" fillId="6" borderId="13" xfId="0" applyFont="1" applyFill="1" applyBorder="1" applyAlignment="1" applyProtection="1">
      <alignment horizontal="center" vertical="center" wrapText="1"/>
    </xf>
    <xf numFmtId="10" fontId="108" fillId="0" borderId="13" xfId="0" applyNumberFormat="1" applyFont="1" applyBorder="1" applyAlignment="1">
      <alignment horizontal="center" vertical="center" wrapText="1"/>
    </xf>
    <xf numFmtId="0" fontId="119" fillId="6" borderId="84" xfId="0" applyFont="1" applyFill="1" applyBorder="1" applyAlignment="1" applyProtection="1">
      <alignment horizontal="center" vertical="center" wrapText="1"/>
    </xf>
    <xf numFmtId="10" fontId="108" fillId="0" borderId="67" xfId="0" applyNumberFormat="1" applyFont="1" applyBorder="1" applyAlignment="1">
      <alignment horizontal="center" vertical="center" wrapText="1"/>
    </xf>
    <xf numFmtId="0" fontId="119" fillId="6" borderId="14" xfId="0" applyFont="1" applyFill="1" applyBorder="1" applyAlignment="1" applyProtection="1">
      <alignment vertical="center" wrapText="1"/>
    </xf>
    <xf numFmtId="10" fontId="10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7" fillId="6" borderId="28" xfId="0" applyNumberFormat="1" applyFont="1" applyFill="1" applyBorder="1" applyProtection="1">
      <alignment vertical="center"/>
    </xf>
    <xf numFmtId="0" fontId="107" fillId="6" borderId="5" xfId="0" applyNumberFormat="1" applyFont="1" applyFill="1" applyBorder="1" applyProtection="1">
      <alignment vertical="center"/>
    </xf>
    <xf numFmtId="0" fontId="107" fillId="6" borderId="33" xfId="0" applyNumberFormat="1" applyFont="1" applyFill="1" applyBorder="1" applyProtection="1">
      <alignment vertical="center"/>
    </xf>
    <xf numFmtId="10" fontId="59" fillId="6" borderId="1" xfId="0" applyNumberFormat="1" applyFont="1" applyFill="1" applyBorder="1" applyAlignment="1" applyProtection="1">
      <alignment vertical="center" wrapText="1"/>
    </xf>
    <xf numFmtId="0" fontId="64" fillId="6" borderId="41" xfId="0" applyFont="1" applyFill="1" applyBorder="1" applyAlignment="1" applyProtection="1">
      <alignment horizontal="center" vertical="center"/>
    </xf>
    <xf numFmtId="0" fontId="64" fillId="0" borderId="2" xfId="0" applyFont="1" applyBorder="1" applyAlignment="1" applyProtection="1">
      <alignment horizontal="center" vertical="center"/>
      <protection locked="0"/>
    </xf>
    <xf numFmtId="0" fontId="64" fillId="0" borderId="4" xfId="0" applyFont="1" applyBorder="1" applyAlignment="1" applyProtection="1">
      <alignment horizontal="center" vertical="center"/>
      <protection locked="0"/>
    </xf>
    <xf numFmtId="0" fontId="64" fillId="0" borderId="94" xfId="0" applyFont="1" applyFill="1" applyBorder="1" applyAlignment="1" applyProtection="1">
      <alignment horizontal="center" vertical="center"/>
      <protection locked="0"/>
    </xf>
    <xf numFmtId="0" fontId="64" fillId="0" borderId="8" xfId="0" applyFont="1" applyBorder="1" applyAlignment="1" applyProtection="1">
      <alignment horizontal="center" vertical="center"/>
      <protection locked="0"/>
    </xf>
    <xf numFmtId="187" fontId="64" fillId="6" borderId="8" xfId="0" applyNumberFormat="1" applyFont="1" applyFill="1" applyBorder="1" applyAlignment="1" applyProtection="1">
      <alignment horizontal="center" vertical="center"/>
    </xf>
    <xf numFmtId="0" fontId="64" fillId="6" borderId="23" xfId="0" applyFont="1" applyFill="1" applyBorder="1" applyAlignment="1" applyProtection="1">
      <alignment horizontal="center" vertical="center"/>
    </xf>
    <xf numFmtId="0" fontId="64" fillId="0" borderId="1" xfId="0" applyFont="1" applyBorder="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64" fillId="0" borderId="93" xfId="0" applyFont="1" applyFill="1" applyBorder="1" applyAlignment="1" applyProtection="1">
      <alignment horizontal="center" vertical="center"/>
      <protection locked="0"/>
    </xf>
    <xf numFmtId="0" fontId="64" fillId="0" borderId="24" xfId="0" applyFont="1" applyBorder="1" applyAlignment="1" applyProtection="1">
      <alignment horizontal="center" vertical="center"/>
      <protection locked="0"/>
    </xf>
    <xf numFmtId="0" fontId="64" fillId="6" borderId="24" xfId="0" applyFont="1" applyFill="1" applyBorder="1" applyAlignment="1" applyProtection="1">
      <alignment horizontal="center" vertical="center"/>
    </xf>
    <xf numFmtId="178" fontId="64" fillId="6" borderId="24" xfId="0" applyNumberFormat="1" applyFont="1" applyFill="1" applyBorder="1" applyAlignment="1" applyProtection="1">
      <alignment horizontal="center" vertical="center"/>
    </xf>
    <xf numFmtId="178" fontId="64" fillId="0" borderId="24" xfId="0" applyNumberFormat="1"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64" fillId="6" borderId="32" xfId="0" applyFont="1" applyFill="1" applyBorder="1" applyAlignment="1" applyProtection="1">
      <alignment horizontal="center" vertical="center"/>
    </xf>
    <xf numFmtId="0" fontId="64" fillId="6" borderId="47" xfId="0" applyFont="1" applyFill="1" applyBorder="1" applyAlignment="1" applyProtection="1">
      <alignment horizontal="center" vertical="center"/>
    </xf>
    <xf numFmtId="0" fontId="64" fillId="0" borderId="32" xfId="0" applyFont="1" applyBorder="1" applyAlignment="1" applyProtection="1">
      <alignment horizontal="center" vertical="center"/>
      <protection locked="0"/>
    </xf>
    <xf numFmtId="178" fontId="64" fillId="6" borderId="49" xfId="0" applyNumberFormat="1" applyFont="1" applyFill="1" applyBorder="1" applyAlignment="1" applyProtection="1">
      <alignment horizontal="center" vertical="center"/>
    </xf>
    <xf numFmtId="177" fontId="59" fillId="6" borderId="5" xfId="1" applyNumberFormat="1" applyFont="1" applyFill="1" applyBorder="1" applyAlignment="1" applyProtection="1">
      <alignment horizontal="center"/>
    </xf>
    <xf numFmtId="0" fontId="78" fillId="6" borderId="1" xfId="0" applyFont="1" applyFill="1" applyBorder="1" applyAlignment="1" applyProtection="1">
      <alignment horizontal="center" vertical="center"/>
    </xf>
    <xf numFmtId="189" fontId="57" fillId="6" borderId="0" xfId="0" applyNumberFormat="1" applyFont="1" applyFill="1" applyAlignment="1" applyProtection="1">
      <alignment horizontal="center" vertical="center"/>
      <protection locked="0"/>
    </xf>
    <xf numFmtId="181" fontId="57" fillId="6" borderId="0" xfId="0" applyNumberFormat="1" applyFont="1" applyFill="1" applyAlignment="1" applyProtection="1">
      <alignment horizontal="center" vertical="center"/>
      <protection locked="0"/>
    </xf>
    <xf numFmtId="0" fontId="57" fillId="6" borderId="28" xfId="0" applyFont="1" applyFill="1" applyBorder="1" applyAlignment="1" applyProtection="1">
      <alignment horizontal="center" vertical="center"/>
    </xf>
    <xf numFmtId="0" fontId="108" fillId="6" borderId="24" xfId="0" applyFont="1" applyFill="1" applyBorder="1" applyAlignment="1" applyProtection="1">
      <alignment horizontal="center" vertical="center"/>
    </xf>
    <xf numFmtId="0" fontId="78" fillId="5" borderId="23" xfId="0" applyFont="1" applyFill="1" applyBorder="1" applyAlignment="1" applyProtection="1">
      <alignment horizontal="center" vertical="center"/>
      <protection locked="0"/>
    </xf>
    <xf numFmtId="0" fontId="108" fillId="6" borderId="49" xfId="0" applyFont="1" applyFill="1" applyBorder="1" applyAlignment="1" applyProtection="1">
      <alignment horizontal="center" vertical="center"/>
    </xf>
    <xf numFmtId="0" fontId="108" fillId="6" borderId="86" xfId="0" applyFont="1" applyFill="1" applyBorder="1" applyAlignment="1" applyProtection="1">
      <alignment horizontal="center" vertical="center"/>
    </xf>
    <xf numFmtId="0" fontId="108" fillId="0" borderId="86" xfId="0" applyFont="1" applyFill="1" applyBorder="1" applyAlignment="1" applyProtection="1">
      <alignment horizontal="center" vertical="center"/>
      <protection locked="0"/>
    </xf>
    <xf numFmtId="0" fontId="108" fillId="0" borderId="97" xfId="0" applyFont="1" applyFill="1" applyBorder="1" applyAlignment="1" applyProtection="1">
      <alignment horizontal="center" vertical="center"/>
      <protection locked="0"/>
    </xf>
    <xf numFmtId="0" fontId="78" fillId="6" borderId="32" xfId="0"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wrapText="1"/>
      <protection locked="0"/>
    </xf>
    <xf numFmtId="0" fontId="53" fillId="6" borderId="98" xfId="0" applyNumberFormat="1" applyFont="1" applyFill="1" applyBorder="1" applyAlignment="1" applyProtection="1">
      <alignment horizontal="center" vertical="center" wrapText="1"/>
    </xf>
    <xf numFmtId="0" fontId="59" fillId="0" borderId="99" xfId="0" applyNumberFormat="1" applyFont="1" applyFill="1" applyBorder="1" applyAlignment="1" applyProtection="1">
      <alignment horizontal="center" vertical="center" wrapText="1"/>
      <protection locked="0"/>
    </xf>
    <xf numFmtId="0" fontId="59" fillId="6" borderId="100" xfId="0" applyNumberFormat="1" applyFont="1" applyFill="1" applyBorder="1" applyAlignment="1" applyProtection="1">
      <alignment horizontal="center" vertical="center" wrapText="1"/>
    </xf>
    <xf numFmtId="0" fontId="59" fillId="6" borderId="99" xfId="0" applyNumberFormat="1" applyFont="1" applyFill="1" applyBorder="1" applyAlignment="1" applyProtection="1">
      <alignment horizontal="center" vertical="center" wrapText="1"/>
    </xf>
    <xf numFmtId="0" fontId="53" fillId="0" borderId="101"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53" fillId="6" borderId="101" xfId="0" applyNumberFormat="1" applyFont="1" applyFill="1" applyBorder="1" applyAlignment="1" applyProtection="1">
      <alignment horizontal="center" vertical="center" wrapText="1"/>
    </xf>
    <xf numFmtId="0" fontId="57" fillId="0" borderId="58" xfId="0" applyFont="1" applyFill="1" applyBorder="1" applyAlignment="1" applyProtection="1">
      <alignment horizontal="center" vertical="center"/>
      <protection locked="0"/>
    </xf>
    <xf numFmtId="0" fontId="63"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0" fontId="71" fillId="6" borderId="0" xfId="0" applyFont="1" applyFill="1" applyBorder="1" applyAlignment="1" applyProtection="1">
      <alignment vertical="center"/>
      <protection locked="0"/>
    </xf>
    <xf numFmtId="189" fontId="68" fillId="6" borderId="0" xfId="0" applyNumberFormat="1"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protection locked="0"/>
    </xf>
    <xf numFmtId="0" fontId="68" fillId="6" borderId="0"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vertical="center" wrapText="1"/>
      <protection locked="0"/>
    </xf>
    <xf numFmtId="0" fontId="57" fillId="6" borderId="0"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horizontal="center" vertical="center" wrapText="1"/>
      <protection locked="0"/>
    </xf>
    <xf numFmtId="0" fontId="57"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protection locked="0"/>
    </xf>
    <xf numFmtId="0" fontId="55" fillId="6" borderId="35" xfId="0" applyFont="1" applyFill="1" applyBorder="1" applyAlignment="1" applyProtection="1">
      <alignment horizontal="center" vertical="center"/>
      <protection locked="0"/>
    </xf>
    <xf numFmtId="181" fontId="57" fillId="6" borderId="0" xfId="0" applyNumberFormat="1" applyFont="1" applyFill="1" applyBorder="1" applyAlignment="1" applyProtection="1">
      <alignment vertical="center" wrapText="1"/>
      <protection locked="0"/>
    </xf>
    <xf numFmtId="0" fontId="57" fillId="6" borderId="0" xfId="0" applyFont="1" applyFill="1" applyAlignment="1" applyProtection="1">
      <alignment horizontal="center" vertical="center"/>
      <protection locked="0"/>
    </xf>
    <xf numFmtId="0" fontId="74" fillId="6" borderId="0" xfId="0" applyFont="1" applyFill="1" applyAlignment="1" applyProtection="1">
      <alignment horizontal="center" vertical="center"/>
      <protection locked="0"/>
    </xf>
    <xf numFmtId="14" fontId="57" fillId="6" borderId="0" xfId="0" applyNumberFormat="1" applyFont="1" applyFill="1" applyAlignment="1" applyProtection="1">
      <alignment horizontal="center" vertical="center"/>
      <protection locked="0"/>
    </xf>
    <xf numFmtId="9" fontId="57" fillId="6" borderId="0" xfId="0" applyNumberFormat="1" applyFont="1" applyFill="1" applyAlignment="1" applyProtection="1">
      <alignment horizontal="center" vertical="center"/>
      <protection locked="0"/>
    </xf>
    <xf numFmtId="189" fontId="74" fillId="6" borderId="0" xfId="0" applyNumberFormat="1" applyFont="1" applyFill="1" applyAlignment="1" applyProtection="1">
      <alignment horizontal="center" vertical="center"/>
      <protection locked="0"/>
    </xf>
    <xf numFmtId="181" fontId="74" fillId="6" borderId="0" xfId="0" applyNumberFormat="1" applyFont="1" applyFill="1" applyAlignment="1" applyProtection="1">
      <alignment horizontal="center" vertical="center"/>
      <protection locked="0"/>
    </xf>
    <xf numFmtId="176" fontId="57" fillId="6" borderId="0" xfId="0" applyNumberFormat="1" applyFont="1" applyFill="1" applyAlignment="1" applyProtection="1">
      <alignment horizontal="center" vertical="center"/>
      <protection locked="0"/>
    </xf>
    <xf numFmtId="0" fontId="50"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xf>
    <xf numFmtId="189" fontId="57" fillId="0" borderId="0" xfId="0" applyNumberFormat="1" applyFont="1" applyFill="1" applyAlignment="1" applyProtection="1">
      <alignment horizontal="center" vertical="center"/>
    </xf>
    <xf numFmtId="181" fontId="57" fillId="0" borderId="0" xfId="0" applyNumberFormat="1" applyFont="1" applyFill="1" applyAlignment="1" applyProtection="1">
      <alignment horizontal="center" vertical="center"/>
    </xf>
    <xf numFmtId="0" fontId="59" fillId="6" borderId="0" xfId="0" applyFont="1" applyFill="1" applyAlignment="1" applyProtection="1">
      <protection locked="0"/>
    </xf>
    <xf numFmtId="0" fontId="57" fillId="6" borderId="0" xfId="0" applyFont="1" applyFill="1" applyBorder="1" applyAlignment="1" applyProtection="1">
      <protection locked="0"/>
    </xf>
    <xf numFmtId="189" fontId="57" fillId="6" borderId="0" xfId="0" applyNumberFormat="1" applyFont="1" applyFill="1" applyBorder="1" applyAlignment="1" applyProtection="1">
      <alignment horizontal="center"/>
      <protection locked="0"/>
    </xf>
    <xf numFmtId="181" fontId="57" fillId="6" borderId="0" xfId="0" applyNumberFormat="1" applyFont="1" applyFill="1" applyBorder="1" applyAlignment="1" applyProtection="1">
      <protection locked="0"/>
    </xf>
    <xf numFmtId="0" fontId="50" fillId="0" borderId="43"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protection locked="0"/>
    </xf>
    <xf numFmtId="9" fontId="78" fillId="5" borderId="1" xfId="0" applyNumberFormat="1" applyFont="1" applyFill="1" applyBorder="1" applyAlignment="1" applyProtection="1">
      <alignment horizontal="center" vertical="center"/>
      <protection locked="0"/>
    </xf>
    <xf numFmtId="49" fontId="53" fillId="6" borderId="6" xfId="0" applyNumberFormat="1" applyFont="1" applyFill="1" applyBorder="1" applyAlignment="1" applyProtection="1">
      <alignment horizontal="center" vertical="center"/>
      <protection locked="0"/>
    </xf>
    <xf numFmtId="49" fontId="58" fillId="6" borderId="11" xfId="0" applyNumberFormat="1" applyFont="1" applyFill="1" applyBorder="1" applyAlignment="1" applyProtection="1">
      <alignment vertical="center"/>
      <protection locked="0"/>
    </xf>
    <xf numFmtId="0" fontId="58" fillId="6" borderId="13" xfId="0" applyFont="1" applyFill="1" applyBorder="1" applyAlignment="1" applyProtection="1">
      <alignment vertical="center" wrapText="1"/>
      <protection locked="0"/>
    </xf>
    <xf numFmtId="0" fontId="53" fillId="6" borderId="13" xfId="0" applyFont="1" applyFill="1" applyBorder="1" applyAlignment="1" applyProtection="1">
      <alignment vertical="center"/>
      <protection locked="0"/>
    </xf>
    <xf numFmtId="0" fontId="53" fillId="6" borderId="1" xfId="0" applyFont="1" applyFill="1" applyBorder="1" applyAlignment="1" applyProtection="1">
      <alignment horizontal="left" vertical="center"/>
      <protection locked="0"/>
    </xf>
    <xf numFmtId="49" fontId="58" fillId="6" borderId="14" xfId="0" applyNumberFormat="1" applyFont="1" applyFill="1" applyBorder="1" applyAlignment="1" applyProtection="1">
      <alignment vertical="center"/>
      <protection locked="0"/>
    </xf>
    <xf numFmtId="0" fontId="58" fillId="6" borderId="15" xfId="0" applyFont="1" applyFill="1" applyBorder="1" applyAlignment="1" applyProtection="1">
      <alignment vertical="center" wrapText="1"/>
      <protection locked="0"/>
    </xf>
    <xf numFmtId="0" fontId="53" fillId="6" borderId="15" xfId="0" applyFont="1" applyFill="1" applyBorder="1" applyAlignment="1" applyProtection="1">
      <alignment vertical="center"/>
      <protection locked="0"/>
    </xf>
    <xf numFmtId="49" fontId="58" fillId="6" borderId="41" xfId="0" applyNumberFormat="1" applyFont="1" applyFill="1" applyBorder="1" applyAlignment="1" applyProtection="1">
      <alignment vertical="center"/>
      <protection locked="0"/>
    </xf>
    <xf numFmtId="0" fontId="58" fillId="6" borderId="2" xfId="0" applyFont="1" applyFill="1" applyBorder="1" applyAlignment="1" applyProtection="1">
      <alignment vertical="center" wrapText="1"/>
      <protection locked="0"/>
    </xf>
    <xf numFmtId="0" fontId="53" fillId="6" borderId="2" xfId="0" applyFont="1" applyFill="1" applyBorder="1" applyAlignment="1" applyProtection="1">
      <alignment vertical="center"/>
      <protection locked="0"/>
    </xf>
    <xf numFmtId="49" fontId="58" fillId="6" borderId="23" xfId="0" applyNumberFormat="1" applyFont="1" applyFill="1" applyBorder="1" applyAlignment="1" applyProtection="1">
      <alignment horizontal="left" vertical="center"/>
      <protection locked="0"/>
    </xf>
    <xf numFmtId="0" fontId="58" fillId="6" borderId="1" xfId="0" applyFont="1" applyFill="1" applyBorder="1" applyAlignment="1" applyProtection="1">
      <alignment horizontal="left" vertical="center"/>
      <protection locked="0"/>
    </xf>
    <xf numFmtId="0" fontId="58" fillId="6" borderId="1"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protection locked="0"/>
    </xf>
    <xf numFmtId="0" fontId="53" fillId="6" borderId="54"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53" fillId="6" borderId="13" xfId="0" applyFont="1" applyFill="1" applyBorder="1" applyAlignment="1" applyProtection="1">
      <alignment horizontal="left" vertical="center" wrapText="1"/>
      <protection locked="0"/>
    </xf>
    <xf numFmtId="0" fontId="53" fillId="6" borderId="2" xfId="0" applyFont="1" applyFill="1" applyBorder="1" applyAlignment="1" applyProtection="1">
      <alignment horizontal="left" vertical="center" wrapText="1"/>
      <protection locked="0"/>
    </xf>
    <xf numFmtId="0" fontId="58" fillId="6" borderId="1" xfId="0" applyFont="1" applyFill="1" applyBorder="1" applyAlignment="1" applyProtection="1">
      <alignment horizontal="left" vertical="center" wrapText="1"/>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center" vertical="center" wrapText="1"/>
      <protection locked="0"/>
    </xf>
    <xf numFmtId="0" fontId="53" fillId="6" borderId="15" xfId="0" applyFont="1" applyFill="1" applyBorder="1" applyAlignment="1" applyProtection="1">
      <alignment horizontal="left" vertical="center" wrapText="1"/>
      <protection locked="0"/>
    </xf>
    <xf numFmtId="49" fontId="58" fillId="6" borderId="25" xfId="0" applyNumberFormat="1" applyFont="1" applyFill="1" applyBorder="1" applyAlignment="1" applyProtection="1">
      <alignment horizontal="left" vertical="center"/>
      <protection locked="0"/>
    </xf>
    <xf numFmtId="0" fontId="58" fillId="6" borderId="32" xfId="0" applyFont="1" applyFill="1" applyBorder="1" applyAlignment="1" applyProtection="1">
      <alignment horizontal="left" vertical="center"/>
      <protection locked="0"/>
    </xf>
    <xf numFmtId="0" fontId="53" fillId="6" borderId="32" xfId="0" applyFont="1" applyFill="1" applyBorder="1" applyAlignment="1" applyProtection="1">
      <alignment vertical="center"/>
      <protection locked="0"/>
    </xf>
    <xf numFmtId="0" fontId="53" fillId="6" borderId="32" xfId="0" applyFont="1" applyFill="1" applyBorder="1" applyAlignment="1" applyProtection="1">
      <alignment horizontal="left" vertical="center"/>
      <protection locked="0"/>
    </xf>
    <xf numFmtId="49" fontId="58" fillId="6" borderId="55" xfId="0" applyNumberFormat="1" applyFont="1" applyFill="1" applyBorder="1" applyAlignment="1" applyProtection="1">
      <alignment horizontal="left" vertical="center"/>
      <protection locked="0"/>
    </xf>
    <xf numFmtId="49" fontId="58" fillId="6" borderId="18" xfId="0" applyNumberFormat="1" applyFont="1" applyFill="1" applyBorder="1" applyAlignment="1" applyProtection="1">
      <alignment horizontal="center" vertical="center"/>
      <protection locked="0"/>
    </xf>
    <xf numFmtId="49" fontId="58" fillId="6" borderId="18"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center" vertical="center"/>
      <protection locked="0"/>
    </xf>
    <xf numFmtId="0" fontId="58" fillId="6" borderId="58" xfId="0" applyFont="1" applyFill="1" applyBorder="1" applyAlignment="1" applyProtection="1">
      <alignment vertical="center" wrapText="1"/>
      <protection locked="0"/>
    </xf>
    <xf numFmtId="0" fontId="58" fillId="6" borderId="58" xfId="0" applyFont="1" applyFill="1" applyBorder="1" applyAlignment="1" applyProtection="1">
      <alignment horizontal="center" vertical="center"/>
      <protection locked="0"/>
    </xf>
    <xf numFmtId="0" fontId="53" fillId="6" borderId="3" xfId="0" applyFont="1" applyFill="1" applyBorder="1" applyAlignment="1" applyProtection="1">
      <alignment horizontal="left" vertical="center"/>
      <protection locked="0"/>
    </xf>
    <xf numFmtId="49" fontId="53" fillId="6" borderId="23" xfId="0" applyNumberFormat="1" applyFont="1" applyFill="1" applyBorder="1" applyAlignment="1" applyProtection="1">
      <alignment horizontal="left" vertical="center"/>
    </xf>
    <xf numFmtId="0" fontId="138" fillId="0" borderId="1" xfId="5" applyFont="1" applyBorder="1">
      <alignment vertical="center"/>
    </xf>
    <xf numFmtId="184" fontId="138" fillId="0" borderId="1" xfId="0" applyNumberFormat="1" applyFont="1" applyFill="1" applyBorder="1" applyAlignment="1">
      <alignment horizontal="right" vertical="center"/>
    </xf>
    <xf numFmtId="0" fontId="53" fillId="6" borderId="32" xfId="0" applyFont="1" applyFill="1" applyBorder="1" applyAlignment="1" applyProtection="1">
      <alignment horizontal="center" vertical="center"/>
    </xf>
    <xf numFmtId="0" fontId="60" fillId="6" borderId="46" xfId="0" applyNumberFormat="1" applyFont="1" applyFill="1" applyBorder="1" applyAlignment="1" applyProtection="1">
      <alignment vertical="center" wrapText="1"/>
      <protection locked="0"/>
    </xf>
    <xf numFmtId="0" fontId="53" fillId="6" borderId="2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textRotation="255" wrapText="1"/>
      <protection locked="0"/>
    </xf>
    <xf numFmtId="0" fontId="66" fillId="6" borderId="58"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center" vertical="center" wrapText="1"/>
    </xf>
    <xf numFmtId="0" fontId="53" fillId="0" borderId="1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59" fillId="0" borderId="59" xfId="0" applyNumberFormat="1" applyFont="1" applyFill="1" applyBorder="1" applyAlignment="1" applyProtection="1">
      <alignment horizontal="center" vertical="center" wrapText="1"/>
      <protection locked="0"/>
    </xf>
    <xf numFmtId="0" fontId="59" fillId="6" borderId="56" xfId="0" applyNumberFormat="1" applyFont="1" applyFill="1" applyBorder="1" applyAlignment="1" applyProtection="1">
      <alignment horizontal="center" vertical="center" wrapText="1"/>
    </xf>
    <xf numFmtId="0" fontId="58" fillId="6" borderId="58" xfId="0" applyNumberFormat="1" applyFont="1" applyFill="1" applyBorder="1" applyAlignment="1" applyProtection="1">
      <alignment vertical="center" wrapText="1"/>
      <protection locked="0"/>
    </xf>
    <xf numFmtId="0" fontId="53" fillId="0" borderId="110" xfId="0" applyNumberFormat="1" applyFont="1" applyFill="1" applyBorder="1" applyAlignment="1" applyProtection="1">
      <alignment horizontal="center" vertical="center" wrapText="1"/>
      <protection locked="0"/>
    </xf>
    <xf numFmtId="0" fontId="53" fillId="0" borderId="111"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9" fillId="6" borderId="13" xfId="0" applyNumberFormat="1" applyFont="1" applyFill="1" applyBorder="1" applyAlignment="1" applyProtection="1">
      <alignment horizontal="center" vertical="center" wrapText="1"/>
    </xf>
    <xf numFmtId="0" fontId="53" fillId="0" borderId="117" xfId="0" applyFont="1" applyFill="1" applyBorder="1" applyAlignment="1" applyProtection="1">
      <alignment horizontal="center" vertical="center"/>
      <protection locked="0"/>
    </xf>
    <xf numFmtId="0"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wrapText="1"/>
      <protection locked="0"/>
    </xf>
    <xf numFmtId="9"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protection locked="0"/>
    </xf>
    <xf numFmtId="0" fontId="53" fillId="0" borderId="114" xfId="0" applyFont="1" applyFill="1" applyBorder="1" applyAlignment="1" applyProtection="1">
      <alignment horizontal="center" vertical="center"/>
      <protection locked="0"/>
    </xf>
    <xf numFmtId="0" fontId="53" fillId="6" borderId="114" xfId="0" applyNumberFormat="1" applyFont="1" applyFill="1" applyBorder="1" applyAlignment="1" applyProtection="1">
      <alignment horizontal="center" vertical="center" wrapText="1"/>
    </xf>
    <xf numFmtId="0" fontId="59" fillId="0" borderId="115" xfId="0" applyNumberFormat="1" applyFont="1" applyFill="1" applyBorder="1" applyAlignment="1" applyProtection="1">
      <alignment horizontal="center" vertical="center" wrapText="1"/>
      <protection locked="0"/>
    </xf>
    <xf numFmtId="0" fontId="59" fillId="0" borderId="116" xfId="0" applyNumberFormat="1" applyFont="1" applyFill="1" applyBorder="1" applyAlignment="1" applyProtection="1">
      <alignment horizontal="center" vertical="center" wrapText="1"/>
      <protection locked="0"/>
    </xf>
    <xf numFmtId="0" fontId="53" fillId="10" borderId="6"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left" vertical="center" wrapText="1"/>
      <protection locked="0"/>
    </xf>
    <xf numFmtId="0" fontId="53" fillId="10" borderId="28" xfId="0" applyNumberFormat="1" applyFont="1" applyFill="1" applyBorder="1" applyAlignment="1" applyProtection="1">
      <alignment horizontal="center" vertical="center" wrapText="1"/>
      <protection locked="0"/>
    </xf>
    <xf numFmtId="0" fontId="53" fillId="10" borderId="29" xfId="0" applyFont="1" applyFill="1" applyBorder="1" applyAlignment="1" applyProtection="1">
      <alignment horizontal="center" vertical="center"/>
      <protection locked="0"/>
    </xf>
    <xf numFmtId="0"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wrapText="1"/>
      <protection locked="0"/>
    </xf>
    <xf numFmtId="9"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protection locked="0"/>
    </xf>
    <xf numFmtId="0" fontId="53" fillId="10" borderId="31" xfId="0" applyFont="1" applyFill="1" applyBorder="1" applyAlignment="1" applyProtection="1">
      <alignment horizontal="center" vertical="center"/>
      <protection locked="0"/>
    </xf>
    <xf numFmtId="0" fontId="58" fillId="10" borderId="97" xfId="0" applyNumberFormat="1" applyFont="1" applyFill="1" applyBorder="1" applyAlignment="1" applyProtection="1">
      <alignment vertical="center" wrapText="1"/>
      <protection locked="0"/>
    </xf>
    <xf numFmtId="0" fontId="53" fillId="10" borderId="42" xfId="0" applyNumberFormat="1" applyFont="1" applyFill="1" applyBorder="1" applyAlignment="1" applyProtection="1">
      <alignment horizontal="center" vertical="center" wrapText="1"/>
    </xf>
    <xf numFmtId="0" fontId="53" fillId="10" borderId="25" xfId="0" applyNumberFormat="1" applyFont="1" applyFill="1" applyBorder="1" applyAlignment="1" applyProtection="1">
      <alignment horizontal="center" vertical="center" wrapText="1"/>
      <protection locked="0"/>
    </xf>
    <xf numFmtId="0" fontId="59" fillId="10" borderId="32" xfId="0" applyNumberFormat="1" applyFont="1" applyFill="1" applyBorder="1" applyAlignment="1" applyProtection="1">
      <alignment horizontal="center" vertical="center" wrapText="1"/>
      <protection locked="0"/>
    </xf>
    <xf numFmtId="0" fontId="59" fillId="10" borderId="33" xfId="0" applyNumberFormat="1" applyFont="1" applyFill="1" applyBorder="1" applyAlignment="1" applyProtection="1">
      <alignment horizontal="center" vertical="center" wrapText="1"/>
      <protection locked="0"/>
    </xf>
    <xf numFmtId="0" fontId="59" fillId="10" borderId="68" xfId="0" applyNumberFormat="1" applyFont="1" applyFill="1" applyBorder="1" applyAlignment="1" applyProtection="1">
      <alignment horizontal="center" vertical="center" wrapText="1"/>
      <protection locked="0"/>
    </xf>
    <xf numFmtId="0" fontId="50" fillId="6" borderId="1" xfId="0" applyFont="1" applyFill="1" applyBorder="1" applyProtection="1">
      <alignment vertical="center"/>
    </xf>
    <xf numFmtId="176" fontId="50" fillId="6" borderId="1" xfId="0" applyNumberFormat="1" applyFont="1" applyFill="1" applyBorder="1" applyProtection="1">
      <alignment vertical="center"/>
    </xf>
    <xf numFmtId="0" fontId="50" fillId="6" borderId="1" xfId="0" applyFont="1" applyFill="1" applyBorder="1" applyAlignment="1" applyProtection="1">
      <alignment horizontal="right" vertical="center" wrapText="1"/>
    </xf>
    <xf numFmtId="181" fontId="55" fillId="6" borderId="1" xfId="0" applyNumberFormat="1" applyFont="1" applyFill="1" applyBorder="1" applyAlignment="1" applyProtection="1">
      <alignment horizontal="center" vertical="center"/>
      <protection locked="0"/>
    </xf>
    <xf numFmtId="179" fontId="53" fillId="6" borderId="23" xfId="1" applyNumberFormat="1" applyFont="1" applyFill="1" applyBorder="1" applyAlignment="1" applyProtection="1">
      <alignment horizontal="center"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xf>
    <xf numFmtId="179" fontId="50" fillId="6" borderId="25" xfId="1" applyNumberFormat="1" applyFont="1" applyFill="1" applyBorder="1" applyAlignment="1" applyProtection="1">
      <alignment horizontal="center" vertical="center"/>
    </xf>
    <xf numFmtId="181" fontId="50" fillId="6" borderId="1" xfId="0" applyNumberFormat="1" applyFont="1" applyFill="1" applyBorder="1" applyAlignment="1" applyProtection="1">
      <alignment vertical="center"/>
    </xf>
    <xf numFmtId="181" fontId="50" fillId="6" borderId="5" xfId="0" applyNumberFormat="1" applyFont="1" applyFill="1" applyBorder="1" applyAlignment="1" applyProtection="1">
      <alignment vertical="center"/>
    </xf>
    <xf numFmtId="181"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1" fontId="50" fillId="6" borderId="1" xfId="0" applyNumberFormat="1" applyFont="1" applyFill="1" applyBorder="1" applyAlignment="1" applyProtection="1">
      <alignment horizontal="center" vertical="center"/>
    </xf>
    <xf numFmtId="181"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horizontal="center" vertical="center"/>
    </xf>
    <xf numFmtId="10" fontId="50" fillId="6" borderId="1" xfId="0" applyNumberFormat="1" applyFont="1" applyFill="1" applyBorder="1" applyAlignment="1" applyProtection="1">
      <alignment horizontal="center" vertical="center"/>
    </xf>
    <xf numFmtId="183" fontId="50" fillId="6" borderId="1"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4" fontId="50" fillId="6" borderId="67" xfId="0" applyNumberFormat="1" applyFont="1" applyFill="1" applyBorder="1" applyAlignment="1" applyProtection="1">
      <alignment horizontal="center" vertical="center"/>
    </xf>
    <xf numFmtId="0" fontId="50" fillId="6" borderId="6" xfId="0"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wrapText="1"/>
      <protection locked="0"/>
    </xf>
    <xf numFmtId="0" fontId="53" fillId="3" borderId="5" xfId="0" applyFont="1" applyFill="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176" fontId="53" fillId="0" borderId="1" xfId="0" applyNumberFormat="1" applyFont="1" applyFill="1" applyBorder="1" applyAlignment="1" applyProtection="1">
      <alignment horizontal="center" vertical="center" wrapText="1"/>
      <protection locked="0"/>
    </xf>
    <xf numFmtId="179" fontId="50" fillId="6" borderId="2" xfId="0" applyNumberFormat="1" applyFont="1" applyFill="1" applyBorder="1" applyProtection="1">
      <alignment vertical="center"/>
    </xf>
    <xf numFmtId="181" fontId="58" fillId="0" borderId="24" xfId="0" applyNumberFormat="1" applyFont="1" applyFill="1" applyBorder="1" applyAlignment="1" applyProtection="1">
      <alignment horizontal="center" vertical="center"/>
      <protection locked="0"/>
    </xf>
    <xf numFmtId="0" fontId="53" fillId="6" borderId="46" xfId="0" applyFont="1" applyFill="1" applyBorder="1" applyAlignment="1" applyProtection="1">
      <alignment vertical="center"/>
      <protection locked="0"/>
    </xf>
    <xf numFmtId="0" fontId="53" fillId="6" borderId="7" xfId="0" applyFont="1" applyFill="1" applyBorder="1" applyAlignment="1" applyProtection="1">
      <alignment horizontal="left" vertical="center"/>
      <protection locked="0"/>
    </xf>
    <xf numFmtId="0" fontId="58" fillId="6" borderId="8" xfId="0" applyFont="1" applyFill="1" applyBorder="1" applyAlignment="1" applyProtection="1">
      <alignment horizontal="center" vertical="center"/>
    </xf>
    <xf numFmtId="0" fontId="53" fillId="6" borderId="29" xfId="0" applyFont="1" applyFill="1" applyBorder="1" applyAlignment="1" applyProtection="1">
      <alignment horizontal="right" vertical="center"/>
      <protection locked="0"/>
    </xf>
    <xf numFmtId="0" fontId="53" fillId="6" borderId="31" xfId="0" applyFont="1" applyFill="1" applyBorder="1" applyAlignment="1" applyProtection="1">
      <alignment horizontal="center" vertical="center"/>
      <protection locked="0"/>
    </xf>
    <xf numFmtId="0" fontId="60" fillId="7" borderId="24"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xf>
    <xf numFmtId="0" fontId="64" fillId="6" borderId="0" xfId="0" applyNumberFormat="1" applyFont="1" applyFill="1" applyBorder="1" applyAlignment="1" applyProtection="1">
      <alignment horizontal="center"/>
    </xf>
    <xf numFmtId="10" fontId="107" fillId="0" borderId="1" xfId="0" applyNumberFormat="1" applyFont="1" applyBorder="1" applyAlignment="1" applyProtection="1">
      <alignment horizontal="center" vertical="center"/>
      <protection locked="0"/>
    </xf>
    <xf numFmtId="10" fontId="57" fillId="6" borderId="1"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wrapText="1"/>
    </xf>
    <xf numFmtId="179" fontId="123" fillId="6" borderId="15"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xf>
    <xf numFmtId="0" fontId="15" fillId="6" borderId="24" xfId="0" applyFont="1" applyFill="1" applyBorder="1" applyAlignment="1" applyProtection="1">
      <alignment vertical="center"/>
    </xf>
    <xf numFmtId="0" fontId="58" fillId="6" borderId="4" xfId="0" applyFont="1" applyFill="1" applyBorder="1" applyAlignment="1" applyProtection="1">
      <alignment horizontal="center" vertical="center"/>
    </xf>
    <xf numFmtId="49" fontId="53" fillId="6" borderId="11" xfId="0" applyNumberFormat="1" applyFont="1" applyFill="1" applyBorder="1" applyAlignment="1" applyProtection="1">
      <alignment horizontal="left" vertical="center"/>
    </xf>
    <xf numFmtId="0" fontId="53" fillId="6" borderId="15" xfId="0" applyFont="1" applyFill="1" applyBorder="1" applyAlignment="1" applyProtection="1">
      <alignment horizontal="center"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49" fontId="53" fillId="6" borderId="35" xfId="0" applyNumberFormat="1" applyFont="1" applyFill="1" applyBorder="1" applyAlignment="1" applyProtection="1">
      <alignment horizontal="left" vertical="center"/>
    </xf>
    <xf numFmtId="0" fontId="58" fillId="6" borderId="22"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3" fillId="6" borderId="3" xfId="0" applyFont="1" applyFill="1" applyBorder="1" applyAlignment="1" applyProtection="1">
      <alignment horizontal="left" vertical="center"/>
    </xf>
    <xf numFmtId="49" fontId="58" fillId="6" borderId="69" xfId="0" applyNumberFormat="1" applyFont="1" applyFill="1" applyBorder="1" applyAlignment="1" applyProtection="1">
      <alignment vertical="center"/>
    </xf>
    <xf numFmtId="10" fontId="53" fillId="6" borderId="61" xfId="0" applyNumberFormat="1" applyFont="1" applyFill="1" applyBorder="1" applyAlignment="1" applyProtection="1">
      <alignment horizontal="center" vertical="center"/>
    </xf>
    <xf numFmtId="0" fontId="22" fillId="0" borderId="1" xfId="0" applyFont="1" applyFill="1" applyBorder="1" applyAlignment="1">
      <alignment horizontal="center" vertical="center"/>
    </xf>
    <xf numFmtId="177" fontId="22" fillId="0" borderId="24" xfId="0" applyNumberFormat="1" applyFont="1" applyFill="1" applyBorder="1" applyAlignment="1">
      <alignment horizontal="center" vertical="center"/>
    </xf>
    <xf numFmtId="0" fontId="133" fillId="0" borderId="1" xfId="0" applyFont="1" applyFill="1" applyBorder="1" applyAlignment="1">
      <alignment horizontal="center" vertical="center"/>
    </xf>
    <xf numFmtId="9" fontId="22" fillId="0" borderId="1" xfId="0" applyNumberFormat="1" applyFont="1" applyFill="1" applyBorder="1" applyAlignment="1">
      <alignment horizontal="center" vertical="center"/>
    </xf>
    <xf numFmtId="177" fontId="22" fillId="0" borderId="1" xfId="0" applyNumberFormat="1" applyFont="1" applyFill="1" applyBorder="1" applyAlignment="1">
      <alignment horizontal="center" vertical="center"/>
    </xf>
    <xf numFmtId="0" fontId="22" fillId="0" borderId="24" xfId="0" applyFont="1" applyFill="1" applyBorder="1" applyAlignment="1">
      <alignment horizontal="center" vertical="center"/>
    </xf>
    <xf numFmtId="0" fontId="148" fillId="0" borderId="1" xfId="0" applyFont="1" applyFill="1" applyBorder="1" applyAlignment="1">
      <alignment horizontal="center" vertical="center"/>
    </xf>
    <xf numFmtId="9" fontId="87" fillId="0" borderId="1" xfId="0" applyNumberFormat="1" applyFont="1" applyFill="1" applyBorder="1" applyAlignment="1">
      <alignment horizontal="center" vertical="center"/>
    </xf>
    <xf numFmtId="177" fontId="87" fillId="0" borderId="1" xfId="0" applyNumberFormat="1" applyFont="1" applyFill="1" applyBorder="1" applyAlignment="1">
      <alignment horizontal="center" vertical="center"/>
    </xf>
    <xf numFmtId="0" fontId="87" fillId="0" borderId="24" xfId="0" applyFont="1" applyFill="1" applyBorder="1" applyAlignment="1">
      <alignment horizontal="center" vertical="center"/>
    </xf>
    <xf numFmtId="0" fontId="40" fillId="0" borderId="1" xfId="0" applyFont="1" applyFill="1" applyBorder="1" applyAlignment="1">
      <alignment horizontal="center" vertical="center"/>
    </xf>
    <xf numFmtId="0" fontId="0" fillId="0" borderId="1" xfId="0" applyFill="1" applyBorder="1" applyAlignment="1">
      <alignment vertical="center"/>
    </xf>
    <xf numFmtId="0" fontId="148" fillId="0" borderId="24" xfId="0" applyFont="1" applyFill="1" applyBorder="1" applyAlignment="1">
      <alignment horizontal="center" vertical="center"/>
    </xf>
    <xf numFmtId="0" fontId="133" fillId="0" borderId="1" xfId="0" applyFont="1" applyFill="1" applyBorder="1" applyAlignment="1">
      <alignment horizontal="center" vertical="center" wrapText="1"/>
    </xf>
    <xf numFmtId="0" fontId="40" fillId="0" borderId="1" xfId="0" applyFont="1" applyFill="1" applyBorder="1" applyAlignment="1">
      <alignment vertical="center"/>
    </xf>
    <xf numFmtId="0" fontId="133" fillId="0" borderId="24" xfId="0" applyFont="1" applyFill="1" applyBorder="1" applyAlignment="1">
      <alignment horizontal="center" vertical="center"/>
    </xf>
    <xf numFmtId="0" fontId="133" fillId="0" borderId="1" xfId="0" applyFont="1" applyBorder="1" applyAlignment="1">
      <alignment horizontal="center" vertical="center"/>
    </xf>
    <xf numFmtId="9" fontId="133" fillId="0" borderId="1" xfId="0" applyNumberFormat="1" applyFont="1" applyBorder="1" applyAlignment="1">
      <alignment horizontal="center" vertical="center"/>
    </xf>
    <xf numFmtId="0" fontId="148" fillId="0" borderId="32" xfId="0" applyFont="1" applyFill="1" applyBorder="1" applyAlignment="1">
      <alignment horizontal="center" vertical="center"/>
    </xf>
    <xf numFmtId="9" fontId="148" fillId="0" borderId="32" xfId="0" applyNumberFormat="1" applyFont="1" applyFill="1" applyBorder="1" applyAlignment="1">
      <alignment horizontal="center" vertical="center"/>
    </xf>
    <xf numFmtId="177" fontId="148" fillId="0" borderId="32" xfId="0" applyNumberFormat="1" applyFont="1" applyFill="1" applyBorder="1" applyAlignment="1">
      <alignment horizontal="center" vertical="center"/>
    </xf>
    <xf numFmtId="0" fontId="87" fillId="0" borderId="49" xfId="0" applyFont="1" applyFill="1" applyBorder="1" applyAlignment="1">
      <alignment horizontal="center" vertical="center"/>
    </xf>
    <xf numFmtId="0" fontId="148" fillId="11" borderId="1" xfId="0" applyFont="1" applyFill="1" applyBorder="1" applyAlignment="1">
      <alignment vertical="center"/>
    </xf>
    <xf numFmtId="0" fontId="22" fillId="0" borderId="1" xfId="0" applyFont="1" applyBorder="1" applyAlignment="1">
      <alignment horizontal="center"/>
    </xf>
    <xf numFmtId="0" fontId="22" fillId="0" borderId="1" xfId="0" applyFont="1" applyBorder="1" applyAlignment="1"/>
    <xf numFmtId="49" fontId="22" fillId="0" borderId="1" xfId="0" applyNumberFormat="1" applyFont="1" applyBorder="1" applyAlignment="1">
      <alignment horizontal="center"/>
    </xf>
    <xf numFmtId="9" fontId="22" fillId="0" borderId="1" xfId="0" applyNumberFormat="1" applyFont="1" applyBorder="1" applyAlignment="1"/>
    <xf numFmtId="0" fontId="22" fillId="0" borderId="1" xfId="0" applyFont="1" applyFill="1" applyBorder="1" applyAlignment="1">
      <alignment horizontal="center"/>
    </xf>
    <xf numFmtId="49" fontId="58" fillId="6" borderId="41" xfId="0" applyNumberFormat="1" applyFont="1" applyFill="1" applyBorder="1" applyAlignment="1" applyProtection="1">
      <alignment horizontal="left" vertical="center"/>
    </xf>
    <xf numFmtId="0" fontId="58" fillId="6" borderId="2" xfId="0" applyFont="1" applyFill="1" applyBorder="1" applyAlignment="1" applyProtection="1">
      <alignment horizontal="left" vertical="center"/>
    </xf>
    <xf numFmtId="0" fontId="53" fillId="6" borderId="15" xfId="0" applyFont="1" applyFill="1" applyBorder="1" applyAlignment="1" applyProtection="1">
      <alignment horizontal="left" vertical="center"/>
    </xf>
    <xf numFmtId="181" fontId="53" fillId="6" borderId="53" xfId="0" applyNumberFormat="1" applyFont="1" applyFill="1" applyBorder="1" applyAlignment="1" applyProtection="1">
      <alignment horizontal="center" vertical="center"/>
    </xf>
    <xf numFmtId="49" fontId="53" fillId="6" borderId="91" xfId="0" applyNumberFormat="1" applyFont="1" applyFill="1" applyBorder="1" applyAlignment="1" applyProtection="1">
      <alignment vertical="center"/>
    </xf>
    <xf numFmtId="0" fontId="58" fillId="0" borderId="78" xfId="0" applyFont="1" applyFill="1" applyBorder="1" applyAlignment="1" applyProtection="1">
      <alignment horizontal="center" vertical="center"/>
      <protection locked="0"/>
    </xf>
    <xf numFmtId="0" fontId="53" fillId="6" borderId="78" xfId="0" applyFont="1" applyFill="1" applyBorder="1" applyAlignment="1" applyProtection="1">
      <alignment vertical="center"/>
    </xf>
    <xf numFmtId="181" fontId="58" fillId="6" borderId="79" xfId="0" applyNumberFormat="1"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49" fontId="53" fillId="6" borderId="91" xfId="0" applyNumberFormat="1" applyFont="1" applyFill="1" applyBorder="1" applyAlignment="1" applyProtection="1">
      <alignment horizontal="left" vertical="center"/>
    </xf>
    <xf numFmtId="0" fontId="53" fillId="6" borderId="78" xfId="0" applyFont="1" applyFill="1" applyBorder="1" applyAlignment="1" applyProtection="1">
      <alignment horizontal="left" vertical="center"/>
    </xf>
    <xf numFmtId="0" fontId="53" fillId="6" borderId="78" xfId="0" applyFont="1" applyFill="1" applyBorder="1" applyAlignment="1" applyProtection="1">
      <alignment horizontal="center" vertical="center"/>
    </xf>
    <xf numFmtId="0" fontId="53" fillId="6" borderId="78" xfId="0" applyFont="1" applyFill="1" applyBorder="1" applyAlignment="1" applyProtection="1">
      <alignment horizontal="left" vertical="center" wrapText="1"/>
    </xf>
    <xf numFmtId="181" fontId="53" fillId="6" borderId="79" xfId="0" applyNumberFormat="1" applyFont="1" applyFill="1" applyBorder="1" applyAlignment="1" applyProtection="1">
      <alignment horizontal="center" vertical="center"/>
    </xf>
    <xf numFmtId="0" fontId="58"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53" fillId="6" borderId="85" xfId="0" applyFont="1" applyFill="1" applyBorder="1" applyAlignment="1" applyProtection="1">
      <alignment vertical="center"/>
    </xf>
    <xf numFmtId="181" fontId="58" fillId="6" borderId="78" xfId="0" applyNumberFormat="1" applyFont="1" applyFill="1" applyBorder="1" applyAlignment="1" applyProtection="1">
      <alignment horizontal="center" vertical="center"/>
    </xf>
    <xf numFmtId="0" fontId="53" fillId="6" borderId="85" xfId="0" applyFont="1" applyFill="1" applyBorder="1" applyAlignment="1" applyProtection="1">
      <alignment horizontal="left" vertical="center"/>
    </xf>
    <xf numFmtId="0" fontId="53" fillId="6" borderId="7" xfId="0"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49" fontId="53" fillId="6" borderId="7" xfId="0" applyNumberFormat="1" applyFont="1" applyFill="1" applyBorder="1" applyAlignment="1" applyProtection="1">
      <alignment vertical="center"/>
    </xf>
    <xf numFmtId="178" fontId="60" fillId="6" borderId="1" xfId="0" applyNumberFormat="1" applyFont="1" applyFill="1" applyBorder="1" applyAlignment="1" applyProtection="1">
      <alignment horizontal="center" vertical="center"/>
    </xf>
    <xf numFmtId="178" fontId="59" fillId="6" borderId="1"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187" fontId="53" fillId="6" borderId="3" xfId="0" applyNumberFormat="1" applyFont="1" applyFill="1" applyBorder="1" applyAlignment="1" applyProtection="1">
      <alignment horizontal="center" vertical="center"/>
    </xf>
    <xf numFmtId="177" fontId="53" fillId="6" borderId="0"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vertical="center"/>
    </xf>
    <xf numFmtId="49" fontId="53" fillId="6" borderId="18" xfId="0" applyNumberFormat="1" applyFont="1" applyFill="1" applyBorder="1" applyAlignment="1" applyProtection="1">
      <alignment horizontal="center" vertical="center"/>
      <protection locked="0"/>
    </xf>
    <xf numFmtId="49" fontId="58" fillId="6" borderId="37" xfId="0" applyNumberFormat="1" applyFont="1" applyFill="1" applyBorder="1" applyAlignment="1" applyProtection="1">
      <alignment horizontal="left" vertical="center"/>
      <protection locked="0"/>
    </xf>
    <xf numFmtId="0" fontId="53" fillId="6" borderId="5" xfId="0" applyFont="1" applyFill="1" applyBorder="1" applyAlignment="1" applyProtection="1">
      <alignment horizontal="center" vertical="center"/>
      <protection locked="0"/>
    </xf>
    <xf numFmtId="0" fontId="53" fillId="6" borderId="5" xfId="0" applyFont="1" applyFill="1" applyBorder="1" applyAlignment="1" applyProtection="1">
      <alignment horizontal="right" vertical="center"/>
      <protection locked="0"/>
    </xf>
    <xf numFmtId="0" fontId="58" fillId="6" borderId="46" xfId="0" applyFont="1" applyFill="1" applyBorder="1" applyAlignment="1" applyProtection="1">
      <alignment horizontal="center" vertical="center"/>
    </xf>
    <xf numFmtId="0" fontId="63" fillId="6" borderId="0" xfId="0" applyFont="1" applyFill="1" applyBorder="1" applyAlignment="1" applyProtection="1">
      <alignment vertical="center"/>
    </xf>
    <xf numFmtId="181" fontId="58" fillId="5" borderId="61" xfId="0" applyNumberFormat="1" applyFont="1" applyFill="1" applyBorder="1" applyAlignment="1" applyProtection="1">
      <alignment horizontal="center" vertical="center"/>
      <protection locked="0"/>
    </xf>
    <xf numFmtId="0" fontId="53" fillId="6" borderId="17" xfId="0" applyFont="1" applyFill="1" applyBorder="1" applyAlignment="1" applyProtection="1">
      <alignment horizontal="center" vertical="center"/>
    </xf>
    <xf numFmtId="0" fontId="58" fillId="6" borderId="58" xfId="0" applyFont="1" applyFill="1" applyBorder="1" applyAlignment="1" applyProtection="1">
      <alignment horizontal="center" vertical="center"/>
    </xf>
    <xf numFmtId="9" fontId="59" fillId="6" borderId="24"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protection locked="0"/>
    </xf>
    <xf numFmtId="0" fontId="59" fillId="7" borderId="0" xfId="0" applyFont="1" applyFill="1" applyAlignment="1" applyProtection="1">
      <alignment horizontal="center" vertical="center" wrapText="1"/>
      <protection locked="0"/>
    </xf>
    <xf numFmtId="0" fontId="59" fillId="7" borderId="0" xfId="0" applyFont="1" applyFill="1" applyAlignment="1" applyProtection="1">
      <alignment horizontal="center" vertical="center" wrapText="1"/>
    </xf>
    <xf numFmtId="10" fontId="59" fillId="6" borderId="49" xfId="0" applyNumberFormat="1" applyFont="1" applyFill="1" applyBorder="1" applyAlignment="1" applyProtection="1">
      <alignment horizontal="center" vertical="center" wrapText="1"/>
    </xf>
    <xf numFmtId="0" fontId="59" fillId="7" borderId="0" xfId="0" applyNumberFormat="1" applyFont="1" applyFill="1" applyAlignment="1" applyProtection="1">
      <alignment horizontal="center" vertical="center" wrapText="1"/>
      <protection locked="0"/>
    </xf>
    <xf numFmtId="14" fontId="59" fillId="7" borderId="0" xfId="0" applyNumberFormat="1" applyFont="1" applyFill="1" applyAlignment="1" applyProtection="1">
      <alignment horizontal="center" vertical="center" wrapText="1"/>
      <protection locked="0"/>
    </xf>
    <xf numFmtId="10" fontId="59"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vertical="center" wrapText="1"/>
      <protection locked="0"/>
    </xf>
    <xf numFmtId="0" fontId="57" fillId="7" borderId="0" xfId="0" applyFont="1" applyFill="1" applyAlignment="1" applyProtection="1">
      <alignment vertical="center" wrapText="1"/>
    </xf>
    <xf numFmtId="49" fontId="63" fillId="6" borderId="0" xfId="1" applyNumberFormat="1" applyFont="1" applyFill="1" applyBorder="1" applyAlignment="1" applyProtection="1">
      <alignment horizontal="right" vertical="center"/>
    </xf>
    <xf numFmtId="0" fontId="60"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xf>
    <xf numFmtId="0" fontId="57" fillId="6" borderId="45" xfId="0" applyNumberFormat="1" applyFont="1" applyFill="1" applyBorder="1" applyAlignment="1" applyProtection="1">
      <alignment horizontal="center" vertical="center" wrapText="1"/>
    </xf>
    <xf numFmtId="0" fontId="64" fillId="6" borderId="14" xfId="0" applyNumberFormat="1"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0" fillId="0" borderId="5" xfId="0"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protection locked="0"/>
    </xf>
    <xf numFmtId="0" fontId="55" fillId="0" borderId="33" xfId="0" applyFont="1" applyFill="1" applyBorder="1" applyAlignment="1" applyProtection="1">
      <alignment horizontal="center" vertical="center"/>
      <protection locked="0"/>
    </xf>
    <xf numFmtId="0" fontId="57" fillId="6" borderId="37" xfId="0" applyNumberFormat="1" applyFont="1" applyFill="1" applyBorder="1" applyAlignment="1" applyProtection="1">
      <alignment horizontal="center" vertical="center" wrapText="1"/>
    </xf>
    <xf numFmtId="0" fontId="151" fillId="3" borderId="3" xfId="0" applyFont="1" applyFill="1" applyBorder="1" applyAlignment="1" applyProtection="1">
      <alignment vertical="center"/>
      <protection locked="0"/>
    </xf>
    <xf numFmtId="0" fontId="50" fillId="6" borderId="23" xfId="0" applyFont="1" applyFill="1" applyBorder="1" applyProtection="1">
      <alignment vertical="center"/>
    </xf>
    <xf numFmtId="0" fontId="50" fillId="6" borderId="0" xfId="0" applyFont="1" applyFill="1" applyProtection="1">
      <alignment vertical="center"/>
      <protection locked="0"/>
    </xf>
    <xf numFmtId="176" fontId="52" fillId="6" borderId="1" xfId="0" applyNumberFormat="1" applyFont="1" applyFill="1" applyBorder="1" applyAlignment="1" applyProtection="1">
      <alignment vertical="center"/>
    </xf>
    <xf numFmtId="176" fontId="52" fillId="6" borderId="1" xfId="0" applyNumberFormat="1" applyFont="1" applyFill="1" applyBorder="1" applyAlignment="1" applyProtection="1">
      <alignment horizontal="center" vertical="center"/>
    </xf>
    <xf numFmtId="176" fontId="52" fillId="6" borderId="24" xfId="0" applyNumberFormat="1" applyFont="1" applyFill="1" applyBorder="1" applyAlignment="1" applyProtection="1">
      <alignment vertical="center"/>
    </xf>
    <xf numFmtId="176" fontId="52" fillId="6" borderId="25" xfId="0" applyNumberFormat="1" applyFont="1" applyFill="1" applyBorder="1" applyAlignment="1" applyProtection="1">
      <alignment vertical="center"/>
    </xf>
    <xf numFmtId="176" fontId="52" fillId="6" borderId="76" xfId="0" applyNumberFormat="1" applyFont="1" applyFill="1" applyBorder="1" applyAlignment="1" applyProtection="1">
      <alignment vertical="center"/>
    </xf>
    <xf numFmtId="0" fontId="50" fillId="6" borderId="11" xfId="0" applyFont="1" applyFill="1" applyBorder="1" applyProtection="1">
      <alignment vertical="center"/>
    </xf>
    <xf numFmtId="0" fontId="50" fillId="6" borderId="13" xfId="0" applyFont="1" applyFill="1" applyBorder="1" applyProtection="1">
      <alignment vertical="center"/>
    </xf>
    <xf numFmtId="0" fontId="52" fillId="6" borderId="25" xfId="0" applyFont="1" applyFill="1" applyBorder="1" applyProtection="1">
      <alignment vertical="center"/>
    </xf>
    <xf numFmtId="0" fontId="52" fillId="6" borderId="32" xfId="0" applyFont="1" applyFill="1" applyBorder="1" applyProtection="1">
      <alignment vertical="center"/>
    </xf>
    <xf numFmtId="0" fontId="50" fillId="6" borderId="49" xfId="0" applyFont="1" applyFill="1" applyBorder="1" applyProtection="1">
      <alignment vertical="center"/>
    </xf>
    <xf numFmtId="0" fontId="50" fillId="6" borderId="24" xfId="0" applyFont="1" applyFill="1" applyBorder="1" applyProtection="1">
      <alignment vertical="center"/>
    </xf>
    <xf numFmtId="0" fontId="52" fillId="6" borderId="49" xfId="0" applyFont="1" applyFill="1" applyBorder="1" applyProtection="1">
      <alignment vertical="center"/>
    </xf>
    <xf numFmtId="49" fontId="58" fillId="6" borderId="22" xfId="0" applyNumberFormat="1" applyFont="1" applyFill="1" applyBorder="1" applyAlignment="1" applyProtection="1">
      <alignment horizontal="left" vertical="center"/>
      <protection locked="0"/>
    </xf>
    <xf numFmtId="49" fontId="58" fillId="6" borderId="41" xfId="0" applyNumberFormat="1" applyFont="1" applyFill="1" applyBorder="1" applyAlignment="1" applyProtection="1">
      <alignment horizontal="left" vertical="center"/>
      <protection locked="0"/>
    </xf>
    <xf numFmtId="0" fontId="56" fillId="6" borderId="51" xfId="0" applyNumberFormat="1" applyFont="1" applyFill="1" applyBorder="1" applyAlignment="1" applyProtection="1">
      <alignment horizontal="right" vertical="center" wrapText="1"/>
    </xf>
    <xf numFmtId="0" fontId="56" fillId="6" borderId="21" xfId="0" applyNumberFormat="1" applyFont="1" applyFill="1" applyBorder="1" applyAlignment="1" applyProtection="1">
      <alignment vertical="center" wrapText="1"/>
    </xf>
    <xf numFmtId="0" fontId="76" fillId="3" borderId="20" xfId="0" applyNumberFormat="1" applyFont="1" applyFill="1" applyBorder="1" applyAlignment="1" applyProtection="1">
      <alignment vertical="center" wrapText="1"/>
      <protection locked="0"/>
    </xf>
    <xf numFmtId="0" fontId="76" fillId="6" borderId="20" xfId="0" applyNumberFormat="1" applyFont="1" applyFill="1" applyBorder="1" applyAlignment="1" applyProtection="1">
      <alignment vertical="center" wrapText="1"/>
    </xf>
    <xf numFmtId="0" fontId="76" fillId="3" borderId="51" xfId="0" applyNumberFormat="1" applyFont="1" applyFill="1" applyBorder="1" applyAlignment="1" applyProtection="1">
      <alignment vertical="center" wrapText="1"/>
      <protection locked="0"/>
    </xf>
    <xf numFmtId="0" fontId="76" fillId="6" borderId="21" xfId="0" applyNumberFormat="1" applyFont="1" applyFill="1" applyBorder="1" applyAlignment="1" applyProtection="1">
      <alignment vertical="center" wrapText="1"/>
    </xf>
    <xf numFmtId="0" fontId="56" fillId="6" borderId="38"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6" fillId="6" borderId="52"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protection locked="0"/>
    </xf>
    <xf numFmtId="0" fontId="56" fillId="6" borderId="47" xfId="0" applyNumberFormat="1" applyFont="1" applyFill="1" applyBorder="1" applyAlignment="1" applyProtection="1">
      <alignment vertical="center" wrapText="1"/>
    </xf>
    <xf numFmtId="0" fontId="63" fillId="6" borderId="2" xfId="0" applyFont="1" applyFill="1" applyBorder="1" applyAlignment="1" applyProtection="1">
      <alignment horizontal="right" vertical="center"/>
    </xf>
    <xf numFmtId="0" fontId="68" fillId="6" borderId="58" xfId="0" applyFont="1" applyFill="1" applyBorder="1" applyAlignment="1" applyProtection="1">
      <alignment horizontal="center" vertical="center"/>
    </xf>
    <xf numFmtId="0" fontId="57" fillId="6" borderId="58"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57" fillId="6" borderId="58" xfId="0" applyFont="1" applyFill="1" applyBorder="1" applyAlignment="1" applyProtection="1">
      <protection locked="0"/>
    </xf>
    <xf numFmtId="9" fontId="50" fillId="6" borderId="0" xfId="0" applyNumberFormat="1" applyFont="1" applyFill="1" applyBorder="1" applyAlignment="1" applyProtection="1">
      <alignment horizontal="center" vertical="center" wrapText="1"/>
      <protection locked="0"/>
    </xf>
    <xf numFmtId="0" fontId="62" fillId="6" borderId="0" xfId="0" applyFont="1" applyFill="1" applyBorder="1" applyAlignment="1" applyProtection="1">
      <protection locked="0"/>
    </xf>
    <xf numFmtId="0" fontId="57" fillId="6" borderId="0" xfId="0" applyFont="1" applyFill="1" applyBorder="1" applyAlignment="1" applyProtection="1">
      <alignment horizontal="center"/>
      <protection locked="0"/>
    </xf>
    <xf numFmtId="0" fontId="107" fillId="6" borderId="58" xfId="0" applyFont="1" applyFill="1" applyBorder="1" applyAlignment="1" applyProtection="1">
      <alignment vertical="center"/>
      <protection locked="0"/>
    </xf>
    <xf numFmtId="0" fontId="50" fillId="6" borderId="0" xfId="0" applyFont="1" applyFill="1" applyAlignment="1" applyProtection="1">
      <alignment horizontal="center" vertical="center"/>
      <protection locked="0"/>
    </xf>
    <xf numFmtId="9" fontId="50" fillId="6" borderId="58" xfId="0" applyNumberFormat="1" applyFont="1" applyFill="1" applyBorder="1" applyAlignment="1" applyProtection="1">
      <alignment horizontal="center" vertical="center" wrapText="1"/>
      <protection locked="0"/>
    </xf>
    <xf numFmtId="0" fontId="50" fillId="6" borderId="58" xfId="0" applyFont="1" applyFill="1" applyBorder="1" applyAlignment="1" applyProtection="1">
      <alignment horizontal="center"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0" fontId="55" fillId="6" borderId="0" xfId="0" applyFont="1" applyFill="1" applyAlignment="1" applyProtection="1">
      <alignment horizontal="center" vertical="center"/>
      <protection locked="0"/>
    </xf>
    <xf numFmtId="0" fontId="55" fillId="6" borderId="58" xfId="0" applyFont="1" applyFill="1" applyBorder="1" applyAlignment="1" applyProtection="1">
      <alignment horizontal="center" vertical="center"/>
      <protection locked="0"/>
    </xf>
    <xf numFmtId="9" fontId="55" fillId="6" borderId="0" xfId="0" applyNumberFormat="1" applyFont="1" applyFill="1" applyBorder="1" applyAlignment="1" applyProtection="1">
      <alignment horizontal="center" vertical="center"/>
      <protection locked="0"/>
    </xf>
    <xf numFmtId="0" fontId="50"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wrapText="1"/>
      <protection locked="0"/>
    </xf>
    <xf numFmtId="9" fontId="57" fillId="6" borderId="0"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protection locked="0"/>
    </xf>
    <xf numFmtId="49" fontId="50" fillId="6" borderId="0" xfId="0" applyNumberFormat="1" applyFont="1" applyFill="1" applyAlignment="1" applyProtection="1">
      <alignment horizontal="center" vertical="center"/>
      <protection locked="0"/>
    </xf>
    <xf numFmtId="0" fontId="63" fillId="6" borderId="5" xfId="1" applyFont="1" applyFill="1" applyBorder="1" applyAlignment="1" applyProtection="1">
      <alignment horizontal="right" vertical="center"/>
    </xf>
    <xf numFmtId="0" fontId="52" fillId="6" borderId="33" xfId="0" applyFont="1" applyFill="1" applyBorder="1" applyAlignment="1" applyProtection="1">
      <alignment horizontal="center" vertical="center"/>
    </xf>
    <xf numFmtId="181" fontId="50" fillId="6" borderId="49" xfId="0" applyNumberFormat="1" applyFont="1" applyFill="1" applyBorder="1" applyProtection="1">
      <alignment vertical="center"/>
    </xf>
    <xf numFmtId="0" fontId="50" fillId="6" borderId="24" xfId="1" applyNumberFormat="1" applyFont="1" applyFill="1" applyBorder="1" applyAlignment="1" applyProtection="1">
      <alignment horizontal="center" vertical="center"/>
    </xf>
    <xf numFmtId="0" fontId="67" fillId="6" borderId="78" xfId="0" applyFont="1" applyFill="1" applyBorder="1" applyAlignment="1" applyProtection="1">
      <alignment horizontal="center" vertical="center" wrapText="1"/>
    </xf>
    <xf numFmtId="0" fontId="111" fillId="0" borderId="0" xfId="9" applyFont="1">
      <alignment vertical="center"/>
    </xf>
    <xf numFmtId="0" fontId="111" fillId="0" borderId="0" xfId="9" applyFont="1" applyAlignment="1">
      <alignment horizontal="center" vertical="center"/>
    </xf>
    <xf numFmtId="0" fontId="111" fillId="0" borderId="120" xfId="9" applyFont="1" applyBorder="1">
      <alignment vertical="center"/>
    </xf>
    <xf numFmtId="0" fontId="10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11" fillId="0" borderId="121" xfId="9" applyFont="1" applyBorder="1" applyAlignment="1">
      <alignment vertical="center"/>
    </xf>
    <xf numFmtId="0" fontId="111" fillId="0" borderId="120" xfId="9" applyFont="1" applyBorder="1" applyAlignment="1">
      <alignment vertical="center"/>
    </xf>
    <xf numFmtId="0" fontId="111" fillId="0" borderId="120" xfId="9" applyFont="1" applyBorder="1" applyAlignment="1">
      <alignment horizontal="center" vertical="center"/>
    </xf>
    <xf numFmtId="0" fontId="111" fillId="0" borderId="0" xfId="9" applyFont="1" applyFill="1">
      <alignment vertical="center"/>
    </xf>
    <xf numFmtId="0" fontId="10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11" fillId="0" borderId="122" xfId="9" applyFont="1" applyFill="1" applyBorder="1" applyAlignment="1">
      <alignment horizontal="center" vertical="center"/>
    </xf>
    <xf numFmtId="0" fontId="111" fillId="0" borderId="0" xfId="9" applyFont="1" applyFill="1" applyBorder="1" applyAlignment="1">
      <alignment horizontal="center" vertical="center"/>
    </xf>
    <xf numFmtId="0" fontId="111" fillId="0" borderId="0" xfId="9" applyFont="1" applyFill="1" applyAlignment="1">
      <alignment horizontal="center" vertical="center"/>
    </xf>
    <xf numFmtId="0" fontId="108" fillId="0" borderId="0" xfId="9" applyFont="1" applyAlignment="1">
      <alignment horizontal="center" vertical="center"/>
    </xf>
    <xf numFmtId="10" fontId="108" fillId="0" borderId="0" xfId="9" applyNumberFormat="1" applyFont="1" applyAlignment="1">
      <alignment horizontal="center" vertical="center"/>
    </xf>
    <xf numFmtId="49" fontId="59" fillId="6" borderId="1" xfId="9" applyNumberFormat="1" applyFont="1" applyFill="1" applyBorder="1" applyAlignment="1" applyProtection="1">
      <alignment horizontal="center" vertical="center" wrapText="1"/>
    </xf>
    <xf numFmtId="0" fontId="155" fillId="12" borderId="124" xfId="9" applyFont="1" applyFill="1" applyBorder="1" applyAlignment="1" applyProtection="1">
      <alignment horizontal="center" vertical="center" wrapText="1"/>
    </xf>
    <xf numFmtId="0" fontId="155" fillId="12" borderId="125" xfId="9" applyFont="1" applyFill="1" applyBorder="1" applyAlignment="1" applyProtection="1">
      <alignment horizontal="center" vertical="center" wrapText="1"/>
    </xf>
    <xf numFmtId="0" fontId="155" fillId="13" borderId="127" xfId="9" applyFont="1" applyFill="1" applyBorder="1" applyAlignment="1" applyProtection="1">
      <alignment horizontal="center" vertical="center" wrapText="1"/>
    </xf>
    <xf numFmtId="0" fontId="155" fillId="12" borderId="127" xfId="9" applyFont="1" applyFill="1" applyBorder="1" applyAlignment="1" applyProtection="1">
      <alignment horizontal="center" vertical="center" wrapText="1"/>
    </xf>
    <xf numFmtId="0" fontId="156" fillId="14" borderId="0" xfId="9" applyFont="1" applyFill="1">
      <alignment vertical="center"/>
    </xf>
    <xf numFmtId="10" fontId="156" fillId="14" borderId="129" xfId="9" applyNumberFormat="1" applyFont="1" applyFill="1" applyBorder="1" applyAlignment="1">
      <alignment vertical="center"/>
    </xf>
    <xf numFmtId="10" fontId="108" fillId="14" borderId="0" xfId="9" applyNumberFormat="1" applyFont="1" applyFill="1" applyAlignment="1">
      <alignment horizontal="center" vertical="center"/>
    </xf>
    <xf numFmtId="186" fontId="111" fillId="12" borderId="124" xfId="9" applyNumberFormat="1" applyFont="1" applyFill="1" applyBorder="1" applyAlignment="1">
      <alignment horizontal="center" vertical="center" wrapText="1"/>
    </xf>
    <xf numFmtId="186" fontId="111" fillId="12" borderId="130" xfId="9" applyNumberFormat="1" applyFont="1" applyFill="1" applyBorder="1" applyAlignment="1">
      <alignment horizontal="center" vertical="center" wrapText="1"/>
    </xf>
    <xf numFmtId="0" fontId="108" fillId="0" borderId="0" xfId="9" applyFont="1">
      <alignment vertical="center"/>
    </xf>
    <xf numFmtId="10" fontId="108" fillId="0" borderId="122" xfId="9" applyNumberFormat="1" applyFont="1" applyBorder="1">
      <alignment vertical="center"/>
    </xf>
    <xf numFmtId="10" fontId="108" fillId="0" borderId="0" xfId="9" applyNumberFormat="1" applyFont="1">
      <alignment vertical="center"/>
    </xf>
    <xf numFmtId="177" fontId="108" fillId="0" borderId="0" xfId="9" applyNumberFormat="1" applyFont="1">
      <alignment vertical="center"/>
    </xf>
    <xf numFmtId="181" fontId="108" fillId="0" borderId="122" xfId="9" applyNumberFormat="1" applyFont="1" applyBorder="1">
      <alignment vertical="center"/>
    </xf>
    <xf numFmtId="181" fontId="108" fillId="0" borderId="0" xfId="9" applyNumberFormat="1" applyFont="1">
      <alignment vertical="center"/>
    </xf>
    <xf numFmtId="186" fontId="108" fillId="0" borderId="0" xfId="9" applyNumberFormat="1" applyFont="1" applyAlignment="1">
      <alignment horizontal="center" vertical="center"/>
    </xf>
    <xf numFmtId="0" fontId="155" fillId="13" borderId="131" xfId="9" applyFont="1" applyFill="1" applyBorder="1" applyAlignment="1" applyProtection="1">
      <alignment horizontal="center" vertical="center" wrapText="1"/>
    </xf>
    <xf numFmtId="0" fontId="155" fillId="12" borderId="131" xfId="9" applyFont="1" applyFill="1" applyBorder="1" applyAlignment="1" applyProtection="1">
      <alignment horizontal="center" vertical="center" wrapText="1"/>
    </xf>
    <xf numFmtId="10" fontId="108" fillId="0" borderId="129" xfId="9" applyNumberFormat="1" applyFont="1" applyBorder="1">
      <alignment vertical="center"/>
    </xf>
    <xf numFmtId="10" fontId="108" fillId="0" borderId="60" xfId="9" applyNumberFormat="1" applyFont="1" applyBorder="1">
      <alignment vertical="center"/>
    </xf>
    <xf numFmtId="0" fontId="155" fillId="12" borderId="133" xfId="9" applyFont="1" applyFill="1" applyBorder="1" applyAlignment="1" applyProtection="1">
      <alignment horizontal="center" vertical="center" wrapText="1"/>
    </xf>
    <xf numFmtId="0" fontId="155" fillId="12" borderId="134" xfId="9" applyFont="1" applyFill="1" applyBorder="1" applyAlignment="1" applyProtection="1">
      <alignment horizontal="center" vertical="center" wrapText="1"/>
    </xf>
    <xf numFmtId="10" fontId="108" fillId="0" borderId="135" xfId="9" applyNumberFormat="1" applyFont="1" applyBorder="1">
      <alignment vertical="center"/>
    </xf>
    <xf numFmtId="10" fontId="108" fillId="0" borderId="36" xfId="9" applyNumberFormat="1" applyFont="1" applyBorder="1">
      <alignment vertical="center"/>
    </xf>
    <xf numFmtId="0" fontId="108" fillId="0" borderId="122" xfId="9" applyFont="1" applyBorder="1">
      <alignment vertical="center"/>
    </xf>
    <xf numFmtId="0" fontId="155" fillId="13" borderId="124" xfId="9" applyFont="1" applyFill="1" applyBorder="1" applyAlignment="1" applyProtection="1">
      <alignment horizontal="center" vertical="center" wrapText="1"/>
    </xf>
    <xf numFmtId="0" fontId="155" fillId="13" borderId="125" xfId="9" applyFont="1" applyFill="1" applyBorder="1" applyAlignment="1" applyProtection="1">
      <alignment horizontal="center" vertical="center" wrapText="1"/>
    </xf>
    <xf numFmtId="10" fontId="108" fillId="0" borderId="0" xfId="9" applyNumberFormat="1" applyFont="1" applyBorder="1">
      <alignment vertical="center"/>
    </xf>
    <xf numFmtId="186" fontId="111" fillId="12" borderId="127" xfId="9" applyNumberFormat="1" applyFont="1" applyFill="1" applyBorder="1" applyAlignment="1">
      <alignment horizontal="center" vertical="center" wrapText="1"/>
    </xf>
    <xf numFmtId="186" fontId="111" fillId="12" borderId="136" xfId="9" applyNumberFormat="1" applyFont="1" applyFill="1" applyBorder="1" applyAlignment="1">
      <alignment horizontal="center" vertical="center" wrapText="1"/>
    </xf>
    <xf numFmtId="0" fontId="108" fillId="13" borderId="124" xfId="9" applyFont="1" applyFill="1" applyBorder="1" applyAlignment="1" applyProtection="1">
      <alignment horizontal="center" vertical="center" wrapText="1"/>
    </xf>
    <xf numFmtId="0" fontId="108" fillId="13" borderId="125" xfId="9" applyFont="1" applyFill="1" applyBorder="1" applyAlignment="1" applyProtection="1">
      <alignment horizontal="center" vertical="center" wrapText="1"/>
    </xf>
    <xf numFmtId="49" fontId="59" fillId="5" borderId="1" xfId="9" applyNumberFormat="1" applyFont="1" applyFill="1" applyBorder="1" applyAlignment="1" applyProtection="1">
      <alignment horizontal="center" vertical="center" wrapText="1"/>
    </xf>
    <xf numFmtId="186" fontId="108" fillId="5" borderId="0" xfId="9" applyNumberFormat="1" applyFont="1" applyFill="1" applyAlignment="1">
      <alignment horizontal="center" vertical="center"/>
    </xf>
    <xf numFmtId="0" fontId="108" fillId="5" borderId="127" xfId="9" applyFont="1" applyFill="1" applyBorder="1" applyAlignment="1" applyProtection="1">
      <alignment horizontal="center" vertical="center" wrapText="1"/>
    </xf>
    <xf numFmtId="0" fontId="108" fillId="5" borderId="131" xfId="9" applyFont="1" applyFill="1" applyBorder="1" applyAlignment="1" applyProtection="1">
      <alignment horizontal="center" vertical="center" wrapText="1"/>
    </xf>
    <xf numFmtId="0" fontId="108" fillId="5" borderId="0" xfId="9" applyFont="1" applyFill="1">
      <alignment vertical="center"/>
    </xf>
    <xf numFmtId="10" fontId="108" fillId="5" borderId="122" xfId="9" applyNumberFormat="1" applyFont="1" applyFill="1" applyBorder="1">
      <alignment vertical="center"/>
    </xf>
    <xf numFmtId="10" fontId="108" fillId="5" borderId="0" xfId="9" applyNumberFormat="1" applyFont="1" applyFill="1">
      <alignment vertical="center"/>
    </xf>
    <xf numFmtId="177" fontId="108" fillId="5" borderId="0" xfId="9" applyNumberFormat="1" applyFont="1" applyFill="1">
      <alignment vertical="center"/>
    </xf>
    <xf numFmtId="10" fontId="108" fillId="5" borderId="129" xfId="9" applyNumberFormat="1" applyFont="1" applyFill="1" applyBorder="1">
      <alignment vertical="center"/>
    </xf>
    <xf numFmtId="10" fontId="108" fillId="5" borderId="60" xfId="9" applyNumberFormat="1" applyFont="1" applyFill="1" applyBorder="1">
      <alignment vertical="center"/>
    </xf>
    <xf numFmtId="0" fontId="133" fillId="5" borderId="0" xfId="9" applyFont="1" applyFill="1">
      <alignment vertical="center"/>
    </xf>
    <xf numFmtId="0" fontId="108" fillId="5" borderId="0" xfId="9" applyNumberFormat="1" applyFont="1" applyFill="1" applyAlignment="1">
      <alignment horizontal="center" vertical="center"/>
    </xf>
    <xf numFmtId="0" fontId="108" fillId="12" borderId="133" xfId="9" applyFont="1" applyFill="1" applyBorder="1" applyAlignment="1" applyProtection="1">
      <alignment horizontal="center" vertical="center" wrapText="1"/>
    </xf>
    <xf numFmtId="0" fontId="108" fillId="12" borderId="134" xfId="9" applyFont="1" applyFill="1" applyBorder="1" applyAlignment="1" applyProtection="1">
      <alignment horizontal="center" vertical="center" wrapText="1"/>
    </xf>
    <xf numFmtId="14" fontId="108" fillId="0" borderId="0" xfId="9" applyNumberFormat="1" applyFont="1">
      <alignment vertical="center"/>
    </xf>
    <xf numFmtId="0" fontId="133" fillId="0" borderId="0" xfId="9" applyFont="1">
      <alignment vertical="center"/>
    </xf>
    <xf numFmtId="0" fontId="108" fillId="0" borderId="0" xfId="9" applyNumberFormat="1" applyFont="1" applyAlignment="1">
      <alignment horizontal="center" vertical="center"/>
    </xf>
    <xf numFmtId="186" fontId="111" fillId="12" borderId="133" xfId="9" applyNumberFormat="1" applyFont="1" applyFill="1" applyBorder="1" applyAlignment="1">
      <alignment horizontal="center" vertical="center" wrapText="1"/>
    </xf>
    <xf numFmtId="186" fontId="111" fillId="12" borderId="137" xfId="9" applyNumberFormat="1" applyFont="1" applyFill="1" applyBorder="1" applyAlignment="1">
      <alignment horizontal="center" vertical="center" wrapText="1"/>
    </xf>
    <xf numFmtId="186" fontId="108" fillId="14" borderId="0" xfId="9" applyNumberFormat="1" applyFont="1" applyFill="1" applyAlignment="1">
      <alignment horizontal="center" vertical="center"/>
    </xf>
    <xf numFmtId="186" fontId="108" fillId="0" borderId="47" xfId="9" applyNumberFormat="1" applyFont="1" applyBorder="1" applyAlignment="1">
      <alignment horizontal="center" vertical="center"/>
    </xf>
    <xf numFmtId="0" fontId="155" fillId="13" borderId="138" xfId="9" applyFont="1" applyFill="1" applyBorder="1" applyAlignment="1" applyProtection="1">
      <alignment horizontal="center" vertical="center" wrapText="1"/>
    </xf>
    <xf numFmtId="0" fontId="155" fillId="13" borderId="139" xfId="9" applyFont="1" applyFill="1" applyBorder="1" applyAlignment="1" applyProtection="1">
      <alignment horizontal="center" vertical="center" wrapText="1"/>
    </xf>
    <xf numFmtId="0" fontId="108" fillId="0" borderId="47" xfId="9" applyFont="1" applyBorder="1">
      <alignment vertical="center"/>
    </xf>
    <xf numFmtId="10" fontId="108" fillId="0" borderId="140" xfId="9" applyNumberFormat="1" applyFont="1" applyBorder="1">
      <alignment vertical="center"/>
    </xf>
    <xf numFmtId="10" fontId="108" fillId="0" borderId="47" xfId="9" applyNumberFormat="1" applyFont="1" applyBorder="1">
      <alignment vertical="center"/>
    </xf>
    <xf numFmtId="177" fontId="108" fillId="0" borderId="47" xfId="9" applyNumberFormat="1" applyFont="1" applyBorder="1">
      <alignment vertical="center"/>
    </xf>
    <xf numFmtId="10" fontId="108" fillId="0" borderId="47" xfId="9" applyNumberFormat="1" applyFont="1" applyBorder="1" applyAlignment="1">
      <alignment horizontal="center" vertical="center"/>
    </xf>
    <xf numFmtId="0" fontId="155" fillId="12" borderId="141" xfId="9" applyFont="1" applyFill="1" applyBorder="1" applyAlignment="1" applyProtection="1">
      <alignment horizontal="center" vertical="center" wrapText="1"/>
    </xf>
    <xf numFmtId="0" fontId="155" fillId="12" borderId="142" xfId="9" applyFont="1" applyFill="1" applyBorder="1" applyAlignment="1" applyProtection="1">
      <alignment horizontal="center" vertical="center" wrapText="1"/>
    </xf>
    <xf numFmtId="10" fontId="108" fillId="15" borderId="122" xfId="9" applyNumberFormat="1" applyFont="1" applyFill="1" applyBorder="1">
      <alignment vertical="center"/>
    </xf>
    <xf numFmtId="10" fontId="108" fillId="15" borderId="0" xfId="9" applyNumberFormat="1" applyFont="1" applyFill="1">
      <alignment vertical="center"/>
    </xf>
    <xf numFmtId="178" fontId="108" fillId="0" borderId="0" xfId="9" applyNumberFormat="1" applyFont="1" applyAlignment="1">
      <alignment horizontal="center" vertical="center"/>
    </xf>
    <xf numFmtId="10" fontId="108" fillId="15" borderId="129" xfId="9" applyNumberFormat="1" applyFont="1" applyFill="1" applyBorder="1">
      <alignment vertical="center"/>
    </xf>
    <xf numFmtId="10" fontId="108" fillId="15" borderId="60" xfId="9" applyNumberFormat="1" applyFont="1" applyFill="1" applyBorder="1">
      <alignment vertical="center"/>
    </xf>
    <xf numFmtId="10" fontId="108" fillId="15" borderId="140" xfId="9" applyNumberFormat="1" applyFont="1" applyFill="1" applyBorder="1">
      <alignment vertical="center"/>
    </xf>
    <xf numFmtId="10" fontId="108" fillId="15" borderId="47" xfId="9" applyNumberFormat="1" applyFont="1" applyFill="1" applyBorder="1">
      <alignment vertical="center"/>
    </xf>
    <xf numFmtId="178" fontId="108" fillId="0" borderId="47" xfId="9" applyNumberFormat="1" applyFont="1" applyBorder="1" applyAlignment="1">
      <alignment horizontal="center" vertical="center"/>
    </xf>
    <xf numFmtId="0" fontId="111" fillId="13" borderId="143" xfId="9" applyFont="1" applyFill="1" applyBorder="1" applyAlignment="1">
      <alignment horizontal="center" vertical="center" wrapText="1"/>
    </xf>
    <xf numFmtId="0" fontId="111" fillId="13" borderId="144" xfId="9" applyFont="1" applyFill="1" applyBorder="1" applyAlignment="1">
      <alignment horizontal="center" vertical="center" wrapText="1"/>
    </xf>
    <xf numFmtId="180" fontId="108" fillId="0" borderId="0" xfId="9" applyNumberFormat="1" applyFont="1" applyAlignment="1">
      <alignment horizontal="center" vertical="center"/>
    </xf>
    <xf numFmtId="180" fontId="108" fillId="0" borderId="122" xfId="9" applyNumberFormat="1" applyFont="1" applyBorder="1" applyAlignment="1">
      <alignment horizontal="center" vertical="center"/>
    </xf>
    <xf numFmtId="177" fontId="108" fillId="15" borderId="0" xfId="9" applyNumberFormat="1" applyFont="1" applyFill="1" applyAlignment="1">
      <alignment horizontal="center" vertical="center"/>
    </xf>
    <xf numFmtId="0" fontId="155" fillId="13" borderId="133" xfId="9" applyFont="1" applyFill="1" applyBorder="1" applyAlignment="1" applyProtection="1">
      <alignment horizontal="center" vertical="center" wrapText="1"/>
    </xf>
    <xf numFmtId="0" fontId="111" fillId="12" borderId="133" xfId="9" applyFont="1" applyFill="1" applyBorder="1" applyAlignment="1">
      <alignment horizontal="center" vertical="center" wrapText="1"/>
    </xf>
    <xf numFmtId="0" fontId="111" fillId="12" borderId="137" xfId="9" applyFont="1" applyFill="1" applyBorder="1" applyAlignment="1">
      <alignment horizontal="center" vertical="center" wrapText="1"/>
    </xf>
    <xf numFmtId="177" fontId="108" fillId="5" borderId="0" xfId="9" applyNumberFormat="1" applyFont="1" applyFill="1" applyAlignment="1">
      <alignment horizontal="center" vertical="center"/>
    </xf>
    <xf numFmtId="0" fontId="155" fillId="5" borderId="127" xfId="9" applyFont="1" applyFill="1" applyBorder="1" applyAlignment="1" applyProtection="1">
      <alignment horizontal="center" vertical="center" wrapText="1"/>
    </xf>
    <xf numFmtId="180" fontId="108" fillId="5" borderId="0" xfId="9" applyNumberFormat="1" applyFont="1" applyFill="1" applyAlignment="1">
      <alignment horizontal="center" vertical="center"/>
    </xf>
    <xf numFmtId="0" fontId="108" fillId="5" borderId="122" xfId="9" applyFont="1" applyFill="1" applyBorder="1">
      <alignment vertical="center"/>
    </xf>
    <xf numFmtId="178" fontId="108" fillId="5" borderId="0" xfId="9" applyNumberFormat="1" applyFont="1" applyFill="1" applyAlignment="1">
      <alignment horizontal="center" vertical="center"/>
    </xf>
    <xf numFmtId="0" fontId="111" fillId="12" borderId="145" xfId="9" applyFont="1" applyFill="1" applyBorder="1" applyAlignment="1">
      <alignment horizontal="center" vertical="center" wrapText="1"/>
    </xf>
    <xf numFmtId="0" fontId="111" fillId="12" borderId="146" xfId="9" applyFont="1" applyFill="1" applyBorder="1" applyAlignment="1">
      <alignment horizontal="center" vertical="center" wrapText="1"/>
    </xf>
    <xf numFmtId="0" fontId="111" fillId="12" borderId="147" xfId="9" applyFont="1" applyFill="1" applyBorder="1" applyAlignment="1">
      <alignment horizontal="center" vertical="center" wrapText="1"/>
    </xf>
    <xf numFmtId="0" fontId="141" fillId="0" borderId="0" xfId="9" applyFont="1">
      <alignment vertical="center"/>
    </xf>
    <xf numFmtId="0" fontId="123" fillId="0" borderId="0" xfId="9" applyFont="1">
      <alignment vertical="center"/>
    </xf>
    <xf numFmtId="0" fontId="123" fillId="0" borderId="122" xfId="9" applyFont="1" applyBorder="1">
      <alignment vertical="center"/>
    </xf>
    <xf numFmtId="180" fontId="123" fillId="0" borderId="0" xfId="9" applyNumberFormat="1" applyFont="1" applyAlignment="1">
      <alignment horizontal="center" vertical="center"/>
    </xf>
    <xf numFmtId="180" fontId="123" fillId="0" borderId="122" xfId="9" applyNumberFormat="1" applyFont="1" applyBorder="1" applyAlignment="1">
      <alignment horizontal="center" vertical="center"/>
    </xf>
    <xf numFmtId="0" fontId="155" fillId="13" borderId="148" xfId="9" applyFont="1" applyFill="1" applyBorder="1" applyAlignment="1">
      <alignment horizontal="center" vertical="center" wrapText="1"/>
    </xf>
    <xf numFmtId="0" fontId="155" fillId="13" borderId="124" xfId="9" applyFont="1" applyFill="1" applyBorder="1" applyAlignment="1">
      <alignment horizontal="center" vertical="center" wrapText="1"/>
    </xf>
    <xf numFmtId="0" fontId="155" fillId="12" borderId="149" xfId="9" applyFont="1" applyFill="1" applyBorder="1" applyAlignment="1">
      <alignment horizontal="center" vertical="center" wrapText="1"/>
    </xf>
    <xf numFmtId="0" fontId="155" fillId="12" borderId="127" xfId="9" applyFont="1" applyFill="1" applyBorder="1" applyAlignment="1">
      <alignment horizontal="center" vertical="center" wrapText="1"/>
    </xf>
    <xf numFmtId="0" fontId="155" fillId="13" borderId="149" xfId="9" applyFont="1" applyFill="1" applyBorder="1" applyAlignment="1">
      <alignment horizontal="center" vertical="center" wrapText="1"/>
    </xf>
    <xf numFmtId="0" fontId="155" fillId="13" borderId="127" xfId="9" applyFont="1" applyFill="1" applyBorder="1" applyAlignment="1">
      <alignment horizontal="center" vertical="center" wrapText="1"/>
    </xf>
    <xf numFmtId="0" fontId="155" fillId="12" borderId="150" xfId="9" applyFont="1" applyFill="1" applyBorder="1" applyAlignment="1">
      <alignment horizontal="center" vertical="center" wrapText="1"/>
    </xf>
    <xf numFmtId="0" fontId="155" fillId="12" borderId="133" xfId="9" applyFont="1" applyFill="1" applyBorder="1" applyAlignment="1">
      <alignment horizontal="center" vertical="center" wrapText="1"/>
    </xf>
    <xf numFmtId="10" fontId="57" fillId="0" borderId="3" xfId="8" applyNumberFormat="1" applyFont="1" applyFill="1" applyBorder="1" applyAlignment="1" applyProtection="1">
      <alignment horizontal="center" vertical="center" wrapText="1"/>
      <protection locked="0"/>
    </xf>
    <xf numFmtId="10" fontId="59" fillId="6" borderId="24" xfId="8" applyNumberFormat="1" applyFont="1" applyFill="1" applyBorder="1" applyAlignment="1" applyProtection="1">
      <alignment horizontal="center" vertical="center" wrapText="1"/>
    </xf>
    <xf numFmtId="10" fontId="57" fillId="0" borderId="66" xfId="8" applyNumberFormat="1" applyFont="1" applyFill="1" applyBorder="1" applyAlignment="1" applyProtection="1">
      <alignment horizontal="center" vertical="center" wrapText="1"/>
      <protection locked="0"/>
    </xf>
    <xf numFmtId="10" fontId="59" fillId="6" borderId="49" xfId="8" applyNumberFormat="1" applyFont="1" applyFill="1" applyBorder="1" applyAlignment="1" applyProtection="1">
      <alignment horizontal="center" vertical="center" wrapText="1"/>
    </xf>
    <xf numFmtId="0" fontId="57" fillId="6" borderId="47" xfId="8" applyFont="1" applyFill="1" applyBorder="1" applyAlignment="1" applyProtection="1">
      <alignment vertical="center" wrapText="1"/>
      <protection locked="0"/>
    </xf>
    <xf numFmtId="0" fontId="50" fillId="6" borderId="22" xfId="0" applyNumberFormat="1" applyFont="1" applyFill="1" applyBorder="1" applyAlignment="1" applyProtection="1">
      <alignment horizontal="center" vertical="center" wrapText="1"/>
      <protection locked="0"/>
    </xf>
    <xf numFmtId="0" fontId="50" fillId="0" borderId="5" xfId="0" applyNumberFormat="1" applyFont="1" applyFill="1" applyBorder="1" applyAlignment="1" applyProtection="1">
      <alignment horizontal="center" vertical="center" wrapText="1"/>
      <protection locked="0"/>
    </xf>
    <xf numFmtId="0" fontId="50" fillId="0" borderId="48" xfId="0" applyNumberFormat="1" applyFont="1" applyFill="1" applyBorder="1" applyAlignment="1" applyProtection="1">
      <alignment horizontal="center" vertical="center" wrapText="1"/>
      <protection locked="0"/>
    </xf>
    <xf numFmtId="0" fontId="50" fillId="0" borderId="24"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protection locked="0"/>
    </xf>
    <xf numFmtId="49" fontId="50" fillId="0" borderId="58" xfId="0" applyNumberFormat="1" applyFont="1" applyFill="1" applyBorder="1" applyAlignment="1" applyProtection="1">
      <alignment horizontal="center" vertical="center"/>
      <protection locked="0"/>
    </xf>
    <xf numFmtId="0" fontId="50" fillId="6" borderId="30"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protection locked="0"/>
    </xf>
    <xf numFmtId="190" fontId="50" fillId="6" borderId="30"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9" xfId="0" applyNumberFormat="1" applyFont="1" applyFill="1" applyBorder="1" applyAlignment="1" applyProtection="1">
      <alignment horizontal="center" vertical="center" wrapText="1"/>
    </xf>
    <xf numFmtId="0" fontId="53" fillId="0" borderId="54" xfId="0" applyFont="1" applyFill="1" applyBorder="1" applyAlignment="1" applyProtection="1">
      <alignment vertical="center"/>
      <protection locked="0"/>
    </xf>
    <xf numFmtId="0" fontId="53" fillId="6" borderId="36" xfId="0" applyFont="1" applyFill="1" applyBorder="1" applyAlignment="1" applyProtection="1">
      <alignment vertical="center"/>
    </xf>
    <xf numFmtId="0" fontId="53" fillId="6" borderId="60" xfId="0" applyFont="1" applyFill="1" applyBorder="1" applyAlignment="1" applyProtection="1">
      <alignment horizontal="left" vertical="center"/>
    </xf>
    <xf numFmtId="0" fontId="51" fillId="5" borderId="3" xfId="1" applyFont="1" applyFill="1" applyBorder="1" applyAlignment="1" applyProtection="1">
      <alignment vertical="center"/>
    </xf>
    <xf numFmtId="0" fontId="53" fillId="6" borderId="0" xfId="0" applyFont="1" applyFill="1" applyAlignment="1" applyProtection="1">
      <alignment vertical="center"/>
      <protection locked="0"/>
    </xf>
    <xf numFmtId="0" fontId="51" fillId="5" borderId="5" xfId="1" applyFont="1" applyFill="1" applyBorder="1" applyAlignment="1" applyProtection="1">
      <alignment horizontal="left" vertical="center"/>
      <protection locked="0"/>
    </xf>
    <xf numFmtId="0" fontId="68" fillId="0" borderId="32" xfId="0" applyFont="1" applyFill="1" applyBorder="1" applyAlignment="1" applyProtection="1">
      <alignment vertical="center"/>
      <protection locked="0"/>
    </xf>
    <xf numFmtId="0" fontId="159" fillId="0" borderId="0" xfId="11" applyFont="1" applyBorder="1" applyAlignment="1" applyProtection="1">
      <alignment vertical="center" wrapText="1"/>
    </xf>
    <xf numFmtId="0" fontId="135" fillId="0" borderId="78" xfId="0" applyFont="1" applyBorder="1" applyAlignment="1" applyProtection="1">
      <alignment horizontal="left" vertical="center"/>
    </xf>
    <xf numFmtId="0" fontId="159" fillId="0" borderId="78" xfId="11" applyFont="1" applyBorder="1" applyAlignment="1" applyProtection="1">
      <alignment horizontal="left" vertical="center" wrapText="1"/>
    </xf>
    <xf numFmtId="0" fontId="159" fillId="0" borderId="87" xfId="0" applyFont="1" applyBorder="1" applyProtection="1">
      <alignment vertical="center"/>
    </xf>
    <xf numFmtId="0" fontId="159" fillId="0" borderId="44" xfId="11" applyFont="1" applyBorder="1" applyAlignment="1" applyProtection="1">
      <alignment vertical="center" wrapText="1"/>
    </xf>
    <xf numFmtId="0" fontId="159" fillId="0" borderId="44" xfId="0" applyFont="1" applyBorder="1" applyAlignment="1" applyProtection="1">
      <alignment horizontal="left" vertical="center"/>
    </xf>
    <xf numFmtId="0" fontId="159" fillId="0" borderId="83" xfId="0" applyFont="1" applyBorder="1" applyProtection="1">
      <alignment vertical="center"/>
    </xf>
    <xf numFmtId="0" fontId="159" fillId="0" borderId="1" xfId="11" applyFont="1" applyBorder="1" applyAlignment="1" applyProtection="1">
      <alignment vertical="center" wrapText="1"/>
    </xf>
    <xf numFmtId="0" fontId="159" fillId="0" borderId="1" xfId="0" applyFont="1" applyBorder="1" applyAlignment="1" applyProtection="1">
      <alignment horizontal="left" vertical="center"/>
    </xf>
    <xf numFmtId="0" fontId="159" fillId="0" borderId="0" xfId="0" applyFont="1" applyBorder="1" applyProtection="1">
      <alignment vertical="center"/>
    </xf>
    <xf numFmtId="0" fontId="159" fillId="0" borderId="78" xfId="11" applyFont="1" applyBorder="1" applyAlignment="1" applyProtection="1">
      <alignment vertical="center" wrapText="1"/>
    </xf>
    <xf numFmtId="0" fontId="159" fillId="0" borderId="78" xfId="0" applyFont="1" applyBorder="1" applyAlignment="1" applyProtection="1">
      <alignment horizontal="left" vertical="center"/>
    </xf>
    <xf numFmtId="194" fontId="159" fillId="0" borderId="78" xfId="0" applyNumberFormat="1" applyFont="1" applyBorder="1" applyAlignment="1" applyProtection="1">
      <alignment horizontal="left" vertical="center"/>
    </xf>
    <xf numFmtId="0" fontId="159" fillId="0" borderId="2" xfId="11" applyFont="1" applyBorder="1" applyAlignment="1" applyProtection="1">
      <alignment vertical="center" wrapText="1"/>
    </xf>
    <xf numFmtId="14" fontId="159" fillId="0" borderId="2" xfId="0" applyNumberFormat="1" applyFont="1" applyBorder="1" applyAlignment="1" applyProtection="1">
      <alignment horizontal="left" vertical="center"/>
    </xf>
    <xf numFmtId="0" fontId="159" fillId="0" borderId="0" xfId="0" applyFont="1" applyProtection="1">
      <alignment vertical="center"/>
    </xf>
    <xf numFmtId="14" fontId="159" fillId="0" borderId="1" xfId="0" applyNumberFormat="1" applyFont="1" applyBorder="1" applyAlignment="1" applyProtection="1">
      <alignment horizontal="left" vertical="center"/>
    </xf>
    <xf numFmtId="0" fontId="159" fillId="0" borderId="0" xfId="0" applyFont="1" applyAlignment="1" applyProtection="1">
      <alignment horizontal="left" vertical="center"/>
    </xf>
    <xf numFmtId="0" fontId="64" fillId="6" borderId="1" xfId="8" applyFont="1" applyFill="1" applyBorder="1" applyAlignment="1" applyProtection="1">
      <alignment horizontal="center" vertical="center" wrapText="1"/>
    </xf>
    <xf numFmtId="0" fontId="64" fillId="0" borderId="1" xfId="8" applyFont="1" applyFill="1" applyBorder="1" applyAlignment="1" applyProtection="1">
      <alignment horizontal="center" vertical="center" wrapText="1"/>
      <protection locked="0"/>
    </xf>
    <xf numFmtId="0" fontId="59" fillId="6" borderId="1" xfId="8" applyFont="1" applyFill="1" applyBorder="1" applyAlignment="1" applyProtection="1">
      <alignment horizontal="center" vertical="center" wrapText="1"/>
      <protection locked="0"/>
    </xf>
    <xf numFmtId="179" fontId="59" fillId="6" borderId="1" xfId="8" applyNumberFormat="1" applyFont="1" applyFill="1" applyBorder="1" applyAlignment="1" applyProtection="1">
      <alignment horizontal="center" vertical="center" wrapText="1"/>
      <protection locked="0"/>
    </xf>
    <xf numFmtId="0" fontId="59" fillId="6" borderId="0" xfId="8" applyFont="1" applyFill="1" applyAlignment="1" applyProtection="1">
      <alignment vertical="center" wrapText="1"/>
      <protection locked="0"/>
    </xf>
    <xf numFmtId="0" fontId="59" fillId="6" borderId="0" xfId="8" applyFont="1" applyFill="1" applyAlignment="1" applyProtection="1">
      <alignment horizontal="center" vertical="center" wrapText="1"/>
      <protection locked="0"/>
    </xf>
    <xf numFmtId="0" fontId="59" fillId="7" borderId="0" xfId="8" applyFont="1" applyFill="1" applyAlignment="1" applyProtection="1">
      <alignment horizontal="center" vertical="center" wrapText="1"/>
    </xf>
    <xf numFmtId="0" fontId="59" fillId="0" borderId="0" xfId="8" applyFont="1" applyAlignment="1" applyProtection="1">
      <alignment horizontal="center" vertical="center" wrapText="1"/>
    </xf>
    <xf numFmtId="0" fontId="108" fillId="6" borderId="1" xfId="8" applyFont="1" applyFill="1" applyBorder="1" applyAlignment="1" applyProtection="1">
      <alignment horizontal="center" vertical="center"/>
    </xf>
    <xf numFmtId="186" fontId="108" fillId="6" borderId="1" xfId="8" applyNumberFormat="1" applyFont="1" applyFill="1" applyBorder="1" applyAlignment="1" applyProtection="1">
      <alignment horizontal="center" vertical="center"/>
    </xf>
    <xf numFmtId="177" fontId="123" fillId="6" borderId="1" xfId="8" applyNumberFormat="1" applyFont="1" applyFill="1" applyBorder="1" applyAlignment="1" applyProtection="1">
      <alignment horizontal="center" vertical="center"/>
    </xf>
    <xf numFmtId="187" fontId="123" fillId="6" borderId="1" xfId="8" applyNumberFormat="1" applyFont="1" applyFill="1" applyBorder="1" applyAlignment="1" applyProtection="1">
      <alignment horizontal="center" vertical="center" wrapText="1"/>
    </xf>
    <xf numFmtId="0" fontId="59" fillId="6" borderId="1" xfId="8" applyFont="1" applyFill="1" applyBorder="1" applyAlignment="1" applyProtection="1">
      <alignment horizontal="center" vertical="center" wrapText="1"/>
    </xf>
    <xf numFmtId="0" fontId="59" fillId="6" borderId="1" xfId="8" applyNumberFormat="1" applyFont="1" applyFill="1" applyBorder="1" applyAlignment="1" applyProtection="1">
      <alignment horizontal="center" vertical="center" wrapText="1"/>
    </xf>
    <xf numFmtId="0" fontId="108" fillId="6" borderId="1" xfId="8" applyFont="1" applyFill="1" applyBorder="1" applyAlignment="1" applyProtection="1">
      <alignment vertical="center" wrapText="1"/>
    </xf>
    <xf numFmtId="0" fontId="63" fillId="6" borderId="2" xfId="1" applyFont="1" applyFill="1" applyBorder="1" applyAlignment="1" applyProtection="1">
      <alignment vertical="center"/>
    </xf>
    <xf numFmtId="0" fontId="110" fillId="6" borderId="85" xfId="0" applyFont="1" applyFill="1" applyBorder="1" applyAlignment="1" applyProtection="1">
      <alignment vertical="center"/>
    </xf>
    <xf numFmtId="0" fontId="68" fillId="2" borderId="88" xfId="0" applyFont="1" applyFill="1" applyBorder="1" applyAlignment="1" applyProtection="1">
      <alignment horizontal="right" vertical="center"/>
      <protection locked="0"/>
    </xf>
    <xf numFmtId="0" fontId="68" fillId="6" borderId="87" xfId="0" applyFont="1" applyFill="1" applyBorder="1" applyAlignment="1" applyProtection="1">
      <alignment horizontal="center" vertical="center"/>
    </xf>
    <xf numFmtId="0" fontId="68" fillId="2"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0" fontId="71" fillId="6" borderId="88" xfId="0" applyFont="1" applyFill="1" applyBorder="1" applyAlignment="1" applyProtection="1">
      <alignment vertical="center"/>
      <protection locked="0"/>
    </xf>
    <xf numFmtId="189" fontId="68" fillId="6" borderId="88" xfId="0" applyNumberFormat="1" applyFont="1" applyFill="1" applyBorder="1" applyAlignment="1" applyProtection="1">
      <alignment horizontal="center" vertical="center"/>
      <protection locked="0"/>
    </xf>
    <xf numFmtId="181" fontId="68" fillId="6" borderId="88" xfId="0" applyNumberFormat="1" applyFont="1" applyFill="1" applyBorder="1" applyAlignment="1" applyProtection="1">
      <alignment vertical="center"/>
      <protection locked="0"/>
    </xf>
    <xf numFmtId="0" fontId="68" fillId="6" borderId="88" xfId="0" applyFont="1" applyFill="1" applyBorder="1" applyAlignment="1" applyProtection="1">
      <alignment horizontal="center" vertical="center"/>
      <protection locked="0"/>
    </xf>
    <xf numFmtId="0" fontId="68" fillId="6" borderId="104" xfId="0" applyFont="1" applyFill="1" applyBorder="1" applyAlignment="1" applyProtection="1">
      <alignment horizontal="center" vertical="center"/>
    </xf>
    <xf numFmtId="0" fontId="69" fillId="6" borderId="87" xfId="0" applyFont="1" applyFill="1" applyBorder="1" applyAlignment="1" applyProtection="1">
      <alignment horizontal="center" vertical="center"/>
    </xf>
    <xf numFmtId="0" fontId="69" fillId="0" borderId="87" xfId="0" applyFont="1" applyFill="1" applyBorder="1" applyAlignment="1" applyProtection="1">
      <alignment horizontal="center" vertical="center"/>
      <protection locked="0"/>
    </xf>
    <xf numFmtId="0" fontId="68" fillId="6" borderId="88" xfId="0" applyFont="1" applyFill="1" applyBorder="1" applyAlignment="1" applyProtection="1">
      <alignment vertical="center"/>
    </xf>
    <xf numFmtId="0" fontId="71" fillId="6" borderId="88" xfId="0" applyFont="1" applyFill="1" applyBorder="1" applyAlignment="1" applyProtection="1">
      <alignment vertical="center"/>
    </xf>
    <xf numFmtId="189" fontId="68" fillId="6" borderId="88" xfId="0" applyNumberFormat="1" applyFont="1" applyFill="1" applyBorder="1" applyAlignment="1" applyProtection="1">
      <alignment horizontal="center" vertical="center"/>
    </xf>
    <xf numFmtId="181" fontId="68" fillId="6" borderId="88" xfId="0" applyNumberFormat="1" applyFont="1" applyFill="1" applyBorder="1" applyAlignment="1" applyProtection="1">
      <alignment vertical="center"/>
    </xf>
    <xf numFmtId="0" fontId="68" fillId="6" borderId="88" xfId="0" applyFont="1" applyFill="1" applyBorder="1" applyAlignment="1" applyProtection="1">
      <alignment horizontal="center" vertical="center"/>
    </xf>
    <xf numFmtId="0" fontId="0" fillId="0" borderId="0" xfId="0" applyAlignment="1"/>
    <xf numFmtId="0" fontId="103" fillId="6" borderId="0" xfId="0" applyFont="1" applyFill="1" applyAlignment="1"/>
    <xf numFmtId="0" fontId="87" fillId="6" borderId="0" xfId="2" applyFont="1" applyFill="1"/>
    <xf numFmtId="0" fontId="22" fillId="6" borderId="0" xfId="2" applyFont="1" applyFill="1"/>
    <xf numFmtId="0" fontId="22" fillId="6" borderId="6" xfId="2" applyFont="1" applyFill="1" applyBorder="1"/>
    <xf numFmtId="0" fontId="133" fillId="6" borderId="9" xfId="2" applyFont="1" applyFill="1" applyBorder="1" applyAlignment="1">
      <alignment horizontal="center" vertical="center" wrapText="1"/>
    </xf>
    <xf numFmtId="0" fontId="22" fillId="6" borderId="10" xfId="2" applyFont="1" applyFill="1" applyBorder="1" applyAlignment="1">
      <alignment horizontal="center"/>
    </xf>
    <xf numFmtId="0" fontId="133" fillId="6" borderId="6" xfId="2" applyFont="1" applyFill="1" applyBorder="1" applyAlignment="1">
      <alignment horizontal="center" vertical="center" wrapText="1"/>
    </xf>
    <xf numFmtId="0" fontId="22" fillId="6" borderId="9" xfId="2" applyNumberFormat="1" applyFont="1" applyFill="1" applyBorder="1" applyAlignment="1">
      <alignment horizontal="center"/>
    </xf>
    <xf numFmtId="0" fontId="22" fillId="0" borderId="0" xfId="2" applyFont="1"/>
    <xf numFmtId="0" fontId="22" fillId="6" borderId="23" xfId="2" applyFont="1" applyFill="1" applyBorder="1"/>
    <xf numFmtId="0" fontId="133" fillId="6" borderId="1" xfId="2" applyFont="1" applyFill="1" applyBorder="1" applyAlignment="1">
      <alignment horizontal="center" vertical="center" wrapText="1"/>
    </xf>
    <xf numFmtId="0" fontId="22" fillId="6" borderId="24" xfId="2" applyFont="1" applyFill="1" applyBorder="1" applyAlignment="1">
      <alignment horizontal="center"/>
    </xf>
    <xf numFmtId="0" fontId="133" fillId="6" borderId="23" xfId="2" applyFont="1" applyFill="1" applyBorder="1" applyAlignment="1">
      <alignment horizontal="center" vertical="center" wrapText="1"/>
    </xf>
    <xf numFmtId="0" fontId="22" fillId="6" borderId="1" xfId="2" applyNumberFormat="1" applyFont="1" applyFill="1" applyBorder="1" applyAlignment="1">
      <alignment horizontal="center"/>
    </xf>
    <xf numFmtId="0" fontId="22" fillId="6" borderId="25" xfId="2" applyFont="1" applyFill="1" applyBorder="1"/>
    <xf numFmtId="0" fontId="133"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33" fillId="6" borderId="25" xfId="2" applyFont="1" applyFill="1" applyBorder="1" applyAlignment="1">
      <alignment horizontal="center" vertical="center" wrapText="1"/>
    </xf>
    <xf numFmtId="0" fontId="22" fillId="6" borderId="32" xfId="2" applyNumberFormat="1" applyFont="1" applyFill="1" applyBorder="1" applyAlignment="1">
      <alignment horizontal="center"/>
    </xf>
    <xf numFmtId="0" fontId="22" fillId="6" borderId="0" xfId="2" applyNumberFormat="1"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64" fillId="6" borderId="0" xfId="2" applyNumberFormat="1" applyFont="1" applyFill="1" applyAlignment="1">
      <alignment horizontal="center"/>
    </xf>
    <xf numFmtId="0" fontId="165" fillId="6" borderId="0" xfId="2" applyFont="1" applyFill="1" applyAlignment="1">
      <alignment horizontal="left"/>
    </xf>
    <xf numFmtId="14" fontId="164" fillId="6" borderId="0" xfId="2" applyNumberFormat="1" applyFont="1" applyFill="1" applyAlignment="1">
      <alignment horizontal="center"/>
    </xf>
    <xf numFmtId="0" fontId="164" fillId="6" borderId="0" xfId="2" applyFont="1" applyFill="1"/>
    <xf numFmtId="0" fontId="164" fillId="0" borderId="0" xfId="2" applyFont="1"/>
    <xf numFmtId="0" fontId="164" fillId="0" borderId="0" xfId="0" applyFont="1" applyAlignment="1"/>
    <xf numFmtId="0" fontId="166" fillId="6" borderId="0" xfId="2" applyFont="1" applyFill="1"/>
    <xf numFmtId="0" fontId="167" fillId="6" borderId="0" xfId="2" applyFont="1" applyFill="1"/>
    <xf numFmtId="0" fontId="166" fillId="0" borderId="0" xfId="2" applyFont="1"/>
    <xf numFmtId="0" fontId="133" fillId="6" borderId="0" xfId="2" applyFont="1" applyFill="1" applyAlignment="1"/>
    <xf numFmtId="0" fontId="148" fillId="6" borderId="13" xfId="2" applyFont="1" applyFill="1" applyBorder="1" applyAlignment="1">
      <alignment horizontal="center" vertical="center"/>
    </xf>
    <xf numFmtId="0" fontId="148" fillId="6" borderId="13" xfId="2" applyFont="1" applyFill="1" applyBorder="1" applyAlignment="1">
      <alignment vertical="center"/>
    </xf>
    <xf numFmtId="0" fontId="148" fillId="6" borderId="5" xfId="2" applyFont="1" applyFill="1" applyBorder="1" applyAlignment="1">
      <alignment vertical="center"/>
    </xf>
    <xf numFmtId="0" fontId="148" fillId="6" borderId="3" xfId="2" applyFont="1" applyFill="1" applyBorder="1" applyAlignment="1">
      <alignment vertical="center"/>
    </xf>
    <xf numFmtId="0" fontId="148" fillId="6" borderId="54" xfId="2" applyFont="1" applyFill="1" applyBorder="1" applyAlignment="1">
      <alignment vertical="center"/>
    </xf>
    <xf numFmtId="0" fontId="133" fillId="0" borderId="0" xfId="2" applyFont="1" applyAlignment="1"/>
    <xf numFmtId="0" fontId="133" fillId="6" borderId="0" xfId="2" applyFont="1" applyFill="1"/>
    <xf numFmtId="0" fontId="148" fillId="6" borderId="2" xfId="2" applyFont="1" applyFill="1" applyBorder="1" applyAlignment="1">
      <alignment horizontal="center" vertical="center" wrapText="1"/>
    </xf>
    <xf numFmtId="0" fontId="148" fillId="6" borderId="2" xfId="2" applyFont="1" applyFill="1" applyBorder="1" applyAlignment="1">
      <alignment vertical="center" wrapText="1"/>
    </xf>
    <xf numFmtId="0" fontId="22" fillId="6" borderId="1" xfId="2" applyFont="1" applyFill="1" applyBorder="1"/>
    <xf numFmtId="0" fontId="148" fillId="6" borderId="1" xfId="2" applyFont="1" applyFill="1" applyBorder="1" applyAlignment="1">
      <alignment horizontal="center" vertical="center" wrapText="1"/>
    </xf>
    <xf numFmtId="0" fontId="133" fillId="0" borderId="0" xfId="2" applyFont="1"/>
    <xf numFmtId="0" fontId="169" fillId="6" borderId="0" xfId="2" applyFont="1" applyFill="1" applyAlignment="1">
      <alignment vertical="center"/>
    </xf>
    <xf numFmtId="0" fontId="169" fillId="6" borderId="1" xfId="2" applyFont="1" applyFill="1" applyBorder="1" applyAlignment="1">
      <alignment horizontal="left" vertical="center" wrapText="1"/>
    </xf>
    <xf numFmtId="196" fontId="169" fillId="6" borderId="1" xfId="2" applyNumberFormat="1" applyFont="1" applyFill="1" applyBorder="1" applyAlignment="1">
      <alignment horizontal="center" vertical="center" wrapText="1"/>
    </xf>
    <xf numFmtId="0" fontId="169" fillId="6" borderId="1" xfId="2" applyFont="1" applyFill="1" applyBorder="1" applyAlignment="1">
      <alignment horizontal="center" vertical="center" wrapText="1"/>
    </xf>
    <xf numFmtId="14" fontId="169" fillId="6" borderId="1" xfId="2" applyNumberFormat="1" applyFont="1" applyFill="1" applyBorder="1" applyAlignment="1">
      <alignment horizontal="center" vertical="center" wrapText="1"/>
    </xf>
    <xf numFmtId="0" fontId="169" fillId="5" borderId="0" xfId="2" applyFont="1" applyFill="1" applyAlignment="1">
      <alignment vertical="center"/>
    </xf>
    <xf numFmtId="0" fontId="170"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79" fontId="171" fillId="6" borderId="1" xfId="2" applyNumberFormat="1" applyFont="1" applyFill="1" applyBorder="1" applyAlignment="1">
      <alignment horizontal="center"/>
    </xf>
    <xf numFmtId="14" fontId="141" fillId="6" borderId="1" xfId="2" applyNumberFormat="1" applyFont="1" applyFill="1" applyBorder="1" applyAlignment="1">
      <alignment horizontal="center" wrapText="1"/>
    </xf>
    <xf numFmtId="0"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0" fontId="150" fillId="6" borderId="87" xfId="2" applyFont="1" applyFill="1" applyBorder="1"/>
    <xf numFmtId="14" fontId="150" fillId="6" borderId="78" xfId="2" applyNumberFormat="1" applyFont="1" applyFill="1" applyBorder="1" applyAlignment="1" applyProtection="1">
      <alignment horizontal="center"/>
    </xf>
    <xf numFmtId="0" fontId="150" fillId="6" borderId="78" xfId="2" applyFont="1" applyFill="1" applyBorder="1" applyAlignment="1" applyProtection="1">
      <alignment horizontal="center"/>
    </xf>
    <xf numFmtId="10" fontId="150" fillId="6" borderId="78" xfId="2" applyNumberFormat="1" applyFont="1" applyFill="1" applyBorder="1" applyAlignment="1">
      <alignment horizontal="center"/>
    </xf>
    <xf numFmtId="0" fontId="150" fillId="0" borderId="87" xfId="2" applyFont="1" applyBorder="1"/>
    <xf numFmtId="0" fontId="117" fillId="0" borderId="87" xfId="0" applyFont="1" applyBorder="1" applyAlignment="1"/>
    <xf numFmtId="0" fontId="117" fillId="0" borderId="0" xfId="0" applyFont="1" applyAlignment="1"/>
    <xf numFmtId="0" fontId="148" fillId="6" borderId="78" xfId="2" applyFont="1" applyFill="1" applyBorder="1" applyAlignment="1">
      <alignment horizontal="center"/>
    </xf>
    <xf numFmtId="177" fontId="148" fillId="6" borderId="87" xfId="2" applyNumberFormat="1" applyFont="1" applyFill="1" applyBorder="1" applyAlignment="1">
      <alignment horizontal="center"/>
    </xf>
    <xf numFmtId="0" fontId="129" fillId="0" borderId="1" xfId="5" applyFont="1" applyFill="1" applyBorder="1">
      <alignment vertical="center"/>
    </xf>
    <xf numFmtId="0" fontId="129" fillId="0" borderId="1" xfId="5" applyFont="1" applyFill="1" applyBorder="1" applyAlignment="1">
      <alignment horizontal="left" vertical="center"/>
    </xf>
    <xf numFmtId="0" fontId="108" fillId="0" borderId="1"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left" vertical="center" wrapText="1"/>
      <protection locked="0"/>
    </xf>
    <xf numFmtId="0" fontId="108" fillId="0" borderId="5" xfId="0" applyNumberFormat="1" applyFont="1" applyFill="1" applyBorder="1" applyAlignment="1" applyProtection="1">
      <alignment horizontal="center" vertical="center" wrapText="1"/>
      <protection locked="0"/>
    </xf>
    <xf numFmtId="0" fontId="108" fillId="0" borderId="48" xfId="0" applyNumberFormat="1" applyFont="1" applyFill="1" applyBorder="1" applyAlignment="1" applyProtection="1">
      <alignment horizontal="center" vertical="center" wrapText="1"/>
      <protection locked="0"/>
    </xf>
    <xf numFmtId="0" fontId="108" fillId="0" borderId="13" xfId="0" applyNumberFormat="1" applyFont="1" applyFill="1" applyBorder="1" applyAlignment="1" applyProtection="1">
      <alignment horizontal="center" vertical="center" wrapText="1"/>
      <protection locked="0"/>
    </xf>
    <xf numFmtId="0" fontId="108" fillId="0" borderId="46" xfId="0" applyNumberFormat="1" applyFont="1" applyFill="1" applyBorder="1" applyAlignment="1" applyProtection="1">
      <alignment horizontal="center" vertical="center" wrapText="1"/>
      <protection locked="0"/>
    </xf>
    <xf numFmtId="0" fontId="108" fillId="0" borderId="59"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left" vertical="center" wrapText="1"/>
      <protection locked="0"/>
    </xf>
    <xf numFmtId="0" fontId="108" fillId="0" borderId="112" xfId="0" applyNumberFormat="1" applyFont="1" applyFill="1" applyBorder="1" applyAlignment="1" applyProtection="1">
      <alignment horizontal="center" vertical="center" wrapText="1"/>
      <protection locked="0"/>
    </xf>
    <xf numFmtId="0" fontId="108" fillId="0" borderId="113" xfId="0" applyNumberFormat="1" applyFont="1" applyFill="1" applyBorder="1" applyAlignment="1" applyProtection="1">
      <alignment horizontal="center" vertical="center" wrapText="1"/>
      <protection locked="0"/>
    </xf>
    <xf numFmtId="0" fontId="108" fillId="6" borderId="99" xfId="0" applyNumberFormat="1" applyFont="1" applyFill="1" applyBorder="1" applyAlignment="1" applyProtection="1">
      <alignment horizontal="center" vertical="center" wrapText="1"/>
    </xf>
    <xf numFmtId="0" fontId="108" fillId="0" borderId="2"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108" fillId="0" borderId="58" xfId="0" applyFont="1" applyFill="1" applyBorder="1" applyAlignment="1" applyProtection="1">
      <alignment horizontal="center" vertical="center"/>
      <protection locked="0"/>
    </xf>
    <xf numFmtId="0"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wrapText="1"/>
      <protection locked="0"/>
    </xf>
    <xf numFmtId="9"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protection locked="0"/>
    </xf>
    <xf numFmtId="0" fontId="108" fillId="0" borderId="56" xfId="0" applyFont="1" applyFill="1" applyBorder="1" applyAlignment="1" applyProtection="1">
      <alignment horizontal="center" vertical="center"/>
      <protection locked="0"/>
    </xf>
    <xf numFmtId="0" fontId="108" fillId="0" borderId="2" xfId="0" applyNumberFormat="1" applyFont="1" applyFill="1" applyBorder="1" applyAlignment="1" applyProtection="1">
      <alignment horizontal="left" vertical="center" wrapText="1"/>
      <protection locked="0"/>
    </xf>
    <xf numFmtId="0" fontId="108" fillId="6" borderId="13" xfId="0" applyNumberFormat="1" applyFont="1" applyFill="1" applyBorder="1" applyAlignment="1" applyProtection="1">
      <alignment horizontal="center" vertical="center" wrapText="1"/>
    </xf>
    <xf numFmtId="0" fontId="108" fillId="14" borderId="0" xfId="9" applyFont="1" applyFill="1" applyAlignment="1">
      <alignment horizontal="center" vertical="center"/>
    </xf>
    <xf numFmtId="10" fontId="108" fillId="5" borderId="0" xfId="9" applyNumberFormat="1" applyFont="1" applyFill="1" applyAlignment="1">
      <alignment horizontal="center" vertical="center"/>
    </xf>
    <xf numFmtId="0" fontId="60" fillId="6" borderId="1" xfId="0" applyNumberFormat="1" applyFont="1" applyFill="1" applyBorder="1" applyAlignment="1" applyProtection="1">
      <alignment horizontal="right" vertical="center"/>
    </xf>
    <xf numFmtId="49" fontId="59" fillId="14" borderId="1" xfId="9" applyNumberFormat="1" applyFont="1" applyFill="1" applyBorder="1" applyAlignment="1" applyProtection="1">
      <alignment horizontal="center" vertical="center" wrapText="1"/>
    </xf>
    <xf numFmtId="0" fontId="155" fillId="14" borderId="127" xfId="9" applyFont="1" applyFill="1" applyBorder="1" applyAlignment="1" applyProtection="1">
      <alignment horizontal="center" vertical="center" wrapText="1"/>
    </xf>
    <xf numFmtId="0" fontId="111" fillId="14" borderId="0" xfId="9" applyFont="1" applyFill="1">
      <alignment vertical="center"/>
    </xf>
    <xf numFmtId="0" fontId="111" fillId="14" borderId="0" xfId="9" applyFont="1" applyFill="1" applyAlignment="1">
      <alignment horizontal="center" vertical="center"/>
    </xf>
    <xf numFmtId="0" fontId="111" fillId="14" borderId="122" xfId="9" applyFont="1" applyFill="1" applyBorder="1" applyAlignment="1">
      <alignment horizontal="center" vertical="center"/>
    </xf>
    <xf numFmtId="0" fontId="64" fillId="6" borderId="10" xfId="0" applyFont="1" applyFill="1" applyBorder="1" applyAlignment="1" applyProtection="1">
      <alignment horizontal="center" vertical="center" wrapText="1"/>
    </xf>
    <xf numFmtId="0" fontId="64" fillId="6" borderId="49" xfId="0" applyFont="1" applyFill="1" applyBorder="1" applyAlignment="1" applyProtection="1">
      <alignment horizontal="center" vertical="center" wrapText="1"/>
    </xf>
    <xf numFmtId="0" fontId="53" fillId="0" borderId="24" xfId="0" applyFont="1" applyBorder="1" applyProtection="1">
      <alignment vertical="center"/>
      <protection locked="0"/>
    </xf>
    <xf numFmtId="0" fontId="172" fillId="0" borderId="0" xfId="0" applyFont="1">
      <alignment vertical="center"/>
    </xf>
    <xf numFmtId="0" fontId="173" fillId="0" borderId="0" xfId="12"/>
    <xf numFmtId="0" fontId="102" fillId="6" borderId="1" xfId="12" applyFont="1" applyFill="1" applyBorder="1"/>
    <xf numFmtId="0" fontId="173" fillId="0" borderId="0" xfId="12" applyBorder="1"/>
    <xf numFmtId="0" fontId="174" fillId="6" borderId="13" xfId="12" applyFont="1" applyFill="1" applyBorder="1" applyAlignment="1">
      <alignment horizontal="center" vertical="center" wrapText="1"/>
    </xf>
    <xf numFmtId="0" fontId="174" fillId="0" borderId="0" xfId="12" applyFont="1" applyBorder="1" applyAlignment="1">
      <alignment horizontal="left" vertical="center" wrapText="1"/>
    </xf>
    <xf numFmtId="0" fontId="174" fillId="6" borderId="1" xfId="12" applyFont="1" applyFill="1" applyBorder="1" applyAlignment="1">
      <alignment horizontal="center" vertical="center" wrapText="1"/>
    </xf>
    <xf numFmtId="14" fontId="174" fillId="6" borderId="1" xfId="12" applyNumberFormat="1" applyFont="1" applyFill="1" applyBorder="1" applyAlignment="1">
      <alignment horizontal="center" vertical="center" wrapText="1"/>
    </xf>
    <xf numFmtId="0" fontId="174" fillId="13" borderId="1" xfId="12" applyFont="1" applyFill="1" applyBorder="1" applyAlignment="1" applyProtection="1">
      <alignment horizontal="center" vertical="center" wrapText="1"/>
      <protection locked="0"/>
    </xf>
    <xf numFmtId="0" fontId="173" fillId="0" borderId="1" xfId="12" applyBorder="1" applyProtection="1">
      <protection locked="0"/>
    </xf>
    <xf numFmtId="0" fontId="174" fillId="0" borderId="1" xfId="12" applyFont="1" applyBorder="1" applyAlignment="1" applyProtection="1">
      <alignment horizontal="left" vertical="center" wrapText="1"/>
      <protection locked="0"/>
    </xf>
    <xf numFmtId="0" fontId="173" fillId="6" borderId="1" xfId="12" applyFill="1" applyBorder="1" applyAlignment="1">
      <alignment vertical="center"/>
    </xf>
    <xf numFmtId="0" fontId="178" fillId="6" borderId="1" xfId="0" applyFont="1" applyFill="1" applyBorder="1" applyAlignment="1">
      <alignment horizontal="left" vertical="center" wrapText="1"/>
    </xf>
    <xf numFmtId="181" fontId="53" fillId="6" borderId="0" xfId="0" applyNumberFormat="1" applyFont="1" applyFill="1" applyProtection="1">
      <alignment vertical="center"/>
    </xf>
    <xf numFmtId="0" fontId="115" fillId="6" borderId="1" xfId="0" applyFont="1" applyFill="1" applyBorder="1" applyAlignment="1" applyProtection="1">
      <alignment horizontal="center" vertical="center" wrapText="1"/>
    </xf>
    <xf numFmtId="10" fontId="115" fillId="6" borderId="1" xfId="0" applyNumberFormat="1" applyFont="1" applyFill="1" applyBorder="1" applyAlignment="1" applyProtection="1">
      <alignment horizontal="center" vertical="center"/>
    </xf>
    <xf numFmtId="9" fontId="115" fillId="6" borderId="1" xfId="0" applyNumberFormat="1" applyFont="1" applyFill="1" applyBorder="1" applyAlignment="1" applyProtection="1">
      <alignment horizontal="center" vertical="center"/>
    </xf>
    <xf numFmtId="0" fontId="115" fillId="6" borderId="13" xfId="0" applyFont="1" applyFill="1" applyBorder="1" applyAlignment="1" applyProtection="1">
      <alignment horizontal="center" vertical="center" wrapText="1"/>
    </xf>
    <xf numFmtId="9" fontId="115" fillId="6" borderId="13" xfId="0" applyNumberFormat="1" applyFont="1" applyFill="1" applyBorder="1" applyAlignment="1" applyProtection="1">
      <alignment horizontal="center" vertical="center"/>
    </xf>
    <xf numFmtId="0" fontId="115" fillId="6" borderId="46" xfId="0" applyFont="1" applyFill="1" applyBorder="1" applyAlignment="1" applyProtection="1">
      <alignment vertical="center" wrapText="1"/>
    </xf>
    <xf numFmtId="0" fontId="115" fillId="6" borderId="36" xfId="0" applyFont="1" applyFill="1" applyBorder="1" applyAlignment="1" applyProtection="1">
      <alignment horizontal="center" vertical="center" wrapText="1"/>
    </xf>
    <xf numFmtId="0" fontId="115" fillId="6" borderId="5" xfId="0" applyFont="1" applyFill="1" applyBorder="1" applyAlignment="1" applyProtection="1">
      <alignment vertical="center" wrapText="1"/>
    </xf>
    <xf numFmtId="0" fontId="115" fillId="6" borderId="58" xfId="0" applyFont="1" applyFill="1" applyBorder="1" applyAlignment="1" applyProtection="1">
      <alignment vertical="center" wrapText="1"/>
    </xf>
    <xf numFmtId="0" fontId="115" fillId="6" borderId="0" xfId="0" applyFont="1" applyFill="1" applyBorder="1" applyAlignment="1" applyProtection="1">
      <alignment horizontal="center" vertical="center" wrapText="1"/>
    </xf>
    <xf numFmtId="0" fontId="115" fillId="6" borderId="4" xfId="0" applyFont="1" applyFill="1" applyBorder="1" applyAlignment="1" applyProtection="1">
      <alignment vertical="center" wrapText="1"/>
    </xf>
    <xf numFmtId="0" fontId="115" fillId="6" borderId="60" xfId="0" applyFont="1" applyFill="1" applyBorder="1" applyAlignment="1" applyProtection="1">
      <alignment horizontal="center" vertical="center" wrapText="1"/>
    </xf>
    <xf numFmtId="0" fontId="108" fillId="6" borderId="0" xfId="0" applyFont="1" applyFill="1" applyAlignment="1" applyProtection="1">
      <alignment vertical="center"/>
      <protection locked="0"/>
    </xf>
    <xf numFmtId="0" fontId="107" fillId="6" borderId="0" xfId="0" applyFont="1" applyFill="1" applyAlignment="1" applyProtection="1">
      <alignment horizontal="left" vertical="center"/>
      <protection locked="0"/>
    </xf>
    <xf numFmtId="9" fontId="180" fillId="0" borderId="1" xfId="0" applyNumberFormat="1" applyFont="1" applyFill="1" applyBorder="1" applyAlignment="1">
      <alignment horizontal="center" vertical="center"/>
    </xf>
    <xf numFmtId="0" fontId="107" fillId="6" borderId="9" xfId="0" applyNumberFormat="1" applyFont="1" applyFill="1" applyBorder="1" applyAlignment="1" applyProtection="1">
      <alignment horizontal="center" vertical="center" wrapText="1"/>
    </xf>
    <xf numFmtId="0" fontId="107" fillId="6" borderId="10" xfId="0" applyNumberFormat="1" applyFont="1" applyFill="1" applyBorder="1" applyAlignment="1" applyProtection="1">
      <alignment horizontal="center" vertical="center" wrapText="1"/>
    </xf>
    <xf numFmtId="10" fontId="59" fillId="6" borderId="17" xfId="0" applyNumberFormat="1" applyFont="1" applyFill="1" applyBorder="1" applyAlignment="1" applyProtection="1">
      <alignment horizontal="center" vertical="center" wrapText="1"/>
    </xf>
    <xf numFmtId="0" fontId="183" fillId="0" borderId="109" xfId="0" applyNumberFormat="1" applyFont="1" applyFill="1" applyBorder="1" applyAlignment="1" applyProtection="1">
      <alignment horizontal="center" vertical="center" wrapText="1"/>
      <protection locked="0"/>
    </xf>
    <xf numFmtId="0" fontId="183" fillId="0" borderId="18" xfId="0" applyNumberFormat="1" applyFont="1" applyFill="1" applyBorder="1" applyAlignment="1" applyProtection="1">
      <alignment horizontal="center" vertical="center" wrapText="1"/>
      <protection locked="0"/>
    </xf>
    <xf numFmtId="0" fontId="50" fillId="6" borderId="0" xfId="0" applyFont="1" applyFill="1" applyAlignment="1" applyProtection="1">
      <alignment horizontal="left" vertical="center"/>
      <protection locked="0"/>
    </xf>
    <xf numFmtId="177" fontId="123" fillId="0" borderId="1" xfId="8" applyNumberFormat="1" applyFont="1" applyFill="1" applyBorder="1" applyAlignment="1" applyProtection="1">
      <alignment horizontal="center" vertical="center"/>
      <protection locked="0"/>
    </xf>
    <xf numFmtId="0" fontId="123" fillId="6" borderId="24" xfId="0" applyFont="1" applyFill="1" applyBorder="1" applyAlignment="1" applyProtection="1">
      <alignment horizontal="left" vertical="center"/>
    </xf>
    <xf numFmtId="0" fontId="187" fillId="0" borderId="1" xfId="0" applyFont="1" applyBorder="1" applyAlignment="1">
      <alignment horizontal="right" vertical="center"/>
    </xf>
    <xf numFmtId="0" fontId="187" fillId="0" borderId="1" xfId="0" applyFont="1" applyBorder="1" applyAlignment="1">
      <alignment horizontal="left" vertical="center" wrapText="1"/>
    </xf>
    <xf numFmtId="0" fontId="187" fillId="0" borderId="1" xfId="0" applyFont="1" applyBorder="1" applyAlignment="1">
      <alignment vertical="center"/>
    </xf>
    <xf numFmtId="0" fontId="187" fillId="0" borderId="1" xfId="0" applyFont="1" applyBorder="1" applyAlignment="1">
      <alignment horizontal="center" vertical="center"/>
    </xf>
    <xf numFmtId="0" fontId="187" fillId="0" borderId="1" xfId="0" applyFont="1" applyBorder="1" applyAlignment="1">
      <alignment vertical="center" wrapText="1"/>
    </xf>
    <xf numFmtId="0" fontId="187" fillId="0" borderId="5" xfId="0" applyFont="1" applyBorder="1" applyAlignment="1">
      <alignment vertical="center"/>
    </xf>
    <xf numFmtId="0" fontId="187" fillId="0" borderId="54" xfId="0" applyFont="1" applyBorder="1" applyAlignment="1">
      <alignment vertical="center"/>
    </xf>
    <xf numFmtId="0" fontId="187" fillId="0" borderId="3" xfId="0" applyFont="1" applyBorder="1" applyAlignment="1">
      <alignment vertical="center"/>
    </xf>
    <xf numFmtId="0" fontId="184" fillId="0" borderId="0" xfId="0" applyFont="1" applyAlignment="1">
      <alignment vertical="center"/>
    </xf>
    <xf numFmtId="0" fontId="185" fillId="0" borderId="0" xfId="0" applyFont="1" applyAlignment="1">
      <alignment vertical="center"/>
    </xf>
    <xf numFmtId="0" fontId="186" fillId="0" borderId="0" xfId="0" applyFont="1" applyAlignment="1">
      <alignment vertical="center"/>
    </xf>
    <xf numFmtId="0" fontId="178" fillId="0" borderId="1" xfId="0" applyFont="1" applyBorder="1" applyAlignment="1">
      <alignment horizontal="right" vertical="center" wrapText="1"/>
    </xf>
    <xf numFmtId="0" fontId="108" fillId="0" borderId="1" xfId="0" applyFont="1" applyBorder="1" applyAlignment="1">
      <alignment horizontal="right" vertical="center"/>
    </xf>
    <xf numFmtId="0" fontId="188" fillId="6" borderId="32" xfId="0" applyFont="1" applyFill="1" applyBorder="1" applyAlignment="1" applyProtection="1">
      <alignment horizontal="center" vertical="center"/>
    </xf>
    <xf numFmtId="0" fontId="108" fillId="0" borderId="0" xfId="9" applyFont="1" applyFill="1" applyAlignment="1">
      <alignment horizontal="center" vertical="center"/>
    </xf>
    <xf numFmtId="10" fontId="108" fillId="0" borderId="0" xfId="9" applyNumberFormat="1" applyFont="1" applyFill="1" applyAlignment="1">
      <alignment horizontal="center" vertical="center"/>
    </xf>
    <xf numFmtId="0" fontId="108" fillId="0" borderId="0" xfId="9" applyFont="1" applyFill="1">
      <alignment vertical="center"/>
    </xf>
    <xf numFmtId="186" fontId="156" fillId="14" borderId="0" xfId="9" applyNumberFormat="1" applyFont="1" applyFill="1" applyAlignment="1">
      <alignment horizontal="center" vertical="center"/>
    </xf>
    <xf numFmtId="0" fontId="53" fillId="6" borderId="19" xfId="0" applyFont="1" applyFill="1" applyBorder="1" applyAlignment="1" applyProtection="1">
      <alignment horizontal="center" vertical="center"/>
      <protection locked="0"/>
    </xf>
    <xf numFmtId="0" fontId="53" fillId="5" borderId="66" xfId="0" applyFont="1" applyFill="1" applyBorder="1" applyAlignment="1" applyProtection="1">
      <alignment horizontal="center" vertical="center"/>
      <protection locked="0"/>
    </xf>
    <xf numFmtId="0" fontId="53"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0" fillId="0" borderId="1" xfId="0" applyFont="1" applyBorder="1" applyAlignment="1" applyProtection="1">
      <alignment horizontal="center" vertical="center"/>
      <protection locked="0"/>
    </xf>
    <xf numFmtId="0" fontId="53" fillId="6" borderId="48" xfId="0" applyFont="1" applyFill="1" applyBorder="1" applyAlignment="1" applyProtection="1">
      <alignment horizontal="left" vertical="center" wrapText="1"/>
    </xf>
    <xf numFmtId="0" fontId="53" fillId="6" borderId="3"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5"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9" fillId="6" borderId="3" xfId="8" applyFont="1" applyFill="1" applyBorder="1" applyAlignment="1" applyProtection="1">
      <alignment horizontal="center" vertical="center" wrapText="1"/>
      <protection locked="0"/>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3" xfId="0" applyFont="1" applyFill="1" applyBorder="1" applyAlignment="1" applyProtection="1">
      <alignment horizontal="center" vertical="center"/>
    </xf>
    <xf numFmtId="0" fontId="64" fillId="5" borderId="0" xfId="0" applyFont="1" applyFill="1" applyAlignment="1" applyProtection="1">
      <alignment horizontal="right" vertical="center"/>
      <protection locked="0"/>
    </xf>
    <xf numFmtId="49" fontId="64" fillId="6" borderId="0" xfId="0" applyNumberFormat="1" applyFont="1" applyFill="1" applyBorder="1" applyAlignment="1" applyProtection="1">
      <alignment horizontal="center"/>
    </xf>
    <xf numFmtId="0" fontId="59" fillId="6" borderId="13" xfId="0" applyFont="1" applyFill="1" applyBorder="1" applyAlignment="1" applyProtection="1">
      <alignment vertical="center"/>
    </xf>
    <xf numFmtId="0" fontId="53" fillId="6" borderId="22" xfId="0" applyFont="1" applyFill="1" applyBorder="1" applyAlignment="1" applyProtection="1">
      <alignment vertical="center" wrapText="1"/>
    </xf>
    <xf numFmtId="0" fontId="53" fillId="6" borderId="22" xfId="0" applyFont="1" applyFill="1" applyBorder="1" applyAlignment="1" applyProtection="1">
      <alignment vertical="center"/>
    </xf>
    <xf numFmtId="0" fontId="190" fillId="6" borderId="1" xfId="0" applyFont="1" applyFill="1" applyBorder="1" applyAlignment="1" applyProtection="1">
      <alignment horizontal="right" vertical="center" wrapText="1"/>
    </xf>
    <xf numFmtId="0" fontId="123" fillId="6" borderId="15" xfId="0" applyFont="1" applyFill="1" applyBorder="1" applyAlignment="1" applyProtection="1">
      <alignment vertical="center"/>
    </xf>
    <xf numFmtId="0" fontId="53" fillId="6" borderId="119" xfId="0" applyFont="1" applyFill="1" applyBorder="1" applyAlignment="1" applyProtection="1">
      <alignment vertical="center" wrapText="1"/>
    </xf>
    <xf numFmtId="0" fontId="53" fillId="2" borderId="1" xfId="0" applyFont="1" applyFill="1" applyBorder="1" applyAlignment="1" applyProtection="1">
      <alignment horizontal="left" vertical="center" wrapText="1"/>
      <protection locked="0"/>
    </xf>
    <xf numFmtId="0" fontId="58" fillId="6" borderId="46" xfId="0" applyFont="1" applyFill="1" applyBorder="1" applyAlignment="1" applyProtection="1">
      <alignment vertical="center" wrapText="1"/>
      <protection locked="0"/>
    </xf>
    <xf numFmtId="0" fontId="53" fillId="6" borderId="1" xfId="0" applyFont="1" applyFill="1" applyBorder="1" applyAlignment="1" applyProtection="1">
      <protection locked="0"/>
    </xf>
    <xf numFmtId="0" fontId="53" fillId="6" borderId="3" xfId="0" applyFont="1" applyFill="1" applyBorder="1" applyAlignment="1" applyProtection="1">
      <alignment vertical="center" wrapText="1"/>
    </xf>
    <xf numFmtId="0" fontId="53" fillId="6" borderId="36" xfId="0" applyFont="1" applyFill="1" applyBorder="1" applyAlignment="1" applyProtection="1">
      <alignment horizontal="left" vertical="center"/>
    </xf>
    <xf numFmtId="49" fontId="70" fillId="6" borderId="60" xfId="0" applyNumberFormat="1" applyFont="1" applyFill="1" applyBorder="1" applyAlignment="1" applyProtection="1"/>
    <xf numFmtId="0" fontId="83" fillId="6" borderId="13" xfId="0" applyFont="1" applyFill="1" applyBorder="1" applyAlignment="1" applyProtection="1">
      <alignment vertical="center"/>
    </xf>
    <xf numFmtId="0" fontId="83" fillId="6" borderId="22" xfId="0" applyFont="1" applyFill="1" applyBorder="1" applyAlignment="1" applyProtection="1">
      <alignment vertical="center"/>
    </xf>
    <xf numFmtId="177" fontId="63" fillId="6" borderId="60" xfId="0" applyNumberFormat="1" applyFont="1" applyFill="1" applyBorder="1" applyAlignment="1" applyProtection="1"/>
    <xf numFmtId="49" fontId="63" fillId="2" borderId="27" xfId="0" applyNumberFormat="1" applyFont="1" applyFill="1" applyBorder="1" applyAlignment="1" applyProtection="1">
      <alignment horizontal="right"/>
      <protection locked="0"/>
    </xf>
    <xf numFmtId="0" fontId="59" fillId="6" borderId="0" xfId="0" applyFont="1" applyFill="1" applyAlignment="1" applyProtection="1">
      <alignment horizontal="center" vertical="center"/>
    </xf>
    <xf numFmtId="0" fontId="59"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xf>
    <xf numFmtId="0" fontId="59" fillId="7" borderId="0" xfId="0" applyFont="1" applyFill="1" applyAlignment="1" applyProtection="1">
      <alignment vertical="center"/>
      <protection locked="0"/>
    </xf>
    <xf numFmtId="0" fontId="60" fillId="6" borderId="1" xfId="1" applyFont="1" applyFill="1" applyBorder="1" applyAlignment="1" applyProtection="1">
      <alignment vertical="center"/>
    </xf>
    <xf numFmtId="0" fontId="58" fillId="6" borderId="1" xfId="0" applyFont="1" applyFill="1" applyBorder="1" applyAlignment="1" applyProtection="1">
      <alignment horizontal="right" vertical="center"/>
    </xf>
    <xf numFmtId="0" fontId="59" fillId="6" borderId="0" xfId="0" applyFont="1" applyFill="1" applyBorder="1" applyAlignment="1" applyProtection="1">
      <alignment vertical="center"/>
    </xf>
    <xf numFmtId="49" fontId="59" fillId="6" borderId="0" xfId="0" applyNumberFormat="1" applyFont="1" applyFill="1" applyBorder="1" applyAlignment="1" applyProtection="1"/>
    <xf numFmtId="49" fontId="60" fillId="6" borderId="0" xfId="0" applyNumberFormat="1" applyFont="1" applyFill="1" applyBorder="1" applyAlignment="1" applyProtection="1"/>
    <xf numFmtId="177" fontId="60" fillId="7" borderId="0" xfId="0" applyNumberFormat="1" applyFont="1" applyFill="1" applyBorder="1" applyAlignment="1" applyProtection="1"/>
    <xf numFmtId="0" fontId="60" fillId="6" borderId="32" xfId="1" applyFont="1" applyFill="1" applyBorder="1" applyAlignment="1" applyProtection="1">
      <alignment vertical="center"/>
    </xf>
    <xf numFmtId="0" fontId="58" fillId="6" borderId="32" xfId="0" applyFont="1" applyFill="1" applyBorder="1" applyAlignment="1" applyProtection="1">
      <alignment horizontal="right" vertical="center"/>
    </xf>
    <xf numFmtId="0" fontId="59" fillId="7" borderId="0" xfId="0" applyFont="1" applyFill="1" applyAlignment="1" applyProtection="1">
      <alignment vertical="center"/>
    </xf>
    <xf numFmtId="0" fontId="53" fillId="6" borderId="60" xfId="0" applyFont="1" applyFill="1" applyBorder="1" applyAlignment="1" applyProtection="1">
      <alignment vertical="center"/>
    </xf>
    <xf numFmtId="0" fontId="53" fillId="6" borderId="71" xfId="0" applyFont="1" applyFill="1" applyBorder="1" applyAlignment="1" applyProtection="1">
      <alignment vertical="center"/>
    </xf>
    <xf numFmtId="0" fontId="54" fillId="7" borderId="0" xfId="0" applyFont="1" applyFill="1" applyAlignment="1" applyProtection="1">
      <alignment vertical="center"/>
    </xf>
    <xf numFmtId="0" fontId="53" fillId="6" borderId="88" xfId="0" applyFont="1" applyFill="1" applyBorder="1" applyAlignment="1" applyProtection="1">
      <alignment vertical="center"/>
    </xf>
    <xf numFmtId="0" fontId="53" fillId="6" borderId="90" xfId="0" applyFont="1" applyFill="1" applyBorder="1" applyAlignment="1" applyProtection="1">
      <alignment vertical="center"/>
    </xf>
    <xf numFmtId="0" fontId="54" fillId="7"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108" fillId="6" borderId="0" xfId="0" applyFont="1" applyFill="1" applyAlignment="1" applyProtection="1"/>
    <xf numFmtId="0" fontId="60" fillId="6" borderId="0" xfId="0" applyFont="1" applyFill="1" applyBorder="1" applyAlignment="1" applyProtection="1">
      <alignment horizontal="left" vertical="center"/>
      <protection locked="0"/>
    </xf>
    <xf numFmtId="0" fontId="66" fillId="6" borderId="0" xfId="0" applyFont="1" applyFill="1" applyBorder="1" applyAlignment="1" applyProtection="1">
      <alignment horizontal="center" vertical="center"/>
      <protection locked="0"/>
    </xf>
    <xf numFmtId="0" fontId="108" fillId="6" borderId="0" xfId="0" applyFont="1" applyFill="1" applyAlignment="1" applyProtection="1">
      <alignment horizontal="left"/>
    </xf>
    <xf numFmtId="0" fontId="58" fillId="6" borderId="0" xfId="0" applyFont="1" applyFill="1" applyAlignment="1" applyProtection="1">
      <alignment horizontal="left"/>
    </xf>
    <xf numFmtId="0" fontId="58" fillId="6" borderId="0" xfId="0" applyFont="1" applyFill="1" applyAlignment="1" applyProtection="1"/>
    <xf numFmtId="0" fontId="59" fillId="6" borderId="0" xfId="0" applyFont="1" applyFill="1" applyAlignment="1" applyProtection="1">
      <alignment horizontal="left" vertical="center"/>
    </xf>
    <xf numFmtId="0" fontId="53" fillId="7" borderId="0" xfId="0" applyFont="1" applyFill="1" applyAlignment="1" applyProtection="1">
      <protection locked="0"/>
    </xf>
    <xf numFmtId="0" fontId="53" fillId="7" borderId="0" xfId="0" applyFont="1" applyFill="1" applyAlignment="1" applyProtection="1">
      <alignment horizontal="center"/>
      <protection locked="0"/>
    </xf>
    <xf numFmtId="0" fontId="59" fillId="7" borderId="0" xfId="0" applyFont="1" applyFill="1" applyAlignment="1" applyProtection="1">
      <alignment horizontal="left" vertical="center"/>
      <protection locked="0"/>
    </xf>
    <xf numFmtId="0" fontId="151" fillId="6" borderId="0" xfId="0" applyFont="1" applyFill="1" applyAlignment="1" applyProtection="1">
      <alignment vertical="center"/>
    </xf>
    <xf numFmtId="0" fontId="151" fillId="7" borderId="0" xfId="0" applyFont="1" applyFill="1" applyAlignment="1" applyProtection="1">
      <protection locked="0"/>
    </xf>
    <xf numFmtId="0" fontId="59" fillId="6" borderId="16" xfId="0" applyFont="1" applyFill="1" applyBorder="1" applyAlignment="1" applyProtection="1">
      <alignment horizontal="center" vertical="center"/>
    </xf>
    <xf numFmtId="0" fontId="53" fillId="6" borderId="31" xfId="0" applyFont="1" applyFill="1" applyBorder="1" applyAlignment="1" applyProtection="1"/>
    <xf numFmtId="0" fontId="151" fillId="7" borderId="63" xfId="0" applyFont="1" applyFill="1" applyBorder="1" applyAlignment="1" applyProtection="1">
      <alignment vertical="center"/>
      <protection locked="0"/>
    </xf>
    <xf numFmtId="0" fontId="59" fillId="7" borderId="64" xfId="0" applyFont="1" applyFill="1" applyBorder="1" applyAlignment="1" applyProtection="1">
      <alignment vertical="center"/>
      <protection locked="0"/>
    </xf>
    <xf numFmtId="0" fontId="59" fillId="7" borderId="65" xfId="0" applyFont="1" applyFill="1" applyBorder="1" applyAlignment="1" applyProtection="1">
      <alignment horizontal="left" vertical="center"/>
      <protection locked="0"/>
    </xf>
    <xf numFmtId="0" fontId="111" fillId="6" borderId="82" xfId="0" applyFont="1" applyFill="1" applyBorder="1" applyAlignment="1" applyProtection="1">
      <alignment horizontal="center" vertical="center"/>
    </xf>
    <xf numFmtId="0" fontId="108" fillId="6" borderId="82" xfId="0" applyFont="1" applyFill="1" applyBorder="1" applyAlignment="1" applyProtection="1">
      <alignment vertical="center" wrapText="1"/>
    </xf>
    <xf numFmtId="0" fontId="108" fillId="6" borderId="65" xfId="0" applyFont="1" applyFill="1" applyBorder="1" applyAlignment="1" applyProtection="1">
      <alignment vertical="center"/>
    </xf>
    <xf numFmtId="0" fontId="108" fillId="6" borderId="65" xfId="0" applyFont="1" applyFill="1" applyBorder="1" applyAlignment="1" applyProtection="1">
      <alignment vertical="center" wrapText="1"/>
    </xf>
    <xf numFmtId="0" fontId="59" fillId="6" borderId="6" xfId="0" applyFont="1" applyFill="1" applyBorder="1" applyAlignment="1" applyProtection="1">
      <alignment vertical="center"/>
    </xf>
    <xf numFmtId="0" fontId="59" fillId="5" borderId="10" xfId="0" applyFont="1" applyFill="1" applyBorder="1" applyAlignment="1" applyProtection="1">
      <alignment horizontal="center" vertical="center"/>
      <protection locked="0"/>
    </xf>
    <xf numFmtId="0" fontId="59" fillId="6" borderId="6" xfId="0" applyFont="1" applyFill="1" applyBorder="1" applyAlignment="1" applyProtection="1">
      <alignment horizontal="left" vertical="center"/>
      <protection locked="0"/>
    </xf>
    <xf numFmtId="0" fontId="59" fillId="6" borderId="10" xfId="0" applyFont="1" applyFill="1" applyBorder="1" applyAlignment="1" applyProtection="1">
      <alignment horizontal="center" vertical="center"/>
    </xf>
    <xf numFmtId="0" fontId="108" fillId="6" borderId="81" xfId="0" applyFont="1" applyFill="1" applyBorder="1" applyAlignment="1" applyProtection="1">
      <alignment vertical="center" wrapText="1"/>
    </xf>
    <xf numFmtId="0" fontId="108" fillId="6" borderId="43" xfId="0" applyFont="1" applyFill="1" applyBorder="1" applyAlignment="1" applyProtection="1">
      <alignment vertical="center"/>
    </xf>
    <xf numFmtId="0" fontId="108" fillId="6" borderId="43" xfId="0" applyFont="1" applyFill="1" applyBorder="1" applyAlignment="1" applyProtection="1">
      <alignment vertical="center" wrapText="1"/>
    </xf>
    <xf numFmtId="0" fontId="59" fillId="6" borderId="23" xfId="0" applyFont="1" applyFill="1" applyBorder="1" applyAlignment="1" applyProtection="1">
      <alignment vertical="center"/>
    </xf>
    <xf numFmtId="0" fontId="108" fillId="5" borderId="24" xfId="0" applyFont="1" applyFill="1" applyBorder="1" applyAlignment="1" applyProtection="1">
      <alignment horizontal="center"/>
      <protection locked="0"/>
    </xf>
    <xf numFmtId="0" fontId="108" fillId="6" borderId="23" xfId="0" applyFont="1" applyFill="1" applyBorder="1" applyAlignment="1" applyProtection="1">
      <alignment horizontal="left"/>
      <protection locked="0"/>
    </xf>
    <xf numFmtId="0" fontId="59" fillId="6" borderId="24" xfId="0" applyFont="1" applyFill="1" applyBorder="1" applyAlignment="1" applyProtection="1">
      <alignment horizontal="center" vertical="center"/>
    </xf>
    <xf numFmtId="0" fontId="59" fillId="7" borderId="0" xfId="0" applyFont="1" applyFill="1" applyBorder="1" applyAlignment="1" applyProtection="1">
      <alignment vertical="center"/>
      <protection locked="0"/>
    </xf>
    <xf numFmtId="0" fontId="59" fillId="7" borderId="24"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protection locked="0"/>
    </xf>
    <xf numFmtId="0" fontId="108" fillId="6" borderId="81" xfId="0" applyFont="1" applyFill="1" applyBorder="1" applyAlignment="1" applyProtection="1">
      <alignment horizontal="right" vertical="center" wrapText="1"/>
    </xf>
    <xf numFmtId="0" fontId="108" fillId="6" borderId="24" xfId="0" applyFont="1" applyFill="1" applyBorder="1" applyAlignment="1" applyProtection="1">
      <alignment horizontal="center"/>
    </xf>
    <xf numFmtId="0" fontId="59" fillId="7" borderId="35" xfId="0" applyFont="1" applyFill="1" applyBorder="1" applyAlignment="1" applyProtection="1">
      <alignment vertical="center" wrapText="1"/>
      <protection locked="0"/>
    </xf>
    <xf numFmtId="10" fontId="108" fillId="6" borderId="43" xfId="0" applyNumberFormat="1" applyFont="1" applyFill="1" applyBorder="1" applyAlignment="1" applyProtection="1">
      <alignment vertical="center" wrapText="1"/>
    </xf>
    <xf numFmtId="49" fontId="59" fillId="6" borderId="23" xfId="0" applyNumberFormat="1" applyFont="1" applyFill="1" applyBorder="1" applyAlignment="1" applyProtection="1">
      <alignment horizontal="left" vertical="center"/>
    </xf>
    <xf numFmtId="0" fontId="59" fillId="6" borderId="24" xfId="0" applyNumberFormat="1" applyFont="1" applyFill="1" applyBorder="1" applyAlignment="1" applyProtection="1">
      <alignment horizontal="center" vertical="center"/>
    </xf>
    <xf numFmtId="0" fontId="59" fillId="6" borderId="23" xfId="0" applyFont="1" applyFill="1" applyBorder="1" applyAlignment="1" applyProtection="1">
      <alignment vertical="center"/>
      <protection locked="0"/>
    </xf>
    <xf numFmtId="195" fontId="59" fillId="6" borderId="24" xfId="0" applyNumberFormat="1" applyFont="1" applyFill="1" applyBorder="1" applyAlignment="1" applyProtection="1">
      <alignment horizontal="center" vertical="center"/>
    </xf>
    <xf numFmtId="0" fontId="59" fillId="7" borderId="7" xfId="0" applyFont="1" applyFill="1" applyBorder="1" applyAlignment="1" applyProtection="1">
      <alignment vertical="center" wrapText="1"/>
      <protection locked="0"/>
    </xf>
    <xf numFmtId="0" fontId="59" fillId="6" borderId="25" xfId="0" applyFont="1" applyFill="1" applyBorder="1" applyAlignment="1" applyProtection="1">
      <alignment vertical="center"/>
    </xf>
    <xf numFmtId="10" fontId="59" fillId="0" borderId="49" xfId="0" applyNumberFormat="1" applyFont="1" applyFill="1" applyBorder="1" applyAlignment="1" applyProtection="1">
      <alignment horizontal="center" vertical="center"/>
      <protection locked="0"/>
    </xf>
    <xf numFmtId="0" fontId="59" fillId="6" borderId="26" xfId="0" applyFont="1" applyFill="1" applyBorder="1" applyAlignment="1" applyProtection="1">
      <alignment vertical="center" wrapText="1"/>
    </xf>
    <xf numFmtId="0" fontId="59" fillId="6" borderId="84" xfId="0" applyFont="1" applyFill="1" applyBorder="1" applyAlignment="1" applyProtection="1">
      <alignment horizontal="center" vertical="center"/>
    </xf>
    <xf numFmtId="0" fontId="59" fillId="6" borderId="48" xfId="0" applyFont="1" applyFill="1" applyBorder="1" applyAlignment="1" applyProtection="1">
      <alignment vertical="center"/>
      <protection locked="0"/>
    </xf>
    <xf numFmtId="0" fontId="123" fillId="6" borderId="0" xfId="0" applyFont="1" applyFill="1" applyAlignment="1" applyProtection="1">
      <alignment vertical="center"/>
      <protection locked="0"/>
    </xf>
    <xf numFmtId="0" fontId="123" fillId="6" borderId="47" xfId="0" applyFont="1" applyFill="1" applyBorder="1" applyAlignment="1" applyProtection="1">
      <alignment vertical="center" wrapText="1"/>
    </xf>
    <xf numFmtId="0" fontId="60" fillId="6" borderId="51" xfId="0" applyFont="1" applyFill="1" applyBorder="1" applyAlignment="1" applyProtection="1">
      <alignment horizontal="left" vertical="center" wrapText="1"/>
    </xf>
    <xf numFmtId="181" fontId="59" fillId="6" borderId="9" xfId="0" applyNumberFormat="1" applyFont="1" applyFill="1" applyBorder="1" applyAlignment="1" applyProtection="1">
      <alignment horizontal="center" vertical="center"/>
    </xf>
    <xf numFmtId="0" fontId="60" fillId="6" borderId="16" xfId="0" applyFont="1" applyFill="1" applyBorder="1" applyAlignment="1" applyProtection="1">
      <alignment horizontal="center" vertical="center"/>
    </xf>
    <xf numFmtId="0" fontId="59" fillId="5" borderId="21" xfId="0" applyFont="1" applyFill="1" applyBorder="1" applyAlignment="1" applyProtection="1">
      <alignment horizontal="center" vertical="center"/>
      <protection locked="0"/>
    </xf>
    <xf numFmtId="0" fontId="59" fillId="6" borderId="1" xfId="0" applyFont="1" applyFill="1" applyBorder="1" applyAlignment="1" applyProtection="1">
      <alignment vertical="center"/>
      <protection locked="0"/>
    </xf>
    <xf numFmtId="0" fontId="59" fillId="6" borderId="54" xfId="0" applyFont="1" applyFill="1" applyBorder="1" applyAlignment="1" applyProtection="1">
      <alignment vertical="center"/>
      <protection locked="0"/>
    </xf>
    <xf numFmtId="0" fontId="59" fillId="6" borderId="41" xfId="0" applyFont="1" applyFill="1" applyBorder="1" applyAlignment="1" applyProtection="1">
      <alignment vertical="center" wrapText="1"/>
    </xf>
    <xf numFmtId="0" fontId="59" fillId="5" borderId="0" xfId="0" applyFont="1" applyFill="1" applyBorder="1" applyAlignment="1" applyProtection="1">
      <alignment horizontal="center" vertical="center"/>
      <protection locked="0"/>
    </xf>
    <xf numFmtId="0" fontId="59" fillId="6" borderId="18" xfId="0" applyFont="1" applyFill="1" applyBorder="1" applyAlignment="1" applyProtection="1">
      <alignment vertical="center"/>
      <protection locked="0"/>
    </xf>
    <xf numFmtId="0" fontId="59" fillId="6" borderId="4" xfId="0" applyFont="1" applyFill="1" applyBorder="1" applyAlignment="1" applyProtection="1">
      <alignment vertical="center"/>
      <protection locked="0"/>
    </xf>
    <xf numFmtId="0" fontId="59" fillId="6" borderId="60" xfId="0" applyFont="1" applyFill="1" applyBorder="1" applyAlignment="1" applyProtection="1">
      <alignment vertical="center"/>
      <protection locked="0"/>
    </xf>
    <xf numFmtId="0" fontId="59" fillId="6" borderId="71" xfId="0" applyFont="1" applyFill="1" applyBorder="1" applyAlignment="1" applyProtection="1">
      <alignment vertical="center"/>
      <protection locked="0"/>
    </xf>
    <xf numFmtId="0" fontId="59" fillId="6" borderId="23" xfId="0" applyFont="1" applyFill="1" applyBorder="1" applyAlignment="1" applyProtection="1">
      <alignment vertical="center" wrapText="1"/>
    </xf>
    <xf numFmtId="0" fontId="59" fillId="6" borderId="5" xfId="0" applyFont="1" applyFill="1" applyBorder="1" applyAlignment="1" applyProtection="1">
      <alignment horizontal="center" vertical="center"/>
    </xf>
    <xf numFmtId="181" fontId="59" fillId="6" borderId="5" xfId="0" applyNumberFormat="1" applyFont="1" applyFill="1" applyBorder="1" applyAlignment="1" applyProtection="1">
      <alignment horizontal="center" vertical="center"/>
    </xf>
    <xf numFmtId="49" fontId="60" fillId="6" borderId="25" xfId="0" applyNumberFormat="1" applyFont="1" applyFill="1" applyBorder="1" applyAlignment="1" applyProtection="1">
      <alignment horizontal="left" vertical="center"/>
    </xf>
    <xf numFmtId="0" fontId="59" fillId="6" borderId="49" xfId="0" applyFont="1" applyFill="1" applyBorder="1" applyAlignment="1" applyProtection="1">
      <alignment horizontal="center" vertical="center"/>
    </xf>
    <xf numFmtId="0" fontId="60" fillId="6" borderId="25" xfId="0" applyFont="1" applyFill="1" applyBorder="1" applyAlignment="1" applyProtection="1">
      <alignment horizontal="center" vertical="center"/>
    </xf>
    <xf numFmtId="0" fontId="59" fillId="6" borderId="0" xfId="0" applyFont="1" applyFill="1" applyAlignment="1" applyProtection="1">
      <alignment vertical="center"/>
      <protection locked="0"/>
    </xf>
    <xf numFmtId="0" fontId="59" fillId="6" borderId="1" xfId="0" applyFont="1" applyFill="1" applyBorder="1" applyAlignment="1"/>
    <xf numFmtId="0" fontId="59" fillId="6" borderId="1" xfId="0" applyFont="1" applyFill="1" applyBorder="1" applyAlignment="1">
      <alignment horizontal="center"/>
    </xf>
    <xf numFmtId="0" fontId="59" fillId="6" borderId="1" xfId="0" applyFont="1" applyFill="1" applyBorder="1" applyAlignment="1" applyProtection="1">
      <alignment horizontal="center" vertical="center"/>
      <protection locked="0"/>
    </xf>
    <xf numFmtId="9" fontId="59" fillId="6" borderId="1" xfId="0" applyNumberFormat="1" applyFont="1" applyFill="1" applyBorder="1" applyAlignment="1" applyProtection="1">
      <alignment horizontal="center" vertical="center"/>
      <protection locked="0"/>
    </xf>
    <xf numFmtId="195" fontId="108" fillId="6" borderId="43" xfId="0" applyNumberFormat="1" applyFont="1" applyFill="1" applyBorder="1" applyAlignment="1" applyProtection="1">
      <alignment vertical="center" wrapText="1"/>
    </xf>
    <xf numFmtId="0" fontId="178" fillId="6" borderId="43" xfId="0" applyFont="1" applyFill="1" applyBorder="1" applyAlignment="1" applyProtection="1">
      <alignment vertical="center"/>
    </xf>
    <xf numFmtId="0" fontId="59" fillId="0" borderId="0" xfId="0" applyFont="1" applyFill="1" applyAlignment="1" applyProtection="1">
      <alignment horizontal="left" vertical="center"/>
      <protection locked="0"/>
    </xf>
    <xf numFmtId="0" fontId="53" fillId="6" borderId="1" xfId="0" applyFont="1" applyFill="1" applyBorder="1" applyAlignment="1" applyProtection="1">
      <alignment horizontal="center"/>
    </xf>
    <xf numFmtId="49" fontId="68" fillId="2" borderId="27" xfId="0" applyNumberFormat="1" applyFont="1" applyFill="1" applyBorder="1" applyAlignment="1" applyProtection="1">
      <alignment horizontal="right"/>
      <protection locked="0"/>
    </xf>
    <xf numFmtId="0" fontId="60" fillId="6" borderId="0" xfId="0" applyFont="1" applyFill="1" applyBorder="1" applyAlignment="1" applyProtection="1">
      <alignment vertical="center"/>
    </xf>
    <xf numFmtId="0" fontId="53" fillId="6" borderId="0" xfId="0" applyFont="1" applyFill="1" applyAlignment="1" applyProtection="1"/>
    <xf numFmtId="0" fontId="53" fillId="6" borderId="0" xfId="0" applyFont="1" applyFill="1" applyAlignment="1" applyProtection="1">
      <protection locked="0"/>
    </xf>
    <xf numFmtId="0" fontId="190" fillId="6" borderId="3" xfId="0" applyFont="1" applyFill="1" applyBorder="1" applyAlignment="1" applyProtection="1">
      <alignment horizontal="right" vertical="center" wrapText="1"/>
    </xf>
    <xf numFmtId="0" fontId="206" fillId="0" borderId="0" xfId="5" applyFont="1">
      <alignment vertical="center"/>
    </xf>
    <xf numFmtId="0" fontId="102" fillId="0" borderId="0" xfId="0" applyFont="1" applyProtection="1">
      <alignment vertical="center"/>
      <protection locked="0"/>
    </xf>
    <xf numFmtId="0" fontId="215" fillId="0" borderId="0" xfId="0" applyFont="1" applyBorder="1" applyAlignment="1">
      <alignment horizontal="center" vertical="center"/>
    </xf>
    <xf numFmtId="0" fontId="107" fillId="0" borderId="0" xfId="0" applyFont="1">
      <alignment vertical="center"/>
    </xf>
    <xf numFmtId="0" fontId="107" fillId="0" borderId="0" xfId="0" applyFont="1" applyBorder="1">
      <alignment vertical="center"/>
    </xf>
    <xf numFmtId="0" fontId="216" fillId="0" borderId="0" xfId="0" applyFont="1" applyAlignment="1">
      <alignment vertical="center"/>
    </xf>
    <xf numFmtId="0" fontId="142" fillId="0" borderId="0" xfId="0" applyFont="1" applyAlignment="1">
      <alignment vertical="center" wrapText="1"/>
    </xf>
    <xf numFmtId="0" fontId="217" fillId="0" borderId="0" xfId="0" applyFont="1">
      <alignment vertical="center"/>
    </xf>
    <xf numFmtId="0" fontId="218" fillId="0" borderId="0" xfId="0" applyFont="1">
      <alignment vertical="center"/>
    </xf>
    <xf numFmtId="0" fontId="219" fillId="0" borderId="0" xfId="0" applyFont="1" applyAlignment="1" applyProtection="1">
      <alignment vertical="center" wrapText="1"/>
      <protection locked="0"/>
    </xf>
    <xf numFmtId="0" fontId="142" fillId="0" borderId="0" xfId="0" applyFont="1" applyFill="1" applyAlignment="1">
      <alignment vertical="center" wrapText="1"/>
    </xf>
    <xf numFmtId="0" fontId="216" fillId="0" borderId="0" xfId="0" applyFont="1">
      <alignment vertical="center"/>
    </xf>
    <xf numFmtId="184" fontId="142" fillId="0" borderId="0" xfId="0" applyNumberFormat="1" applyFont="1" applyAlignment="1">
      <alignment horizontal="left" vertical="center"/>
    </xf>
    <xf numFmtId="0" fontId="142" fillId="0" borderId="0" xfId="0" applyFont="1">
      <alignment vertical="center"/>
    </xf>
    <xf numFmtId="0" fontId="220" fillId="5" borderId="0" xfId="0" applyFont="1" applyFill="1" applyProtection="1">
      <alignment vertical="center"/>
      <protection locked="0"/>
    </xf>
    <xf numFmtId="0" fontId="107" fillId="0" borderId="0" xfId="0" applyFont="1" applyProtection="1">
      <alignment vertical="center"/>
      <protection locked="0"/>
    </xf>
    <xf numFmtId="0" fontId="216" fillId="0" borderId="0" xfId="7" applyFont="1" applyProtection="1">
      <alignment vertical="center"/>
    </xf>
    <xf numFmtId="0" fontId="107" fillId="0" borderId="0" xfId="7" applyFont="1" applyProtection="1">
      <alignment vertical="center"/>
    </xf>
    <xf numFmtId="0" fontId="107" fillId="0" borderId="0" xfId="7" applyFont="1">
      <alignment vertical="center"/>
    </xf>
    <xf numFmtId="0" fontId="216" fillId="0" borderId="0" xfId="7" applyFont="1" applyAlignment="1" applyProtection="1">
      <alignment horizontal="center" vertical="center"/>
    </xf>
    <xf numFmtId="0" fontId="135" fillId="0" borderId="2" xfId="7" applyFont="1" applyFill="1" applyBorder="1" applyAlignment="1" applyProtection="1">
      <alignment horizontal="left" vertical="center" wrapText="1"/>
    </xf>
    <xf numFmtId="0" fontId="136" fillId="0" borderId="1" xfId="7" applyFont="1" applyFill="1" applyBorder="1" applyAlignment="1" applyProtection="1">
      <alignment horizontal="left" vertical="center" wrapText="1"/>
    </xf>
    <xf numFmtId="0" fontId="223" fillId="0" borderId="1" xfId="7" applyFont="1" applyFill="1" applyBorder="1" applyAlignment="1" applyProtection="1">
      <alignment horizontal="left" vertical="center" wrapText="1"/>
    </xf>
    <xf numFmtId="0" fontId="67" fillId="0" borderId="5" xfId="7" applyFont="1" applyFill="1" applyBorder="1" applyAlignment="1" applyProtection="1">
      <alignment vertical="center" wrapText="1"/>
    </xf>
    <xf numFmtId="0" fontId="113" fillId="0" borderId="1"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4"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108" fillId="0" borderId="0" xfId="7" applyFont="1" applyProtection="1">
      <alignment vertical="center"/>
    </xf>
    <xf numFmtId="0" fontId="107" fillId="0" borderId="0" xfId="7" applyFont="1" applyProtection="1">
      <alignment vertical="center"/>
      <protection locked="0"/>
    </xf>
    <xf numFmtId="0" fontId="142" fillId="0" borderId="0" xfId="7" applyFont="1" applyProtection="1">
      <alignment vertical="center"/>
      <protection locked="0"/>
    </xf>
    <xf numFmtId="0" fontId="67" fillId="0" borderId="1" xfId="0" applyFont="1" applyFill="1" applyBorder="1" applyAlignment="1" applyProtection="1">
      <alignment horizontal="left" vertical="center" wrapText="1"/>
    </xf>
    <xf numFmtId="0" fontId="142" fillId="0" borderId="0" xfId="0" applyFont="1" applyProtection="1">
      <alignment vertical="center"/>
      <protection locked="0"/>
    </xf>
    <xf numFmtId="0" fontId="102" fillId="0" borderId="0" xfId="0" applyFont="1" applyProtection="1">
      <alignment vertical="center"/>
    </xf>
    <xf numFmtId="0" fontId="213" fillId="0" borderId="0" xfId="0" applyFont="1" applyBorder="1" applyAlignment="1" applyProtection="1">
      <alignment horizontal="left" vertical="center"/>
    </xf>
    <xf numFmtId="0" fontId="23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231" fillId="0" borderId="60" xfId="0" applyFont="1" applyBorder="1" applyAlignment="1" applyProtection="1">
      <alignment horizontal="justify" vertical="center" wrapText="1"/>
    </xf>
    <xf numFmtId="0" fontId="231" fillId="0" borderId="0" xfId="0" applyFont="1" applyBorder="1" applyAlignment="1" applyProtection="1">
      <alignment horizontal="right" vertical="center" wrapText="1"/>
    </xf>
    <xf numFmtId="0" fontId="231" fillId="0" borderId="54" xfId="0" applyFont="1" applyBorder="1" applyAlignment="1" applyProtection="1">
      <alignment horizontal="justify" vertical="center" wrapText="1"/>
    </xf>
    <xf numFmtId="0" fontId="232" fillId="0" borderId="0" xfId="0" applyFont="1" applyBorder="1" applyAlignment="1" applyProtection="1">
      <alignment horizontal="center" vertical="center" wrapText="1"/>
      <protection locked="0"/>
    </xf>
    <xf numFmtId="0" fontId="216" fillId="0" borderId="0" xfId="0" applyFont="1" applyBorder="1" applyAlignment="1" applyProtection="1">
      <alignment horizontal="left" vertical="center"/>
    </xf>
    <xf numFmtId="0" fontId="107" fillId="0" borderId="0" xfId="0" applyFont="1" applyAlignment="1" applyProtection="1">
      <alignment vertical="center" wrapText="1"/>
      <protection locked="0"/>
    </xf>
    <xf numFmtId="0" fontId="142" fillId="0" borderId="0" xfId="0" applyFont="1" applyAlignment="1">
      <alignment horizontal="right" vertical="center"/>
    </xf>
    <xf numFmtId="0" fontId="102" fillId="0" borderId="0" xfId="0" applyFont="1" applyBorder="1" applyProtection="1">
      <alignment vertical="center"/>
      <protection locked="0"/>
    </xf>
    <xf numFmtId="0" fontId="214" fillId="0" borderId="0" xfId="0" applyFont="1" applyBorder="1" applyProtection="1">
      <alignment vertical="center"/>
      <protection locked="0"/>
    </xf>
    <xf numFmtId="0" fontId="235" fillId="0" borderId="0" xfId="0" applyFont="1" applyProtection="1">
      <alignment vertical="center"/>
    </xf>
    <xf numFmtId="0" fontId="214" fillId="0" borderId="0" xfId="0" applyFont="1" applyProtection="1">
      <alignment vertical="center"/>
    </xf>
    <xf numFmtId="0" fontId="222"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222" fillId="0" borderId="0" xfId="0" applyFont="1" applyProtection="1">
      <alignment vertical="center"/>
    </xf>
    <xf numFmtId="0" fontId="222" fillId="2" borderId="1" xfId="0" applyFont="1" applyFill="1" applyBorder="1" applyAlignment="1" applyProtection="1">
      <alignment horizontal="center" vertical="center" wrapText="1"/>
    </xf>
    <xf numFmtId="0" fontId="222" fillId="6" borderId="1" xfId="0" applyFont="1" applyFill="1" applyBorder="1" applyAlignment="1" applyProtection="1">
      <alignment horizontal="center" vertical="center" wrapText="1"/>
    </xf>
    <xf numFmtId="0" fontId="238" fillId="4" borderId="1" xfId="0" applyFont="1" applyFill="1" applyBorder="1" applyAlignment="1" applyProtection="1">
      <alignment horizontal="center" vertical="center"/>
    </xf>
    <xf numFmtId="0" fontId="239" fillId="0" borderId="1" xfId="0" applyFont="1" applyFill="1" applyBorder="1" applyAlignment="1" applyProtection="1">
      <alignment horizontal="center" vertical="center"/>
    </xf>
    <xf numFmtId="0" fontId="237" fillId="0" borderId="0" xfId="0" applyFont="1" applyProtection="1">
      <alignment vertical="center"/>
    </xf>
    <xf numFmtId="0" fontId="127"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8" borderId="5" xfId="0" applyFont="1" applyFill="1" applyBorder="1" applyAlignment="1" applyProtection="1">
      <alignment vertical="center"/>
    </xf>
    <xf numFmtId="0" fontId="102" fillId="7" borderId="54" xfId="0" applyFont="1" applyFill="1" applyBorder="1" applyAlignment="1" applyProtection="1">
      <alignment vertical="center"/>
    </xf>
    <xf numFmtId="0" fontId="102" fillId="7" borderId="3" xfId="0" applyFont="1" applyFill="1" applyBorder="1" applyAlignment="1" applyProtection="1">
      <alignment vertical="center"/>
    </xf>
    <xf numFmtId="0" fontId="240" fillId="0" borderId="0" xfId="0" applyFont="1" applyProtection="1">
      <alignment vertical="center"/>
    </xf>
    <xf numFmtId="0" fontId="237" fillId="0" borderId="0" xfId="0" applyFont="1" applyAlignment="1" applyProtection="1">
      <alignment horizontal="left" vertical="center"/>
    </xf>
    <xf numFmtId="176" fontId="237" fillId="0" borderId="0" xfId="0" applyNumberFormat="1" applyFont="1" applyAlignment="1" applyProtection="1">
      <alignment horizontal="left" vertical="center"/>
    </xf>
    <xf numFmtId="0" fontId="237" fillId="6" borderId="35" xfId="0" applyFont="1" applyFill="1" applyBorder="1" applyAlignment="1" applyProtection="1">
      <alignment horizontal="center" vertical="center" wrapText="1"/>
    </xf>
    <xf numFmtId="0" fontId="102" fillId="6" borderId="15" xfId="0" applyFont="1" applyFill="1" applyBorder="1" applyAlignment="1" applyProtection="1">
      <alignment horizontal="center" vertical="center" wrapText="1"/>
    </xf>
    <xf numFmtId="0" fontId="102" fillId="6" borderId="0" xfId="0" applyFont="1" applyFill="1" applyBorder="1" applyAlignment="1" applyProtection="1">
      <alignment horizontal="center" vertical="center" wrapText="1"/>
    </xf>
    <xf numFmtId="0" fontId="102" fillId="6" borderId="0" xfId="0" applyFont="1" applyFill="1" applyAlignment="1" applyProtection="1">
      <alignment horizontal="center" vertical="center" wrapText="1"/>
    </xf>
    <xf numFmtId="0" fontId="237" fillId="6" borderId="0" xfId="0" applyFont="1" applyFill="1" applyAlignment="1" applyProtection="1">
      <alignment horizontal="center" vertical="center" wrapText="1"/>
    </xf>
    <xf numFmtId="0" fontId="237" fillId="6" borderId="0" xfId="0" applyNumberFormat="1" applyFont="1" applyFill="1" applyBorder="1" applyAlignment="1" applyProtection="1">
      <alignment horizontal="center" vertical="center" wrapText="1"/>
    </xf>
    <xf numFmtId="0" fontId="102" fillId="0" borderId="0" xfId="0" applyFont="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6" borderId="0" xfId="0" applyFont="1" applyFill="1" applyBorder="1" applyAlignment="1" applyProtection="1">
      <alignment horizontal="center" vertical="center"/>
      <protection locked="0"/>
    </xf>
    <xf numFmtId="0" fontId="102" fillId="6" borderId="0" xfId="0" applyFont="1" applyFill="1" applyAlignment="1" applyProtection="1">
      <alignment horizontal="center" vertical="center"/>
    </xf>
    <xf numFmtId="0" fontId="237" fillId="0" borderId="1" xfId="0" applyFont="1" applyBorder="1" applyAlignment="1" applyProtection="1">
      <alignment horizontal="left" vertical="center"/>
      <protection locked="0"/>
    </xf>
    <xf numFmtId="0" fontId="102" fillId="6" borderId="0" xfId="0" applyFont="1" applyFill="1" applyAlignment="1" applyProtection="1">
      <alignment horizontal="center" vertical="center"/>
      <protection locked="0"/>
    </xf>
    <xf numFmtId="0" fontId="102" fillId="6" borderId="0" xfId="0" applyFont="1" applyFill="1" applyProtection="1">
      <alignment vertical="center"/>
    </xf>
    <xf numFmtId="0" fontId="237" fillId="6" borderId="0" xfId="0" applyFont="1" applyFill="1" applyBorder="1" applyAlignment="1" applyProtection="1">
      <alignment horizontal="center" vertical="center"/>
      <protection locked="0"/>
    </xf>
    <xf numFmtId="0" fontId="102" fillId="6" borderId="0" xfId="0" applyFont="1" applyFill="1" applyBorder="1" applyAlignment="1" applyProtection="1">
      <alignment horizontal="left" vertical="center"/>
    </xf>
    <xf numFmtId="0" fontId="102" fillId="6" borderId="0" xfId="0" applyFont="1" applyFill="1" applyAlignment="1" applyProtection="1">
      <alignment horizontal="left" vertical="center"/>
    </xf>
    <xf numFmtId="0" fontId="102" fillId="6" borderId="0" xfId="0" applyFont="1" applyFill="1" applyBorder="1" applyAlignment="1" applyProtection="1">
      <alignment horizontal="center" vertical="center"/>
    </xf>
    <xf numFmtId="0" fontId="102" fillId="0" borderId="0" xfId="0" applyFont="1" applyBorder="1" applyAlignment="1" applyProtection="1">
      <alignment horizontal="center" vertical="center"/>
    </xf>
    <xf numFmtId="0" fontId="67" fillId="6" borderId="26" xfId="0" applyFont="1" applyFill="1" applyBorder="1" applyAlignment="1" applyProtection="1">
      <alignment vertical="center" wrapText="1"/>
    </xf>
    <xf numFmtId="0" fontId="67" fillId="6" borderId="0" xfId="0" applyFont="1" applyFill="1" applyBorder="1" applyAlignment="1" applyProtection="1">
      <alignment vertical="center" wrapText="1"/>
    </xf>
    <xf numFmtId="0" fontId="67"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6" borderId="0" xfId="0" applyFont="1" applyFill="1" applyAlignment="1" applyProtection="1">
      <alignment horizontal="center"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67" fillId="0" borderId="0" xfId="0" applyFont="1" applyFill="1" applyBorder="1" applyAlignment="1" applyProtection="1">
      <alignment vertical="center" wrapText="1"/>
    </xf>
    <xf numFmtId="0" fontId="67" fillId="6" borderId="0" xfId="0" applyFont="1" applyFill="1" applyBorder="1" applyAlignment="1" applyProtection="1">
      <alignment horizontal="center" vertical="center" wrapText="1"/>
    </xf>
    <xf numFmtId="0" fontId="67" fillId="6" borderId="1" xfId="0" applyFont="1" applyFill="1" applyBorder="1" applyAlignment="1" applyProtection="1">
      <alignment horizontal="left" vertical="center"/>
    </xf>
    <xf numFmtId="14" fontId="67" fillId="0" borderId="13" xfId="0" applyNumberFormat="1" applyFont="1" applyFill="1" applyBorder="1" applyAlignment="1" applyProtection="1">
      <alignment horizontal="left" vertical="center"/>
      <protection locked="0"/>
    </xf>
    <xf numFmtId="0" fontId="67" fillId="6" borderId="1" xfId="0" applyFont="1" applyFill="1" applyBorder="1" applyAlignment="1" applyProtection="1">
      <alignment vertical="center" wrapText="1"/>
    </xf>
    <xf numFmtId="0" fontId="67" fillId="6" borderId="78" xfId="0" applyFont="1" applyFill="1" applyBorder="1" applyAlignment="1" applyProtection="1">
      <alignment horizontal="left" vertical="center"/>
    </xf>
    <xf numFmtId="14" fontId="67" fillId="5" borderId="78" xfId="0" applyNumberFormat="1" applyFont="1" applyFill="1" applyBorder="1" applyAlignment="1" applyProtection="1">
      <alignment horizontal="center" vertical="center"/>
      <protection locked="0"/>
    </xf>
    <xf numFmtId="0" fontId="67" fillId="6" borderId="85" xfId="0" applyFont="1" applyFill="1" applyBorder="1" applyAlignment="1" applyProtection="1">
      <alignment vertical="center" wrapText="1"/>
    </xf>
    <xf numFmtId="0" fontId="67" fillId="6" borderId="119" xfId="0" applyFont="1" applyFill="1" applyBorder="1" applyAlignment="1" applyProtection="1">
      <alignment vertical="center" wrapText="1"/>
    </xf>
    <xf numFmtId="0" fontId="67" fillId="6" borderId="0" xfId="0" applyFont="1" applyFill="1" applyAlignment="1" applyProtection="1">
      <alignment vertical="center" wrapText="1"/>
    </xf>
    <xf numFmtId="0" fontId="67" fillId="6" borderId="58" xfId="0" applyNumberFormat="1" applyFont="1" applyFill="1" applyBorder="1" applyAlignment="1" applyProtection="1">
      <alignment horizontal="left" vertical="center"/>
    </xf>
    <xf numFmtId="0" fontId="67" fillId="6" borderId="4" xfId="0" applyFont="1" applyFill="1" applyBorder="1" applyAlignment="1" applyProtection="1">
      <alignment vertical="center" wrapText="1"/>
    </xf>
    <xf numFmtId="0" fontId="67" fillId="7" borderId="151" xfId="0" applyFont="1" applyFill="1" applyBorder="1" applyAlignment="1" applyProtection="1">
      <alignment vertical="center" wrapText="1"/>
      <protection locked="0"/>
    </xf>
    <xf numFmtId="0" fontId="67" fillId="7" borderId="60" xfId="0" applyFont="1" applyFill="1" applyBorder="1" applyAlignment="1" applyProtection="1">
      <alignment vertical="center" wrapText="1"/>
    </xf>
    <xf numFmtId="0" fontId="67" fillId="7" borderId="7" xfId="0" applyFont="1" applyFill="1" applyBorder="1" applyAlignment="1" applyProtection="1">
      <alignment vertical="center" wrapText="1"/>
    </xf>
    <xf numFmtId="0" fontId="67" fillId="6" borderId="46" xfId="0" applyFont="1" applyFill="1" applyBorder="1" applyAlignment="1" applyProtection="1">
      <alignment vertical="center" wrapText="1"/>
    </xf>
    <xf numFmtId="0" fontId="67" fillId="7" borderId="54" xfId="0" applyFont="1" applyFill="1" applyBorder="1" applyAlignment="1" applyProtection="1">
      <alignment vertical="center" wrapText="1"/>
    </xf>
    <xf numFmtId="0" fontId="67" fillId="7" borderId="22" xfId="0" applyFont="1" applyFill="1" applyBorder="1" applyAlignment="1" applyProtection="1">
      <alignment vertical="center" wrapText="1"/>
    </xf>
    <xf numFmtId="0" fontId="67" fillId="6" borderId="58" xfId="0" applyNumberFormat="1" applyFont="1" applyFill="1" applyBorder="1" applyAlignment="1" applyProtection="1">
      <alignment horizontal="center" vertical="center" wrapText="1"/>
    </xf>
    <xf numFmtId="0" fontId="67" fillId="7" borderId="5" xfId="0" applyFont="1" applyFill="1" applyBorder="1" applyAlignment="1" applyProtection="1">
      <alignment vertical="center" wrapText="1"/>
      <protection locked="0"/>
    </xf>
    <xf numFmtId="49" fontId="67" fillId="6" borderId="58" xfId="0" applyNumberFormat="1" applyFont="1" applyFill="1" applyBorder="1" applyAlignment="1" applyProtection="1">
      <alignment horizontal="center" vertical="center" wrapText="1"/>
    </xf>
    <xf numFmtId="0" fontId="67" fillId="5" borderId="5" xfId="0" applyFont="1" applyFill="1" applyBorder="1" applyAlignment="1" applyProtection="1">
      <alignment horizontal="left" vertical="center" wrapText="1"/>
      <protection locked="0"/>
    </xf>
    <xf numFmtId="0" fontId="67" fillId="5" borderId="54" xfId="0" applyFont="1" applyFill="1" applyBorder="1" applyAlignment="1" applyProtection="1">
      <alignment vertical="center" wrapText="1"/>
    </xf>
    <xf numFmtId="0" fontId="67" fillId="5" borderId="13" xfId="0" applyFont="1" applyFill="1" applyBorder="1" applyAlignment="1" applyProtection="1">
      <alignment horizontal="left" vertical="center"/>
      <protection locked="0"/>
    </xf>
    <xf numFmtId="0" fontId="67" fillId="5" borderId="22" xfId="0" applyFont="1" applyFill="1" applyBorder="1" applyAlignment="1" applyProtection="1">
      <alignment vertical="center" wrapText="1"/>
    </xf>
    <xf numFmtId="0" fontId="67" fillId="5" borderId="85" xfId="0" applyFont="1" applyFill="1" applyBorder="1" applyAlignment="1" applyProtection="1">
      <alignment horizontal="left" vertical="center"/>
      <protection locked="0"/>
    </xf>
    <xf numFmtId="0" fontId="67" fillId="5" borderId="88" xfId="0" applyFont="1" applyFill="1" applyBorder="1" applyAlignment="1" applyProtection="1">
      <alignment vertical="center" wrapText="1"/>
    </xf>
    <xf numFmtId="0" fontId="67" fillId="5" borderId="119" xfId="0" applyFont="1" applyFill="1" applyBorder="1" applyAlignment="1" applyProtection="1">
      <alignment vertical="center" wrapText="1"/>
    </xf>
    <xf numFmtId="0" fontId="67" fillId="6" borderId="87" xfId="0" applyFont="1" applyFill="1" applyBorder="1" applyAlignment="1" applyProtection="1">
      <alignment vertical="center" wrapText="1"/>
    </xf>
    <xf numFmtId="0" fontId="67" fillId="6" borderId="2" xfId="0" applyFont="1" applyFill="1" applyBorder="1" applyAlignment="1" applyProtection="1">
      <alignment horizontal="left" vertical="center"/>
    </xf>
    <xf numFmtId="0" fontId="67" fillId="2" borderId="7" xfId="0" applyFont="1" applyFill="1" applyBorder="1" applyAlignment="1" applyProtection="1">
      <alignment horizontal="center" vertical="center" wrapText="1"/>
      <protection locked="0"/>
    </xf>
    <xf numFmtId="0" fontId="67" fillId="7" borderId="60" xfId="0" applyFont="1" applyFill="1" applyBorder="1" applyAlignment="1" applyProtection="1">
      <alignment vertical="center" wrapText="1"/>
      <protection locked="0"/>
    </xf>
    <xf numFmtId="49" fontId="67" fillId="6" borderId="2" xfId="0" applyNumberFormat="1" applyFont="1" applyFill="1" applyBorder="1" applyAlignment="1" applyProtection="1">
      <alignment horizontal="left" vertical="center" wrapText="1"/>
    </xf>
    <xf numFmtId="49" fontId="233" fillId="0" borderId="4" xfId="0" applyNumberFormat="1" applyFont="1" applyFill="1" applyBorder="1" applyAlignment="1" applyProtection="1">
      <alignment horizontal="left" vertical="center"/>
      <protection locked="0"/>
    </xf>
    <xf numFmtId="0" fontId="67" fillId="0" borderId="60" xfId="0" applyFont="1" applyFill="1" applyBorder="1" applyAlignment="1" applyProtection="1">
      <alignment vertical="center" wrapText="1"/>
    </xf>
    <xf numFmtId="0" fontId="67" fillId="7" borderId="60" xfId="0" applyFont="1" applyFill="1" applyBorder="1" applyAlignment="1" applyProtection="1">
      <alignment horizontal="center" vertical="center" wrapText="1"/>
    </xf>
    <xf numFmtId="0" fontId="67" fillId="6" borderId="46" xfId="0" applyFont="1" applyFill="1" applyBorder="1" applyAlignment="1" applyProtection="1">
      <alignment horizontal="left" vertical="center"/>
    </xf>
    <xf numFmtId="0" fontId="67" fillId="5" borderId="13" xfId="0" applyFont="1" applyFill="1" applyBorder="1" applyAlignment="1" applyProtection="1">
      <alignment horizontal="center" vertical="center" wrapText="1"/>
      <protection locked="0"/>
    </xf>
    <xf numFmtId="0" fontId="67" fillId="7" borderId="54" xfId="0" applyFont="1" applyFill="1" applyBorder="1" applyAlignment="1" applyProtection="1">
      <alignment vertical="center" wrapText="1"/>
      <protection locked="0"/>
    </xf>
    <xf numFmtId="0" fontId="67" fillId="7" borderId="3" xfId="0" applyFont="1" applyFill="1" applyBorder="1" applyAlignment="1" applyProtection="1">
      <alignment vertical="center" wrapText="1"/>
    </xf>
    <xf numFmtId="49" fontId="67" fillId="6" borderId="13" xfId="0" applyNumberFormat="1" applyFont="1" applyFill="1" applyBorder="1" applyAlignment="1" applyProtection="1">
      <alignment horizontal="left" vertical="center" wrapText="1"/>
    </xf>
    <xf numFmtId="0" fontId="50" fillId="6" borderId="1" xfId="0" applyFont="1" applyFill="1" applyBorder="1" applyAlignment="1" applyProtection="1">
      <alignment vertical="center" wrapText="1"/>
    </xf>
    <xf numFmtId="49" fontId="50" fillId="6" borderId="1" xfId="0" applyNumberFormat="1"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2" borderId="15" xfId="0" applyFont="1" applyFill="1" applyBorder="1" applyAlignment="1" applyProtection="1">
      <alignment horizontal="left" vertical="center" wrapText="1"/>
    </xf>
    <xf numFmtId="0" fontId="67" fillId="6" borderId="60" xfId="0" applyFont="1" applyFill="1" applyBorder="1" applyAlignment="1" applyProtection="1">
      <alignment vertical="center" wrapText="1"/>
    </xf>
    <xf numFmtId="184" fontId="67" fillId="0" borderId="1" xfId="0" applyNumberFormat="1" applyFont="1" applyFill="1" applyBorder="1" applyAlignment="1" applyProtection="1">
      <alignment horizontal="center" vertical="center" shrinkToFit="1"/>
      <protection locked="0"/>
    </xf>
    <xf numFmtId="177" fontId="67" fillId="6" borderId="58" xfId="0" applyNumberFormat="1" applyFont="1" applyFill="1" applyBorder="1" applyAlignment="1" applyProtection="1">
      <alignment horizontal="center" vertical="center" wrapText="1"/>
    </xf>
    <xf numFmtId="0" fontId="67" fillId="2" borderId="2" xfId="0" applyFont="1" applyFill="1" applyBorder="1" applyAlignment="1" applyProtection="1">
      <alignment horizontal="left" vertical="center" wrapText="1"/>
    </xf>
    <xf numFmtId="179" fontId="67" fillId="6" borderId="58"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67" fillId="6" borderId="15" xfId="0" applyNumberFormat="1" applyFont="1" applyFill="1" applyBorder="1" applyAlignment="1" applyProtection="1">
      <alignment horizontal="left" vertical="center" wrapText="1"/>
    </xf>
    <xf numFmtId="0" fontId="67" fillId="6" borderId="13" xfId="0" applyFont="1" applyFill="1" applyBorder="1" applyAlignment="1" applyProtection="1">
      <alignment horizontal="left" vertical="center"/>
    </xf>
    <xf numFmtId="0" fontId="67" fillId="6" borderId="1" xfId="0" applyFont="1" applyFill="1" applyBorder="1" applyAlignment="1" applyProtection="1">
      <alignment horizontal="left" vertical="center" wrapText="1"/>
    </xf>
    <xf numFmtId="179" fontId="67" fillId="6" borderId="58" xfId="0" applyNumberFormat="1" applyFont="1" applyFill="1" applyBorder="1" applyAlignment="1" applyProtection="1">
      <alignment horizontal="left" vertical="center"/>
    </xf>
    <xf numFmtId="0" fontId="67" fillId="5" borderId="77" xfId="0" applyFont="1" applyFill="1" applyBorder="1" applyAlignment="1" applyProtection="1">
      <alignment horizontal="left" vertical="center" wrapText="1"/>
      <protection locked="0"/>
    </xf>
    <xf numFmtId="0" fontId="67" fillId="6" borderId="78" xfId="0" applyFont="1" applyFill="1" applyBorder="1" applyAlignment="1" applyProtection="1">
      <alignment horizontal="left" vertical="center" wrapText="1"/>
    </xf>
    <xf numFmtId="0" fontId="53" fillId="5" borderId="15" xfId="0" applyFont="1" applyFill="1" applyBorder="1" applyAlignment="1" applyProtection="1">
      <alignment horizontal="center" vertical="center" wrapText="1"/>
      <protection locked="0"/>
    </xf>
    <xf numFmtId="0" fontId="53" fillId="6" borderId="74" xfId="0" applyFont="1" applyFill="1" applyBorder="1" applyAlignment="1" applyProtection="1">
      <alignment horizontal="center" vertical="center" wrapText="1"/>
    </xf>
    <xf numFmtId="0" fontId="53" fillId="5" borderId="74" xfId="0" applyFont="1" applyFill="1" applyBorder="1" applyAlignment="1" applyProtection="1">
      <alignment horizontal="center" vertical="center" wrapText="1"/>
      <protection locked="0"/>
    </xf>
    <xf numFmtId="0" fontId="123" fillId="6" borderId="74" xfId="0" applyFont="1" applyFill="1" applyBorder="1" applyAlignment="1" applyProtection="1">
      <alignment vertical="center" wrapText="1"/>
    </xf>
    <xf numFmtId="0" fontId="53" fillId="5" borderId="76" xfId="0" applyFont="1" applyFill="1" applyBorder="1" applyAlignment="1" applyProtection="1">
      <alignment horizontal="center" vertical="center" wrapText="1"/>
      <protection locked="0"/>
    </xf>
    <xf numFmtId="0" fontId="53" fillId="6" borderId="5" xfId="0" applyFont="1" applyFill="1" applyBorder="1" applyAlignment="1" applyProtection="1">
      <alignment horizontal="right" vertical="center" wrapText="1"/>
    </xf>
    <xf numFmtId="0" fontId="53" fillId="6" borderId="27" xfId="0" applyFont="1" applyFill="1" applyBorder="1" applyAlignment="1" applyProtection="1">
      <alignment vertical="center"/>
    </xf>
    <xf numFmtId="0" fontId="61" fillId="5" borderId="23" xfId="0" applyFont="1" applyFill="1" applyBorder="1" applyAlignment="1" applyProtection="1">
      <alignment horizontal="center" vertical="center" wrapText="1"/>
      <protection locked="0"/>
    </xf>
    <xf numFmtId="0" fontId="53" fillId="5" borderId="24" xfId="0" applyFont="1" applyFill="1" applyBorder="1" applyAlignment="1" applyProtection="1">
      <alignment horizontal="center" vertical="center" wrapText="1"/>
      <protection locked="0"/>
    </xf>
    <xf numFmtId="0" fontId="183" fillId="0" borderId="23" xfId="0" applyFont="1" applyBorder="1" applyAlignment="1" applyProtection="1">
      <alignment vertical="center" wrapText="1"/>
      <protection locked="0"/>
    </xf>
    <xf numFmtId="0" fontId="53" fillId="5" borderId="5" xfId="0" applyFont="1" applyFill="1" applyBorder="1" applyAlignment="1" applyProtection="1">
      <alignment horizontal="center" vertical="center" wrapText="1"/>
      <protection locked="0"/>
    </xf>
    <xf numFmtId="0" fontId="53" fillId="0" borderId="86" xfId="0" applyFont="1" applyBorder="1" applyAlignment="1" applyProtection="1">
      <alignment vertical="center" wrapText="1"/>
      <protection locked="0"/>
    </xf>
    <xf numFmtId="0" fontId="61" fillId="5" borderId="23" xfId="0" applyFont="1" applyFill="1" applyBorder="1" applyAlignment="1" applyProtection="1">
      <alignment horizontal="center" vertical="center" wrapText="1" shrinkToFit="1"/>
      <protection locked="0"/>
    </xf>
    <xf numFmtId="0" fontId="67" fillId="6" borderId="56" xfId="0" applyFont="1" applyFill="1" applyBorder="1" applyAlignment="1" applyProtection="1">
      <alignment vertical="center" wrapText="1"/>
    </xf>
    <xf numFmtId="0" fontId="53" fillId="6" borderId="18" xfId="0" applyFont="1" applyFill="1" applyBorder="1" applyAlignment="1" applyProtection="1">
      <alignment horizontal="right" vertical="center" wrapText="1"/>
    </xf>
    <xf numFmtId="184" fontId="183" fillId="0" borderId="24" xfId="0" applyNumberFormat="1" applyFont="1" applyFill="1" applyBorder="1" applyAlignment="1" applyProtection="1">
      <alignment horizontal="left" vertical="center" shrinkToFit="1"/>
      <protection locked="0"/>
    </xf>
    <xf numFmtId="0" fontId="53" fillId="6" borderId="16" xfId="0" applyFont="1" applyFill="1" applyBorder="1" applyAlignment="1" applyProtection="1">
      <alignment horizontal="right" vertical="center" wrapText="1"/>
    </xf>
    <xf numFmtId="184" fontId="183" fillId="0" borderId="21" xfId="0" applyNumberFormat="1" applyFont="1" applyFill="1" applyBorder="1" applyAlignment="1" applyProtection="1">
      <alignment horizontal="left" vertical="center" shrinkToFit="1"/>
      <protection locked="0"/>
    </xf>
    <xf numFmtId="0" fontId="53" fillId="6" borderId="58" xfId="0" applyFont="1" applyFill="1" applyBorder="1" applyAlignment="1" applyProtection="1">
      <alignment horizontal="center" vertical="center" wrapText="1"/>
    </xf>
    <xf numFmtId="0" fontId="53" fillId="6" borderId="18" xfId="0" applyFont="1" applyFill="1" applyBorder="1" applyAlignment="1" applyProtection="1">
      <alignment horizontal="left" vertical="center" wrapText="1"/>
    </xf>
    <xf numFmtId="0" fontId="183" fillId="0" borderId="24" xfId="0" applyFont="1" applyFill="1" applyBorder="1" applyAlignment="1" applyProtection="1">
      <alignment horizontal="left" vertical="center" wrapText="1"/>
      <protection locked="0"/>
    </xf>
    <xf numFmtId="0" fontId="183" fillId="0" borderId="48"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left" vertical="center" wrapText="1"/>
    </xf>
    <xf numFmtId="0" fontId="53" fillId="6" borderId="91" xfId="0" applyFont="1" applyFill="1" applyBorder="1" applyAlignment="1" applyProtection="1">
      <alignment horizontal="right" vertical="center" wrapText="1"/>
    </xf>
    <xf numFmtId="0" fontId="183" fillId="0" borderId="79"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right" vertical="center" wrapText="1"/>
    </xf>
    <xf numFmtId="0" fontId="183" fillId="0" borderId="90" xfId="0" applyFont="1" applyFill="1" applyBorder="1" applyAlignment="1" applyProtection="1">
      <alignment horizontal="left" vertical="center" wrapText="1"/>
      <protection locked="0"/>
    </xf>
    <xf numFmtId="0" fontId="67" fillId="6" borderId="92" xfId="0" applyFont="1" applyFill="1" applyBorder="1" applyAlignment="1" applyProtection="1">
      <alignment vertical="center" wrapText="1"/>
    </xf>
    <xf numFmtId="0" fontId="67" fillId="2" borderId="4" xfId="0" applyFont="1" applyFill="1" applyBorder="1" applyAlignment="1" applyProtection="1">
      <alignment vertical="center"/>
      <protection locked="0"/>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horizontal="left" vertical="center"/>
      <protection locked="0"/>
    </xf>
    <xf numFmtId="0" fontId="67" fillId="0" borderId="2" xfId="0" applyFont="1" applyBorder="1" applyAlignment="1" applyProtection="1">
      <alignment horizontal="left" vertical="center" wrapText="1"/>
      <protection locked="0"/>
    </xf>
    <xf numFmtId="49" fontId="50" fillId="6" borderId="58" xfId="0" applyNumberFormat="1" applyFont="1" applyFill="1" applyBorder="1" applyAlignment="1" applyProtection="1">
      <alignment horizontal="center" vertical="center" wrapText="1"/>
    </xf>
    <xf numFmtId="0" fontId="67" fillId="2" borderId="5" xfId="0" applyFont="1" applyFill="1" applyBorder="1" applyAlignment="1" applyProtection="1">
      <alignment vertical="center"/>
      <protection locked="0"/>
    </xf>
    <xf numFmtId="0" fontId="67" fillId="2" borderId="3" xfId="0" applyFont="1" applyFill="1" applyBorder="1" applyAlignment="1" applyProtection="1">
      <alignment vertical="center"/>
    </xf>
    <xf numFmtId="0" fontId="67" fillId="5" borderId="3" xfId="0" applyFont="1" applyFill="1" applyBorder="1" applyAlignment="1" applyProtection="1">
      <alignment horizontal="center" vertical="center" wrapText="1"/>
      <protection locked="0"/>
    </xf>
    <xf numFmtId="0" fontId="67" fillId="6" borderId="5" xfId="0" applyFont="1" applyFill="1" applyBorder="1" applyAlignment="1" applyProtection="1">
      <alignment horizontal="left" vertical="center"/>
    </xf>
    <xf numFmtId="0" fontId="67" fillId="6" borderId="3" xfId="0" applyFont="1" applyFill="1" applyBorder="1" applyAlignment="1" applyProtection="1">
      <alignment vertical="center" wrapText="1"/>
    </xf>
    <xf numFmtId="0" fontId="67" fillId="0" borderId="1" xfId="0" applyFont="1" applyBorder="1" applyAlignment="1" applyProtection="1">
      <alignment horizontal="left" vertical="center"/>
      <protection locked="0"/>
    </xf>
    <xf numFmtId="0" fontId="67" fillId="5" borderId="22" xfId="0" applyFont="1" applyFill="1" applyBorder="1" applyAlignment="1" applyProtection="1">
      <alignment horizontal="center" vertical="center" wrapText="1"/>
      <protection locked="0"/>
    </xf>
    <xf numFmtId="0" fontId="67" fillId="6" borderId="22" xfId="0" applyFont="1" applyFill="1" applyBorder="1" applyAlignment="1" applyProtection="1">
      <alignment vertical="center" wrapText="1"/>
    </xf>
    <xf numFmtId="0" fontId="67" fillId="0" borderId="13" xfId="0" applyFont="1" applyBorder="1" applyAlignment="1" applyProtection="1">
      <alignment horizontal="left" vertical="center"/>
      <protection locked="0"/>
    </xf>
    <xf numFmtId="0" fontId="64" fillId="5" borderId="1" xfId="0" applyFont="1" applyFill="1" applyBorder="1" applyAlignment="1" applyProtection="1">
      <alignment horizontal="center" vertical="center" wrapText="1"/>
      <protection locked="0"/>
    </xf>
    <xf numFmtId="193" fontId="50" fillId="6" borderId="1" xfId="0" applyNumberFormat="1" applyFont="1" applyFill="1" applyBorder="1" applyAlignment="1" applyProtection="1">
      <alignment vertical="center" wrapText="1"/>
    </xf>
    <xf numFmtId="0" fontId="67" fillId="6" borderId="13" xfId="0" applyNumberFormat="1" applyFont="1" applyFill="1" applyBorder="1" applyAlignment="1" applyProtection="1">
      <alignment vertical="center" wrapText="1"/>
    </xf>
    <xf numFmtId="0" fontId="67" fillId="6" borderId="1" xfId="0" applyNumberFormat="1" applyFont="1" applyFill="1" applyBorder="1" applyAlignment="1" applyProtection="1">
      <alignment horizontal="center" vertical="center" wrapText="1"/>
    </xf>
    <xf numFmtId="0" fontId="67" fillId="6" borderId="58"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wrapText="1"/>
      <protection locked="0"/>
    </xf>
    <xf numFmtId="0" fontId="67" fillId="6" borderId="15" xfId="0" applyNumberFormat="1" applyFont="1" applyFill="1" applyBorder="1" applyAlignment="1" applyProtection="1">
      <alignment vertical="center" wrapText="1"/>
    </xf>
    <xf numFmtId="0" fontId="67" fillId="5" borderId="1" xfId="0" applyNumberFormat="1" applyFont="1" applyFill="1" applyBorder="1" applyAlignment="1" applyProtection="1">
      <alignment horizontal="center" vertical="center" wrapText="1"/>
      <protection locked="0"/>
    </xf>
    <xf numFmtId="0" fontId="67" fillId="6" borderId="78" xfId="0" applyNumberFormat="1" applyFont="1" applyFill="1" applyBorder="1" applyAlignment="1" applyProtection="1">
      <alignment vertical="center" wrapText="1"/>
    </xf>
    <xf numFmtId="0" fontId="67" fillId="5"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110" fillId="6" borderId="152" xfId="0" applyFont="1" applyFill="1" applyBorder="1" applyAlignment="1" applyProtection="1">
      <alignment vertical="center"/>
    </xf>
    <xf numFmtId="0" fontId="52" fillId="6" borderId="152" xfId="0" applyFont="1" applyFill="1" applyBorder="1" applyAlignment="1" applyProtection="1">
      <alignment vertical="center" wrapText="1"/>
    </xf>
    <xf numFmtId="0" fontId="52" fillId="6" borderId="153" xfId="0" applyFont="1" applyFill="1" applyBorder="1" applyAlignment="1" applyProtection="1">
      <alignment vertical="center" wrapText="1"/>
    </xf>
    <xf numFmtId="0" fontId="52" fillId="6" borderId="152" xfId="0" applyFont="1" applyFill="1" applyBorder="1" applyAlignment="1" applyProtection="1">
      <alignment horizontal="center" vertical="center" wrapText="1"/>
    </xf>
    <xf numFmtId="0" fontId="52" fillId="0" borderId="152" xfId="0" applyFont="1" applyBorder="1" applyAlignment="1" applyProtection="1">
      <alignment vertical="center" wrapText="1"/>
    </xf>
    <xf numFmtId="0" fontId="50" fillId="6" borderId="0" xfId="0" applyFont="1" applyFill="1" applyBorder="1" applyAlignment="1" applyProtection="1">
      <alignment horizontal="center" vertical="center" wrapText="1"/>
    </xf>
    <xf numFmtId="0" fontId="50" fillId="6" borderId="54" xfId="0" applyFont="1" applyFill="1" applyBorder="1" applyAlignment="1" applyProtection="1">
      <alignment vertical="center" wrapText="1"/>
    </xf>
    <xf numFmtId="0" fontId="50" fillId="6" borderId="3" xfId="0" applyFont="1" applyFill="1" applyBorder="1" applyAlignment="1" applyProtection="1">
      <alignment vertical="center" wrapText="1"/>
    </xf>
    <xf numFmtId="49" fontId="50" fillId="6" borderId="5" xfId="0" applyNumberFormat="1" applyFont="1" applyFill="1" applyBorder="1" applyAlignment="1" applyProtection="1">
      <alignment horizontal="center" vertical="center" wrapText="1"/>
    </xf>
    <xf numFmtId="0" fontId="53" fillId="0" borderId="1" xfId="0" applyFont="1" applyBorder="1" applyAlignment="1" applyProtection="1">
      <alignment vertical="center" wrapText="1"/>
      <protection locked="0"/>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0" fillId="0" borderId="0" xfId="0" applyFont="1" applyAlignment="1" applyProtection="1">
      <alignment horizontal="center" vertical="center" wrapText="1"/>
    </xf>
    <xf numFmtId="49" fontId="50" fillId="0" borderId="58" xfId="0" applyNumberFormat="1" applyFont="1" applyBorder="1" applyAlignment="1" applyProtection="1">
      <alignment horizontal="center" vertical="center" wrapText="1"/>
    </xf>
    <xf numFmtId="49" fontId="50" fillId="0" borderId="0" xfId="0" applyNumberFormat="1" applyFont="1" applyAlignment="1" applyProtection="1">
      <alignment horizontal="center" vertical="center" wrapText="1"/>
    </xf>
    <xf numFmtId="0" fontId="112" fillId="6" borderId="0" xfId="0" applyFont="1" applyFill="1" applyAlignment="1" applyProtection="1">
      <alignment horizontal="left" vertical="center"/>
    </xf>
    <xf numFmtId="0" fontId="110" fillId="6" borderId="0" xfId="0" applyFont="1" applyFill="1" applyAlignment="1" applyProtection="1">
      <alignment horizontal="left" vertical="center"/>
    </xf>
    <xf numFmtId="0" fontId="53" fillId="6" borderId="0" xfId="0" applyFont="1" applyFill="1" applyAlignment="1" applyProtection="1">
      <alignment horizontal="center" vertical="center" wrapText="1"/>
    </xf>
    <xf numFmtId="0" fontId="53" fillId="6" borderId="0" xfId="0" applyFont="1" applyFill="1" applyBorder="1" applyAlignment="1" applyProtection="1">
      <alignment horizontal="center" vertical="center"/>
    </xf>
    <xf numFmtId="0" fontId="53" fillId="6" borderId="0"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0" fontId="53" fillId="2" borderId="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left" vertical="center"/>
    </xf>
    <xf numFmtId="179" fontId="53" fillId="6" borderId="0" xfId="0" applyNumberFormat="1" applyFont="1" applyFill="1" applyBorder="1" applyAlignment="1" applyProtection="1">
      <alignment horizontal="center" vertical="center" wrapText="1"/>
    </xf>
    <xf numFmtId="179" fontId="54" fillId="6" borderId="0" xfId="0" applyNumberFormat="1" applyFont="1" applyFill="1" applyBorder="1" applyAlignment="1" applyProtection="1">
      <alignment horizontal="center" vertical="center" wrapText="1"/>
    </xf>
    <xf numFmtId="176" fontId="53" fillId="6" borderId="0" xfId="0" applyNumberFormat="1" applyFont="1" applyFill="1" applyAlignment="1" applyProtection="1">
      <alignment horizontal="center" vertical="center" wrapText="1"/>
    </xf>
    <xf numFmtId="0" fontId="53" fillId="0" borderId="0" xfId="0" applyFont="1" applyFill="1" applyAlignment="1" applyProtection="1">
      <alignment horizontal="center" vertical="center" wrapText="1"/>
    </xf>
    <xf numFmtId="176" fontId="53" fillId="6" borderId="54" xfId="0" applyNumberFormat="1" applyFont="1" applyFill="1" applyBorder="1" applyAlignment="1" applyProtection="1">
      <alignment horizontal="center" vertical="center" wrapText="1"/>
    </xf>
    <xf numFmtId="176" fontId="53" fillId="6" borderId="3" xfId="0" applyNumberFormat="1" applyFont="1" applyFill="1" applyBorder="1" applyAlignment="1" applyProtection="1">
      <alignment horizontal="center" vertical="center" wrapText="1"/>
    </xf>
    <xf numFmtId="176" fontId="53" fillId="6" borderId="5" xfId="0" applyNumberFormat="1" applyFont="1" applyFill="1" applyBorder="1" applyAlignment="1" applyProtection="1">
      <alignment horizontal="center" vertical="center" wrapText="1"/>
    </xf>
    <xf numFmtId="176" fontId="53" fillId="0" borderId="0" xfId="0" applyNumberFormat="1" applyFont="1" applyAlignment="1" applyProtection="1">
      <alignment horizontal="center" vertical="center" wrapText="1"/>
    </xf>
    <xf numFmtId="0" fontId="53" fillId="6" borderId="46" xfId="0" applyFont="1" applyFill="1" applyBorder="1" applyAlignment="1" applyProtection="1">
      <alignment horizontal="left" vertical="center"/>
    </xf>
    <xf numFmtId="0" fontId="53" fillId="6" borderId="36" xfId="0"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3" fillId="6" borderId="59"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179" fontId="53" fillId="6" borderId="5" xfId="0" applyNumberFormat="1" applyFont="1" applyFill="1" applyBorder="1" applyAlignment="1" applyProtection="1">
      <alignment horizontal="left" vertical="center"/>
    </xf>
    <xf numFmtId="0" fontId="54" fillId="6" borderId="54" xfId="0" applyFont="1" applyFill="1" applyBorder="1" applyAlignment="1" applyProtection="1">
      <alignment horizontal="center" vertical="center"/>
    </xf>
    <xf numFmtId="179" fontId="53" fillId="6" borderId="54" xfId="0" applyNumberFormat="1" applyFont="1" applyFill="1" applyBorder="1" applyAlignment="1" applyProtection="1">
      <alignment horizontal="center" vertical="center"/>
    </xf>
    <xf numFmtId="179" fontId="53" fillId="6" borderId="3" xfId="0" applyNumberFormat="1" applyFont="1" applyFill="1" applyBorder="1" applyAlignment="1" applyProtection="1">
      <alignment horizontal="center" vertical="center"/>
    </xf>
    <xf numFmtId="0" fontId="54" fillId="6" borderId="36" xfId="0" applyFont="1" applyFill="1" applyBorder="1" applyAlignment="1" applyProtection="1">
      <alignment horizontal="center" vertical="center"/>
    </xf>
    <xf numFmtId="0" fontId="53" fillId="0" borderId="0" xfId="0" applyFont="1" applyAlignment="1" applyProtection="1">
      <alignment horizontal="center" vertical="center"/>
    </xf>
    <xf numFmtId="179" fontId="53" fillId="6" borderId="0" xfId="0" applyNumberFormat="1" applyFont="1" applyFill="1" applyBorder="1" applyAlignment="1" applyProtection="1">
      <alignment horizontal="center" vertical="center"/>
    </xf>
    <xf numFmtId="0" fontId="53" fillId="2" borderId="4" xfId="0" applyFont="1" applyFill="1" applyBorder="1" applyAlignment="1" applyProtection="1">
      <alignment horizontal="left" vertical="center"/>
      <protection locked="0"/>
    </xf>
    <xf numFmtId="0" fontId="54" fillId="6" borderId="54" xfId="0" applyFont="1" applyFill="1" applyBorder="1" applyAlignment="1" applyProtection="1">
      <alignment horizontal="left" vertical="center"/>
    </xf>
    <xf numFmtId="0" fontId="53" fillId="6" borderId="7" xfId="0" applyFont="1" applyFill="1" applyBorder="1" applyAlignment="1" applyProtection="1">
      <alignment horizontal="left" vertical="center"/>
    </xf>
    <xf numFmtId="179" fontId="53" fillId="6" borderId="4" xfId="0" applyNumberFormat="1" applyFont="1" applyFill="1" applyBorder="1" applyAlignment="1" applyProtection="1">
      <alignment horizontal="center" vertical="center"/>
    </xf>
    <xf numFmtId="0" fontId="54" fillId="6" borderId="60" xfId="0" applyFont="1" applyFill="1" applyBorder="1" applyAlignment="1" applyProtection="1">
      <alignment horizontal="center" vertical="center"/>
    </xf>
    <xf numFmtId="179" fontId="53" fillId="6" borderId="7" xfId="0" applyNumberFormat="1" applyFont="1" applyFill="1" applyBorder="1" applyAlignment="1" applyProtection="1">
      <alignment horizontal="center" vertical="center"/>
    </xf>
    <xf numFmtId="0" fontId="53" fillId="2" borderId="5" xfId="0" applyFont="1" applyFill="1" applyBorder="1" applyAlignment="1" applyProtection="1">
      <alignment horizontal="left" vertical="center"/>
      <protection locked="0"/>
    </xf>
    <xf numFmtId="0" fontId="53" fillId="6" borderId="3" xfId="0" applyFont="1" applyFill="1" applyBorder="1" applyAlignment="1" applyProtection="1">
      <alignment horizontal="right" vertical="center"/>
    </xf>
    <xf numFmtId="179" fontId="53" fillId="6" borderId="35" xfId="0" applyNumberFormat="1"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2" borderId="54" xfId="0" applyFont="1" applyFill="1" applyBorder="1" applyAlignment="1" applyProtection="1">
      <alignment horizontal="left" vertical="center"/>
      <protection locked="0"/>
    </xf>
    <xf numFmtId="0" fontId="54" fillId="6" borderId="3" xfId="0" applyFont="1" applyFill="1" applyBorder="1" applyAlignment="1" applyProtection="1">
      <alignment horizontal="left" vertical="center"/>
    </xf>
    <xf numFmtId="0" fontId="123" fillId="6" borderId="5" xfId="0" applyFont="1" applyFill="1" applyBorder="1" applyAlignment="1" applyProtection="1">
      <alignment horizontal="left" vertical="center"/>
    </xf>
    <xf numFmtId="0" fontId="245" fillId="6" borderId="3" xfId="0" applyFont="1" applyFill="1" applyBorder="1" applyAlignment="1" applyProtection="1">
      <alignment horizontal="right" vertical="center"/>
    </xf>
    <xf numFmtId="0" fontId="53" fillId="6" borderId="61" xfId="0" applyFont="1" applyFill="1" applyBorder="1" applyAlignment="1" applyProtection="1">
      <alignment horizontal="center" vertical="center"/>
    </xf>
    <xf numFmtId="0" fontId="53" fillId="6" borderId="4" xfId="0" applyFont="1" applyFill="1" applyBorder="1" applyAlignment="1" applyProtection="1">
      <alignment horizontal="center" vertical="center" wrapText="1"/>
    </xf>
    <xf numFmtId="179" fontId="53" fillId="6" borderId="7" xfId="0" applyNumberFormat="1" applyFont="1" applyFill="1" applyBorder="1" applyAlignment="1" applyProtection="1">
      <alignment horizontal="center" vertical="center" wrapText="1"/>
    </xf>
    <xf numFmtId="179" fontId="53" fillId="6" borderId="2" xfId="0" applyNumberFormat="1" applyFont="1" applyFill="1" applyBorder="1" applyAlignment="1" applyProtection="1">
      <alignment horizontal="center" vertical="center" wrapText="1"/>
    </xf>
    <xf numFmtId="179" fontId="53" fillId="6" borderId="4" xfId="0" applyNumberFormat="1"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79" fontId="53" fillId="6" borderId="1"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wrapText="1"/>
      <protection locked="0"/>
    </xf>
    <xf numFmtId="176" fontId="53" fillId="0" borderId="1" xfId="0" applyNumberFormat="1" applyFont="1" applyBorder="1" applyAlignment="1" applyProtection="1">
      <alignment vertical="center" wrapText="1"/>
      <protection locked="0"/>
    </xf>
    <xf numFmtId="176" fontId="53" fillId="0" borderId="1" xfId="0" applyNumberFormat="1" applyFont="1" applyBorder="1" applyAlignment="1" applyProtection="1">
      <alignment horizontal="center" vertical="center" wrapText="1"/>
      <protection locked="0"/>
    </xf>
    <xf numFmtId="176" fontId="53" fillId="0" borderId="2" xfId="0" applyNumberFormat="1"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xf>
    <xf numFmtId="176" fontId="50" fillId="0" borderId="0"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wrapText="1"/>
    </xf>
    <xf numFmtId="0" fontId="55" fillId="0" borderId="0" xfId="0" applyFont="1" applyAlignment="1" applyProtection="1">
      <alignment horizontal="center" vertical="center" wrapText="1"/>
    </xf>
    <xf numFmtId="0" fontId="55" fillId="0" borderId="0" xfId="0" applyFont="1" applyAlignment="1" applyProtection="1">
      <alignment horizontal="center" vertical="center"/>
    </xf>
    <xf numFmtId="0" fontId="112" fillId="6" borderId="0" xfId="0" applyFont="1" applyFill="1" applyProtection="1">
      <alignment vertical="center"/>
    </xf>
    <xf numFmtId="0" fontId="50" fillId="0" borderId="0" xfId="0" applyFont="1" applyProtection="1">
      <alignment vertical="center"/>
      <protection locked="0"/>
    </xf>
    <xf numFmtId="176" fontId="56" fillId="6" borderId="1" xfId="1" applyNumberFormat="1" applyFont="1" applyFill="1" applyBorder="1" applyAlignment="1" applyProtection="1">
      <alignment horizontal="center" vertical="center"/>
    </xf>
    <xf numFmtId="0" fontId="50" fillId="6" borderId="5" xfId="0" applyFont="1" applyFill="1" applyBorder="1" applyProtection="1">
      <alignment vertical="center"/>
    </xf>
    <xf numFmtId="0" fontId="50" fillId="6" borderId="54" xfId="0" applyFont="1" applyFill="1" applyBorder="1" applyProtection="1">
      <alignment vertical="center"/>
    </xf>
    <xf numFmtId="0" fontId="52" fillId="6" borderId="3"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176" fontId="56" fillId="6" borderId="10" xfId="1" applyNumberFormat="1" applyFont="1" applyFill="1" applyBorder="1" applyAlignment="1" applyProtection="1">
      <alignment horizontal="center" vertical="center"/>
    </xf>
    <xf numFmtId="0" fontId="50" fillId="6" borderId="2" xfId="0" applyFont="1" applyFill="1" applyBorder="1" applyProtection="1">
      <alignment vertical="center"/>
    </xf>
    <xf numFmtId="0" fontId="50" fillId="6" borderId="12" xfId="0" applyFont="1" applyFill="1" applyBorder="1" applyAlignment="1" applyProtection="1">
      <alignment vertical="center"/>
    </xf>
    <xf numFmtId="0" fontId="50" fillId="6" borderId="15" xfId="0" applyFont="1" applyFill="1" applyBorder="1" applyProtection="1">
      <alignment vertical="center"/>
    </xf>
    <xf numFmtId="176" fontId="52" fillId="6" borderId="10" xfId="1" applyNumberFormat="1" applyFont="1" applyFill="1" applyBorder="1" applyAlignment="1" applyProtection="1">
      <alignment horizontal="center" vertical="center"/>
    </xf>
    <xf numFmtId="0" fontId="50" fillId="6" borderId="0" xfId="0" applyFont="1" applyFill="1" applyBorder="1" applyProtection="1">
      <alignment vertical="center"/>
      <protection locked="0"/>
    </xf>
    <xf numFmtId="0" fontId="50" fillId="6" borderId="14" xfId="0" applyFont="1" applyFill="1" applyBorder="1" applyAlignment="1" applyProtection="1">
      <alignment vertical="center"/>
    </xf>
    <xf numFmtId="0" fontId="50" fillId="6" borderId="15" xfId="0" applyFont="1" applyFill="1" applyBorder="1" applyAlignment="1" applyProtection="1">
      <alignment vertical="center"/>
    </xf>
    <xf numFmtId="0" fontId="52" fillId="6" borderId="51" xfId="0" applyFont="1" applyFill="1" applyBorder="1" applyProtection="1">
      <alignment vertical="center"/>
    </xf>
    <xf numFmtId="0" fontId="50" fillId="6" borderId="21" xfId="0" applyFont="1" applyFill="1" applyBorder="1" applyProtection="1">
      <alignment vertical="center"/>
    </xf>
    <xf numFmtId="0" fontId="50" fillId="6" borderId="16" xfId="0" applyFont="1" applyFill="1" applyBorder="1" applyAlignment="1" applyProtection="1">
      <alignment vertical="center"/>
    </xf>
    <xf numFmtId="0" fontId="50" fillId="6" borderId="17" xfId="0" applyFont="1" applyFill="1" applyBorder="1" applyProtection="1">
      <alignment vertical="center"/>
    </xf>
    <xf numFmtId="0" fontId="50" fillId="6" borderId="19" xfId="0" applyFont="1" applyFill="1" applyBorder="1" applyAlignment="1" applyProtection="1">
      <alignment vertical="center"/>
    </xf>
    <xf numFmtId="0" fontId="52" fillId="6" borderId="17" xfId="0" applyFont="1" applyFill="1" applyBorder="1" applyAlignment="1" applyProtection="1">
      <alignment horizontal="center" vertical="center"/>
    </xf>
    <xf numFmtId="176" fontId="56" fillId="6" borderId="29" xfId="1" applyNumberFormat="1" applyFont="1" applyFill="1" applyBorder="1" applyAlignment="1" applyProtection="1">
      <alignment horizontal="center" vertical="center"/>
    </xf>
    <xf numFmtId="176" fontId="56" fillId="6" borderId="20" xfId="1" applyNumberFormat="1" applyFont="1" applyFill="1" applyBorder="1" applyAlignment="1" applyProtection="1">
      <alignment horizontal="center" vertical="center"/>
    </xf>
    <xf numFmtId="176" fontId="56" fillId="6" borderId="21" xfId="1" applyNumberFormat="1" applyFont="1" applyFill="1" applyBorder="1" applyAlignment="1" applyProtection="1">
      <alignment horizontal="center" vertical="center"/>
    </xf>
    <xf numFmtId="0" fontId="52" fillId="6" borderId="55" xfId="0" applyFont="1" applyFill="1" applyBorder="1" applyAlignment="1" applyProtection="1">
      <alignment horizontal="right" vertical="center"/>
    </xf>
    <xf numFmtId="179" fontId="52" fillId="2" borderId="24" xfId="0" applyNumberFormat="1" applyFont="1" applyFill="1" applyBorder="1" applyAlignment="1" applyProtection="1">
      <alignment horizontal="center" vertical="center"/>
      <protection locked="0"/>
    </xf>
    <xf numFmtId="0" fontId="50" fillId="6" borderId="2" xfId="0" applyFont="1" applyFill="1" applyBorder="1" applyAlignment="1" applyProtection="1">
      <alignment vertical="center"/>
    </xf>
    <xf numFmtId="0" fontId="50" fillId="6" borderId="0" xfId="0" applyFont="1" applyFill="1" applyBorder="1" applyAlignment="1" applyProtection="1">
      <alignment vertical="center"/>
    </xf>
    <xf numFmtId="0" fontId="52" fillId="6" borderId="2" xfId="0" applyFont="1" applyFill="1" applyBorder="1" applyAlignment="1" applyProtection="1">
      <alignment horizontal="center" vertical="center"/>
    </xf>
    <xf numFmtId="176" fontId="57" fillId="6" borderId="2" xfId="1"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179"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0" fillId="6" borderId="18" xfId="0" applyFont="1" applyFill="1" applyBorder="1" applyProtection="1">
      <alignment vertical="center"/>
    </xf>
    <xf numFmtId="177" fontId="53" fillId="0" borderId="1" xfId="1" applyNumberFormat="1" applyFont="1" applyFill="1" applyBorder="1" applyAlignment="1" applyProtection="1">
      <alignment vertical="center"/>
      <protection locked="0" hidden="1"/>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6" borderId="18" xfId="0" applyFont="1" applyFill="1" applyBorder="1" applyAlignment="1" applyProtection="1">
      <alignment vertical="center"/>
    </xf>
    <xf numFmtId="0" fontId="50" fillId="0" borderId="11" xfId="0" applyFont="1" applyBorder="1" applyProtection="1">
      <alignment vertical="center"/>
      <protection locked="0"/>
    </xf>
    <xf numFmtId="0" fontId="50" fillId="0" borderId="13" xfId="0" applyFont="1" applyBorder="1" applyProtection="1">
      <alignment vertical="center"/>
      <protection locked="0"/>
    </xf>
    <xf numFmtId="0" fontId="52" fillId="6" borderId="3"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0" fillId="6" borderId="42" xfId="0" applyFont="1" applyFill="1" applyBorder="1" applyAlignment="1" applyProtection="1">
      <alignment vertical="center"/>
    </xf>
    <xf numFmtId="0" fontId="50" fillId="6" borderId="33" xfId="0" applyFont="1" applyFill="1" applyBorder="1" applyProtection="1">
      <alignment vertical="center"/>
    </xf>
    <xf numFmtId="176" fontId="50" fillId="0" borderId="0" xfId="0" applyNumberFormat="1" applyFont="1" applyProtection="1">
      <alignment vertical="center"/>
      <protection locked="0"/>
    </xf>
    <xf numFmtId="0" fontId="112" fillId="6" borderId="0" xfId="0" applyFont="1" applyFill="1" applyAlignment="1" applyProtection="1">
      <alignment vertical="center" wrapText="1"/>
    </xf>
    <xf numFmtId="179" fontId="53" fillId="6" borderId="0" xfId="0" applyNumberFormat="1" applyFont="1" applyFill="1" applyAlignment="1" applyProtection="1">
      <alignment vertical="center"/>
      <protection locked="0"/>
    </xf>
    <xf numFmtId="0" fontId="53" fillId="0" borderId="0" xfId="0" applyFont="1" applyAlignment="1" applyProtection="1">
      <alignment vertical="center"/>
      <protection locked="0"/>
    </xf>
    <xf numFmtId="0" fontId="53" fillId="0" borderId="0" xfId="0" applyFont="1" applyAlignment="1" applyProtection="1">
      <alignment vertical="center"/>
    </xf>
    <xf numFmtId="0" fontId="52" fillId="6" borderId="26" xfId="0" applyFont="1" applyFill="1" applyBorder="1" applyAlignment="1" applyProtection="1">
      <alignment vertical="center" wrapText="1"/>
    </xf>
    <xf numFmtId="0" fontId="50" fillId="6" borderId="0" xfId="0" applyFont="1" applyFill="1" applyAlignment="1" applyProtection="1">
      <alignment vertical="center"/>
      <protection locked="0"/>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6" borderId="0" xfId="0" applyFont="1" applyFill="1" applyAlignment="1" applyProtection="1">
      <alignment vertical="center"/>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79"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0" fontId="57" fillId="6" borderId="6" xfId="1" applyNumberFormat="1" applyFont="1" applyFill="1" applyBorder="1" applyAlignment="1" applyProtection="1">
      <alignment horizontal="center" vertical="center" wrapText="1"/>
    </xf>
    <xf numFmtId="179" fontId="50" fillId="6" borderId="9" xfId="0" applyNumberFormat="1" applyFont="1" applyFill="1" applyBorder="1" applyAlignment="1" applyProtection="1">
      <alignment horizontal="center" vertical="center" wrapText="1"/>
    </xf>
    <xf numFmtId="0" fontId="107" fillId="6" borderId="10" xfId="0" applyFont="1" applyFill="1" applyBorder="1" applyAlignment="1" applyProtection="1">
      <alignment horizontal="center" vertical="center" wrapText="1"/>
    </xf>
    <xf numFmtId="177"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79"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1" applyFont="1" applyFill="1" applyBorder="1" applyAlignment="1" applyProtection="1">
      <alignment horizontal="center" vertical="center" wrapText="1"/>
    </xf>
    <xf numFmtId="177" fontId="53" fillId="6" borderId="23" xfId="1" applyNumberFormat="1" applyFont="1" applyFill="1" applyBorder="1" applyAlignment="1" applyProtection="1">
      <alignment horizontal="left" vertical="center"/>
    </xf>
    <xf numFmtId="177" fontId="50" fillId="6" borderId="1" xfId="1" applyNumberFormat="1" applyFont="1" applyFill="1" applyBorder="1" applyAlignment="1" applyProtection="1">
      <alignment vertical="center"/>
    </xf>
    <xf numFmtId="177" fontId="50" fillId="2" borderId="5" xfId="1" applyNumberFormat="1" applyFont="1" applyFill="1" applyBorder="1" applyAlignment="1" applyProtection="1">
      <alignment vertical="center"/>
      <protection locked="0"/>
    </xf>
    <xf numFmtId="0" fontId="107"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177" fontId="50" fillId="6" borderId="23" xfId="1" applyNumberFormat="1" applyFont="1" applyFill="1" applyBorder="1" applyAlignment="1" applyProtection="1">
      <alignment horizontal="left" vertical="center" wrapText="1"/>
      <protection locked="0"/>
    </xf>
    <xf numFmtId="177" fontId="50" fillId="6" borderId="5" xfId="1" applyNumberFormat="1" applyFont="1" applyFill="1" applyBorder="1" applyAlignment="1" applyProtection="1">
      <alignment vertical="center"/>
    </xf>
    <xf numFmtId="0" fontId="52" fillId="6" borderId="25" xfId="1" applyFont="1" applyFill="1" applyBorder="1" applyAlignment="1" applyProtection="1">
      <alignment vertical="center" wrapText="1"/>
    </xf>
    <xf numFmtId="0" fontId="52" fillId="6" borderId="25" xfId="1" applyFont="1" applyFill="1" applyBorder="1" applyAlignment="1" applyProtection="1">
      <alignment vertical="center"/>
    </xf>
    <xf numFmtId="0" fontId="58" fillId="6" borderId="0" xfId="0" applyFont="1" applyFill="1" applyAlignment="1" applyProtection="1">
      <alignment vertical="center" wrapText="1"/>
    </xf>
    <xf numFmtId="176" fontId="57" fillId="6" borderId="6" xfId="1" applyNumberFormat="1" applyFont="1" applyFill="1" applyBorder="1" applyAlignment="1" applyProtection="1">
      <alignment vertical="center" wrapText="1"/>
    </xf>
    <xf numFmtId="176" fontId="57" fillId="6" borderId="23" xfId="1" applyNumberFormat="1" applyFont="1" applyFill="1" applyBorder="1" applyAlignment="1" applyProtection="1">
      <alignment vertical="center" wrapText="1"/>
    </xf>
    <xf numFmtId="176" fontId="50" fillId="6" borderId="23" xfId="1" applyNumberFormat="1" applyFont="1" applyFill="1" applyBorder="1" applyAlignment="1" applyProtection="1">
      <alignment vertical="center" wrapText="1"/>
    </xf>
    <xf numFmtId="176" fontId="57" fillId="6" borderId="25" xfId="1" applyNumberFormat="1" applyFont="1" applyFill="1" applyBorder="1" applyAlignment="1" applyProtection="1">
      <alignment vertical="center" wrapText="1"/>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179" fontId="50" fillId="6" borderId="0" xfId="0" applyNumberFormat="1" applyFont="1" applyFill="1" applyAlignment="1" applyProtection="1">
      <alignment horizontal="center" vertical="center"/>
      <protection locked="0"/>
    </xf>
    <xf numFmtId="0" fontId="53" fillId="0" borderId="0" xfId="0" applyFont="1" applyFill="1" applyAlignment="1" applyProtection="1">
      <alignment vertical="center"/>
    </xf>
    <xf numFmtId="0" fontId="50" fillId="6" borderId="23" xfId="0" applyFont="1" applyFill="1" applyBorder="1" applyAlignment="1" applyProtection="1">
      <alignment vertical="center" wrapText="1"/>
    </xf>
    <xf numFmtId="0" fontId="107" fillId="6" borderId="0" xfId="0"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11" xfId="0" applyFont="1" applyFill="1" applyBorder="1" applyAlignment="1" applyProtection="1">
      <alignment vertical="center" wrapText="1"/>
    </xf>
    <xf numFmtId="0" fontId="50" fillId="6" borderId="11" xfId="0" applyFont="1" applyFill="1" applyBorder="1" applyAlignment="1" applyProtection="1">
      <alignment horizontal="left" vertical="center" wrapText="1"/>
    </xf>
    <xf numFmtId="181" fontId="107" fillId="6" borderId="0" xfId="0" applyNumberFormat="1" applyFont="1" applyFill="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25" xfId="0" applyFont="1" applyFill="1" applyBorder="1" applyAlignment="1" applyProtection="1">
      <alignment horizontal="right" vertical="center" wrapText="1"/>
    </xf>
    <xf numFmtId="0" fontId="50" fillId="6" borderId="14" xfId="0" applyFont="1" applyFill="1" applyBorder="1" applyAlignment="1" applyProtection="1">
      <alignment vertical="center" wrapText="1"/>
    </xf>
    <xf numFmtId="0" fontId="50" fillId="6" borderId="40" xfId="0" applyFont="1" applyFill="1" applyBorder="1" applyAlignment="1" applyProtection="1">
      <alignment vertical="center" wrapText="1"/>
    </xf>
    <xf numFmtId="0" fontId="50" fillId="2" borderId="24" xfId="0" applyFont="1" applyFill="1" applyBorder="1" applyAlignment="1" applyProtection="1">
      <alignment horizontal="center" vertical="center"/>
      <protection locked="0"/>
    </xf>
    <xf numFmtId="0" fontId="55"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3" fillId="7" borderId="0" xfId="0" applyFont="1" applyFill="1" applyAlignment="1" applyProtection="1">
      <alignment vertical="center" wrapText="1"/>
      <protection locked="0"/>
    </xf>
    <xf numFmtId="179" fontId="53" fillId="7"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53" fillId="0" borderId="0" xfId="0" applyFont="1" applyAlignment="1" applyProtection="1">
      <alignment vertical="center" wrapText="1"/>
    </xf>
    <xf numFmtId="179" fontId="53" fillId="0" borderId="0" xfId="0" applyNumberFormat="1" applyFont="1" applyAlignment="1" applyProtection="1">
      <alignment vertical="center"/>
    </xf>
    <xf numFmtId="0" fontId="129" fillId="0" borderId="5" xfId="5" applyFont="1" applyBorder="1" applyAlignment="1">
      <alignment horizontal="right" vertical="center"/>
    </xf>
    <xf numFmtId="192" fontId="129" fillId="0" borderId="5" xfId="5" applyNumberFormat="1" applyFont="1" applyFill="1" applyBorder="1" applyAlignment="1">
      <alignment horizontal="right" vertical="center"/>
    </xf>
    <xf numFmtId="0" fontId="129" fillId="0" borderId="5" xfId="5" applyFont="1" applyFill="1" applyBorder="1" applyAlignment="1">
      <alignment horizontal="left" vertical="center"/>
    </xf>
    <xf numFmtId="0" fontId="129" fillId="0" borderId="154" xfId="5" applyFont="1" applyBorder="1" applyAlignment="1">
      <alignment vertical="center"/>
    </xf>
    <xf numFmtId="0" fontId="129" fillId="0" borderId="154" xfId="5" applyFont="1" applyFill="1" applyBorder="1">
      <alignment vertical="center"/>
    </xf>
    <xf numFmtId="0" fontId="129" fillId="0" borderId="154" xfId="5" applyFont="1" applyFill="1" applyBorder="1" applyAlignment="1">
      <alignment horizontal="left" vertical="center"/>
    </xf>
    <xf numFmtId="184" fontId="129" fillId="0" borderId="5" xfId="5" applyNumberFormat="1" applyFont="1" applyFill="1" applyBorder="1" applyAlignment="1">
      <alignment horizontal="right" vertical="center"/>
    </xf>
    <xf numFmtId="14" fontId="131" fillId="0" borderId="5" xfId="5" applyNumberFormat="1" applyFont="1" applyBorder="1">
      <alignment vertical="center"/>
    </xf>
    <xf numFmtId="0" fontId="129" fillId="0" borderId="154" xfId="5" applyFont="1" applyFill="1" applyBorder="1" applyAlignment="1">
      <alignment horizontal="right" vertical="center"/>
    </xf>
    <xf numFmtId="0" fontId="131" fillId="0" borderId="154" xfId="5" applyFont="1" applyBorder="1">
      <alignment vertical="center"/>
    </xf>
    <xf numFmtId="0" fontId="225" fillId="7" borderId="102" xfId="0" applyFont="1" applyFill="1" applyBorder="1" applyAlignment="1" applyProtection="1">
      <alignment horizontal="center" vertical="center" wrapText="1"/>
      <protection locked="0"/>
    </xf>
    <xf numFmtId="0" fontId="225" fillId="7" borderId="102" xfId="0" applyNumberFormat="1" applyFont="1" applyFill="1" applyBorder="1" applyAlignment="1" applyProtection="1">
      <alignment horizontal="center" vertical="center" wrapText="1"/>
      <protection locked="0"/>
    </xf>
    <xf numFmtId="0" fontId="225" fillId="7" borderId="103" xfId="0" applyFont="1" applyFill="1" applyBorder="1" applyAlignment="1" applyProtection="1">
      <alignment horizontal="center" vertical="center" wrapText="1"/>
      <protection locked="0"/>
    </xf>
    <xf numFmtId="0" fontId="247" fillId="7" borderId="0" xfId="0" applyNumberFormat="1" applyFont="1" applyFill="1" applyAlignment="1" applyProtection="1">
      <alignment horizontal="center" vertical="center"/>
      <protection locked="0"/>
    </xf>
    <xf numFmtId="0" fontId="247" fillId="7" borderId="0" xfId="0" applyFont="1" applyFill="1" applyAlignment="1" applyProtection="1">
      <alignment horizontal="center" vertical="center"/>
      <protection locked="0"/>
    </xf>
    <xf numFmtId="0" fontId="247" fillId="0" borderId="0" xfId="0" applyFont="1" applyAlignment="1" applyProtection="1">
      <alignment horizontal="center" vertical="center"/>
      <protection locked="0"/>
    </xf>
    <xf numFmtId="0" fontId="52" fillId="6" borderId="63" xfId="0" applyFont="1" applyFill="1" applyBorder="1" applyAlignment="1" applyProtection="1">
      <alignment horizontal="center" vertical="center" wrapText="1"/>
    </xf>
    <xf numFmtId="0" fontId="52" fillId="6" borderId="34" xfId="0" applyFont="1" applyFill="1" applyBorder="1" applyAlignment="1" applyProtection="1">
      <alignment horizontal="right" vertical="center" wrapText="1"/>
    </xf>
    <xf numFmtId="0" fontId="52" fillId="6" borderId="6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xf>
    <xf numFmtId="0" fontId="52" fillId="6" borderId="63" xfId="0" applyFont="1" applyFill="1" applyBorder="1" applyAlignment="1" applyProtection="1">
      <alignment horizontal="right" vertical="center" wrapText="1"/>
    </xf>
    <xf numFmtId="0" fontId="50" fillId="7" borderId="0" xfId="0" applyFont="1" applyFill="1" applyAlignment="1" applyProtection="1">
      <alignment horizontal="center" vertical="center"/>
      <protection locked="0"/>
    </xf>
    <xf numFmtId="0" fontId="50" fillId="0" borderId="0" xfId="0" applyFont="1" applyAlignment="1" applyProtection="1">
      <alignment horizontal="center" vertical="center"/>
      <protection locked="0"/>
    </xf>
    <xf numFmtId="49" fontId="181" fillId="0" borderId="10" xfId="0" applyNumberFormat="1"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0" fontId="50" fillId="6" borderId="7" xfId="0" applyFont="1" applyFill="1" applyBorder="1" applyAlignment="1" applyProtection="1">
      <alignment horizontal="center" vertical="center" wrapText="1"/>
    </xf>
    <xf numFmtId="0" fontId="181" fillId="0" borderId="8" xfId="0" applyNumberFormat="1" applyFont="1" applyFill="1" applyBorder="1" applyAlignment="1" applyProtection="1">
      <alignment horizontal="center" vertical="center" wrapText="1"/>
      <protection locked="0"/>
    </xf>
    <xf numFmtId="49" fontId="181" fillId="0" borderId="24" xfId="0" applyNumberFormat="1" applyFont="1" applyFill="1" applyBorder="1" applyAlignment="1" applyProtection="1">
      <alignment horizontal="center" vertical="center" wrapText="1"/>
      <protection locked="0"/>
    </xf>
    <xf numFmtId="49" fontId="50" fillId="6" borderId="14" xfId="0" applyNumberFormat="1" applyFont="1" applyFill="1" applyBorder="1" applyAlignment="1" applyProtection="1">
      <alignment horizontal="center" vertical="center" wrapText="1"/>
    </xf>
    <xf numFmtId="0" fontId="181" fillId="0" borderId="24" xfId="0" applyFont="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49" fontId="50" fillId="6" borderId="12" xfId="0" applyNumberFormat="1" applyFont="1" applyFill="1" applyBorder="1" applyAlignment="1" applyProtection="1">
      <alignment horizontal="center" vertical="center" wrapText="1"/>
    </xf>
    <xf numFmtId="0" fontId="50" fillId="6" borderId="66" xfId="0" applyFont="1" applyFill="1" applyBorder="1" applyAlignment="1" applyProtection="1">
      <alignment horizontal="center" vertical="center" wrapText="1"/>
    </xf>
    <xf numFmtId="0" fontId="181" fillId="0" borderId="49"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wrapText="1"/>
    </xf>
    <xf numFmtId="0" fontId="50" fillId="6" borderId="32" xfId="0" applyFont="1" applyFill="1" applyBorder="1" applyAlignment="1" applyProtection="1">
      <alignment horizontal="center" vertical="center" wrapText="1"/>
    </xf>
    <xf numFmtId="0" fontId="181" fillId="0" borderId="49" xfId="0" applyFont="1" applyBorder="1" applyAlignment="1" applyProtection="1">
      <alignment horizontal="center" vertical="center"/>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49" fontId="50" fillId="7"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xf>
    <xf numFmtId="0" fontId="225" fillId="7" borderId="0" xfId="0" applyFont="1" applyFill="1" applyBorder="1" applyAlignment="1" applyProtection="1">
      <alignment horizontal="center" vertical="center" wrapText="1"/>
      <protection locked="0"/>
    </xf>
    <xf numFmtId="0" fontId="225" fillId="7" borderId="0" xfId="0" applyNumberFormat="1" applyFont="1" applyFill="1" applyBorder="1" applyAlignment="1" applyProtection="1">
      <alignment horizontal="center" vertical="center" wrapText="1"/>
      <protection locked="0"/>
    </xf>
    <xf numFmtId="0" fontId="225" fillId="7" borderId="35" xfId="0" applyNumberFormat="1" applyFont="1" applyFill="1" applyBorder="1" applyAlignment="1" applyProtection="1">
      <alignment horizontal="center" vertical="center" wrapText="1"/>
      <protection locked="0"/>
    </xf>
    <xf numFmtId="0" fontId="247" fillId="7" borderId="0" xfId="0" applyFont="1" applyFill="1" applyAlignment="1" applyProtection="1">
      <alignment horizontal="center" vertical="center" wrapText="1"/>
      <protection locked="0"/>
    </xf>
    <xf numFmtId="0" fontId="247" fillId="7" borderId="0" xfId="0" applyNumberFormat="1" applyFont="1" applyFill="1" applyAlignment="1" applyProtection="1">
      <alignment horizontal="center" vertical="center" wrapText="1"/>
      <protection locked="0"/>
    </xf>
    <xf numFmtId="0" fontId="49" fillId="6" borderId="10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protection locked="0"/>
    </xf>
    <xf numFmtId="0" fontId="50" fillId="7" borderId="0" xfId="0"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protection locked="0"/>
    </xf>
    <xf numFmtId="0" fontId="52" fillId="6" borderId="16" xfId="0" applyFont="1" applyFill="1" applyBorder="1" applyAlignment="1" applyProtection="1">
      <alignment horizontal="center" vertical="center" wrapText="1"/>
    </xf>
    <xf numFmtId="0" fontId="52" fillId="6" borderId="16" xfId="0" applyFont="1" applyFill="1" applyBorder="1" applyAlignment="1" applyProtection="1">
      <alignment horizontal="right" vertical="center" wrapText="1"/>
    </xf>
    <xf numFmtId="0" fontId="52" fillId="6" borderId="31" xfId="0" applyFont="1" applyFill="1" applyBorder="1" applyAlignment="1" applyProtection="1">
      <alignment horizontal="center" vertical="center" wrapText="1"/>
    </xf>
    <xf numFmtId="0" fontId="52" fillId="6" borderId="82" xfId="0" applyFont="1" applyFill="1" applyBorder="1" applyAlignment="1" applyProtection="1">
      <alignment horizontal="right" vertical="center" wrapText="1"/>
    </xf>
    <xf numFmtId="49" fontId="50" fillId="6" borderId="62" xfId="0" applyNumberFormat="1" applyFont="1" applyFill="1" applyBorder="1" applyAlignment="1" applyProtection="1">
      <alignment horizontal="center" vertical="center" wrapText="1"/>
    </xf>
    <xf numFmtId="49" fontId="52" fillId="6" borderId="27" xfId="0" applyNumberFormat="1" applyFont="1" applyFill="1" applyBorder="1" applyAlignment="1" applyProtection="1">
      <alignment vertical="center" wrapText="1"/>
    </xf>
    <xf numFmtId="0" fontId="50" fillId="6" borderId="41" xfId="0" applyFont="1" applyFill="1" applyBorder="1" applyAlignment="1" applyProtection="1">
      <alignment horizontal="center" vertical="center" wrapText="1"/>
    </xf>
    <xf numFmtId="49" fontId="50" fillId="6" borderId="24" xfId="0" applyNumberFormat="1" applyFont="1" applyFill="1" applyBorder="1" applyAlignment="1" applyProtection="1">
      <alignment horizontal="center" vertical="center" wrapText="1"/>
    </xf>
    <xf numFmtId="49" fontId="52" fillId="6" borderId="80" xfId="0" applyNumberFormat="1" applyFont="1" applyFill="1" applyBorder="1" applyAlignment="1" applyProtection="1">
      <alignment vertical="center" wrapText="1"/>
    </xf>
    <xf numFmtId="0" fontId="50" fillId="6" borderId="23" xfId="0" applyFont="1" applyFill="1" applyBorder="1" applyAlignment="1" applyProtection="1">
      <alignment horizontal="center" vertical="center" wrapText="1"/>
    </xf>
    <xf numFmtId="0" fontId="50" fillId="5" borderId="24" xfId="0" applyNumberFormat="1" applyFont="1" applyFill="1" applyBorder="1" applyAlignment="1" applyProtection="1">
      <alignment horizontal="center" vertical="center" wrapText="1"/>
      <protection locked="0"/>
    </xf>
    <xf numFmtId="49" fontId="52" fillId="6" borderId="81" xfId="0" applyNumberFormat="1" applyFont="1" applyFill="1" applyBorder="1" applyAlignment="1" applyProtection="1">
      <alignment vertical="center" wrapText="1"/>
    </xf>
    <xf numFmtId="0" fontId="50" fillId="6" borderId="25" xfId="0" applyFont="1" applyFill="1" applyBorder="1" applyAlignment="1" applyProtection="1">
      <alignment horizontal="center" vertical="center" wrapText="1"/>
    </xf>
    <xf numFmtId="0" fontId="50" fillId="0" borderId="49" xfId="0" applyNumberFormat="1" applyFont="1" applyFill="1" applyBorder="1" applyAlignment="1" applyProtection="1">
      <alignment horizontal="center" vertical="center" wrapText="1"/>
      <protection locked="0"/>
    </xf>
    <xf numFmtId="0" fontId="52"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NumberFormat="1" applyFont="1" applyFill="1" applyAlignment="1" applyProtection="1">
      <alignment horizontal="center" vertical="center" wrapText="1"/>
      <protection locked="0"/>
    </xf>
    <xf numFmtId="0" fontId="53" fillId="6" borderId="0" xfId="0" applyFont="1" applyFill="1" applyProtection="1">
      <alignment vertical="center"/>
    </xf>
    <xf numFmtId="0" fontId="53" fillId="5" borderId="0" xfId="0" applyFont="1" applyFill="1" applyProtection="1">
      <alignment vertical="center"/>
      <protection locked="0"/>
    </xf>
    <xf numFmtId="0" fontId="67" fillId="6" borderId="13" xfId="0" applyFont="1" applyFill="1" applyBorder="1" applyProtection="1">
      <alignment vertical="center"/>
    </xf>
    <xf numFmtId="0" fontId="67" fillId="6" borderId="13" xfId="0" applyNumberFormat="1" applyFont="1" applyFill="1" applyBorder="1" applyProtection="1">
      <alignment vertical="center"/>
    </xf>
    <xf numFmtId="0" fontId="67" fillId="5" borderId="13" xfId="0" applyFont="1" applyFill="1" applyBorder="1" applyAlignment="1" applyProtection="1">
      <alignment horizontal="center" vertical="center"/>
      <protection locked="0"/>
    </xf>
    <xf numFmtId="0" fontId="53" fillId="7" borderId="0" xfId="0" applyFont="1" applyFill="1" applyProtection="1">
      <alignment vertical="center"/>
    </xf>
    <xf numFmtId="0" fontId="53" fillId="0" borderId="0" xfId="0" applyFont="1" applyProtection="1">
      <alignment vertical="center"/>
    </xf>
    <xf numFmtId="0" fontId="50" fillId="6" borderId="13" xfId="0" applyFont="1" applyFill="1" applyBorder="1" applyAlignment="1" applyProtection="1">
      <alignment vertical="center" wrapText="1"/>
    </xf>
    <xf numFmtId="0" fontId="50" fillId="6" borderId="13" xfId="0" applyFont="1" applyFill="1" applyBorder="1" applyAlignment="1" applyProtection="1">
      <alignment horizontal="center" vertical="center" wrapText="1"/>
    </xf>
    <xf numFmtId="0" fontId="107" fillId="2" borderId="13" xfId="0" applyFont="1" applyFill="1" applyBorder="1" applyAlignment="1" applyProtection="1">
      <alignment horizontal="center" vertical="center"/>
      <protection locked="0"/>
    </xf>
    <xf numFmtId="0" fontId="53" fillId="7" borderId="1" xfId="0" applyFont="1" applyFill="1" applyBorder="1" applyProtection="1">
      <alignment vertical="center"/>
    </xf>
    <xf numFmtId="0" fontId="53" fillId="6" borderId="54" xfId="0" applyFont="1" applyFill="1" applyBorder="1" applyAlignment="1" applyProtection="1">
      <alignment vertical="center" wrapText="1"/>
    </xf>
    <xf numFmtId="0" fontId="52" fillId="6" borderId="5" xfId="0" applyFont="1" applyFill="1" applyBorder="1" applyAlignment="1" applyProtection="1">
      <alignment horizontal="right" vertical="center"/>
    </xf>
    <xf numFmtId="0" fontId="53" fillId="7" borderId="1" xfId="0" applyFont="1" applyFill="1" applyBorder="1" applyAlignment="1" applyProtection="1">
      <alignment horizontal="right" vertical="center"/>
    </xf>
    <xf numFmtId="0" fontId="52" fillId="6" borderId="58" xfId="0" applyFont="1" applyFill="1" applyBorder="1" applyAlignment="1" applyProtection="1">
      <alignment horizontal="right" vertical="center"/>
    </xf>
    <xf numFmtId="0" fontId="50" fillId="6" borderId="0" xfId="0" applyFont="1" applyFill="1" applyProtection="1">
      <alignment vertical="center"/>
    </xf>
    <xf numFmtId="0" fontId="52" fillId="6" borderId="16" xfId="0" applyFont="1" applyFill="1" applyBorder="1" applyAlignment="1" applyProtection="1">
      <alignment vertical="center"/>
    </xf>
    <xf numFmtId="0" fontId="50" fillId="6" borderId="9" xfId="0" applyFont="1" applyFill="1" applyBorder="1" applyAlignment="1" applyProtection="1">
      <alignment vertical="center"/>
    </xf>
    <xf numFmtId="0" fontId="53" fillId="6" borderId="21" xfId="0" applyFont="1" applyFill="1" applyBorder="1" applyAlignment="1" applyProtection="1">
      <alignment vertical="center"/>
    </xf>
    <xf numFmtId="0" fontId="52" fillId="6" borderId="18" xfId="0" applyFont="1" applyFill="1" applyBorder="1" applyAlignment="1" applyProtection="1">
      <alignment vertical="center"/>
    </xf>
    <xf numFmtId="0" fontId="50" fillId="6" borderId="32" xfId="0" applyFont="1" applyFill="1" applyBorder="1" applyProtection="1">
      <alignment vertical="center"/>
    </xf>
    <xf numFmtId="0" fontId="53" fillId="6" borderId="68" xfId="0" applyFont="1" applyFill="1" applyBorder="1" applyAlignment="1" applyProtection="1">
      <alignment vertical="center"/>
    </xf>
    <xf numFmtId="0" fontId="50" fillId="6" borderId="70" xfId="0" applyFont="1" applyFill="1" applyBorder="1" applyProtection="1">
      <alignment vertical="center"/>
    </xf>
    <xf numFmtId="0" fontId="50" fillId="6" borderId="34" xfId="0" applyFont="1" applyFill="1" applyBorder="1" applyProtection="1">
      <alignment vertical="center"/>
    </xf>
    <xf numFmtId="0" fontId="50" fillId="6" borderId="21"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109" fillId="0" borderId="23" xfId="0" applyFont="1" applyBorder="1" applyAlignment="1" applyProtection="1">
      <alignment horizontal="center" vertical="center"/>
      <protection locked="0"/>
    </xf>
    <xf numFmtId="0" fontId="109" fillId="6" borderId="0" xfId="0" applyFont="1" applyFill="1" applyBorder="1" applyAlignment="1" applyProtection="1">
      <alignment horizontal="center" vertical="center"/>
    </xf>
    <xf numFmtId="0" fontId="53" fillId="0" borderId="0" xfId="0" applyFont="1" applyFill="1" applyProtection="1">
      <alignment vertical="center"/>
    </xf>
    <xf numFmtId="0" fontId="52" fillId="6" borderId="16" xfId="0" applyFont="1" applyFill="1" applyBorder="1" applyAlignment="1" applyProtection="1">
      <alignment horizontal="left" vertical="center"/>
    </xf>
    <xf numFmtId="0" fontId="50" fillId="6" borderId="19" xfId="0" applyFont="1" applyFill="1" applyBorder="1" applyProtection="1">
      <alignment vertical="center"/>
    </xf>
    <xf numFmtId="0" fontId="52" fillId="5" borderId="62" xfId="0" applyFont="1" applyFill="1" applyBorder="1" applyAlignment="1" applyProtection="1">
      <alignment horizontal="right" vertical="center"/>
      <protection locked="0"/>
    </xf>
    <xf numFmtId="0" fontId="53" fillId="6" borderId="5" xfId="0" applyFont="1" applyFill="1" applyBorder="1" applyProtection="1">
      <alignment vertical="center"/>
    </xf>
    <xf numFmtId="0" fontId="52" fillId="5" borderId="1" xfId="0" applyFont="1" applyFill="1" applyBorder="1" applyAlignment="1" applyProtection="1">
      <alignment horizontal="center" vertical="center"/>
      <protection locked="0"/>
    </xf>
    <xf numFmtId="0" fontId="224" fillId="2" borderId="24" xfId="0" applyFont="1" applyFill="1" applyBorder="1" applyAlignment="1" applyProtection="1">
      <alignment horizontal="center" vertical="center"/>
      <protection locked="0"/>
    </xf>
    <xf numFmtId="0" fontId="53" fillId="6" borderId="30" xfId="0" applyFont="1" applyFill="1" applyBorder="1" applyProtection="1">
      <alignment vertical="center"/>
    </xf>
    <xf numFmtId="0" fontId="53" fillId="6" borderId="10" xfId="0" applyFont="1" applyFill="1" applyBorder="1" applyAlignment="1" applyProtection="1">
      <alignment horizontal="center" vertical="center"/>
    </xf>
    <xf numFmtId="0" fontId="52" fillId="6" borderId="69" xfId="0" applyFont="1" applyFill="1" applyBorder="1" applyAlignment="1" applyProtection="1">
      <alignment horizontal="left" vertical="center"/>
    </xf>
    <xf numFmtId="0" fontId="50" fillId="6" borderId="7" xfId="0" applyFont="1" applyFill="1" applyBorder="1" applyAlignment="1" applyProtection="1">
      <alignment horizontal="right" vertical="center"/>
    </xf>
    <xf numFmtId="0" fontId="53" fillId="6" borderId="3" xfId="0" applyFont="1" applyFill="1" applyBorder="1" applyProtection="1">
      <alignment vertical="center"/>
    </xf>
    <xf numFmtId="0" fontId="52" fillId="6" borderId="38" xfId="0" applyFont="1" applyFill="1" applyBorder="1" applyAlignment="1" applyProtection="1">
      <alignment horizontal="left" vertical="center"/>
    </xf>
    <xf numFmtId="0" fontId="50" fillId="6" borderId="66" xfId="0" applyFont="1" applyFill="1" applyBorder="1" applyAlignment="1" applyProtection="1">
      <alignment horizontal="right" vertical="center"/>
    </xf>
    <xf numFmtId="0" fontId="53" fillId="6" borderId="66" xfId="0" applyFont="1" applyFill="1" applyBorder="1" applyProtection="1">
      <alignment vertical="center"/>
    </xf>
    <xf numFmtId="0" fontId="50" fillId="6" borderId="30" xfId="0" applyFont="1" applyFill="1" applyBorder="1" applyAlignment="1" applyProtection="1">
      <alignment horizontal="left" vertical="center"/>
    </xf>
    <xf numFmtId="0" fontId="50" fillId="5" borderId="63" xfId="0" applyFont="1" applyFill="1" applyBorder="1" applyProtection="1">
      <alignment vertical="center"/>
      <protection locked="0"/>
    </xf>
    <xf numFmtId="0" fontId="50" fillId="6" borderId="65" xfId="0" applyFont="1" applyFill="1" applyBorder="1" applyProtection="1">
      <alignment vertical="center"/>
    </xf>
    <xf numFmtId="0" fontId="50" fillId="6" borderId="0" xfId="0" applyFont="1" applyFill="1" applyBorder="1" applyAlignment="1" applyProtection="1">
      <alignment horizontal="left" vertical="center"/>
      <protection locked="0"/>
    </xf>
    <xf numFmtId="0" fontId="50" fillId="6" borderId="66" xfId="0" applyFont="1" applyFill="1" applyBorder="1" applyAlignment="1" applyProtection="1">
      <alignment horizontal="left" vertical="center"/>
    </xf>
    <xf numFmtId="0" fontId="50" fillId="0" borderId="65" xfId="0" applyFont="1" applyFill="1" applyBorder="1" applyProtection="1">
      <alignment vertical="center"/>
      <protection locked="0"/>
    </xf>
    <xf numFmtId="0" fontId="109" fillId="0" borderId="6" xfId="0" applyFont="1" applyFill="1" applyBorder="1" applyAlignment="1" applyProtection="1">
      <alignment horizontal="center" vertical="center"/>
      <protection locked="0"/>
    </xf>
    <xf numFmtId="0" fontId="109" fillId="0" borderId="9" xfId="0" applyFont="1" applyFill="1" applyBorder="1" applyAlignment="1" applyProtection="1">
      <alignment horizontal="center" vertical="center"/>
      <protection locked="0"/>
    </xf>
    <xf numFmtId="0" fontId="109" fillId="0" borderId="10" xfId="0" applyFont="1" applyFill="1" applyBorder="1" applyAlignment="1" applyProtection="1">
      <alignment horizontal="center" vertical="center"/>
      <protection locked="0"/>
    </xf>
    <xf numFmtId="0" fontId="53" fillId="6" borderId="18" xfId="0" applyFont="1" applyFill="1" applyBorder="1" applyProtection="1">
      <alignment vertical="center"/>
    </xf>
    <xf numFmtId="0" fontId="53" fillId="6" borderId="42" xfId="0" applyFont="1" applyFill="1" applyBorder="1" applyProtection="1">
      <alignment vertical="center"/>
    </xf>
    <xf numFmtId="0" fontId="123" fillId="6" borderId="0" xfId="0" applyFont="1" applyFill="1" applyBorder="1" applyAlignment="1" applyProtection="1">
      <alignment horizontal="center" vertical="center"/>
    </xf>
    <xf numFmtId="0" fontId="123" fillId="6" borderId="0" xfId="0" applyFont="1" applyFill="1" applyProtection="1">
      <alignment vertical="center"/>
    </xf>
    <xf numFmtId="0" fontId="112" fillId="6" borderId="0" xfId="0" applyFont="1" applyFill="1" applyBorder="1" applyAlignment="1" applyProtection="1">
      <alignment horizontal="left" vertical="center"/>
    </xf>
    <xf numFmtId="0" fontId="225" fillId="6" borderId="0" xfId="0" applyFont="1" applyFill="1" applyBorder="1" applyAlignment="1" applyProtection="1">
      <alignment horizontal="left" vertical="center"/>
    </xf>
    <xf numFmtId="0" fontId="247" fillId="6" borderId="0" xfId="0" applyFont="1" applyFill="1" applyBorder="1" applyAlignment="1" applyProtection="1">
      <alignment vertical="center"/>
    </xf>
    <xf numFmtId="0" fontId="247" fillId="6" borderId="0" xfId="0" applyFont="1" applyFill="1" applyBorder="1" applyAlignment="1" applyProtection="1">
      <alignment horizontal="center" vertical="center"/>
    </xf>
    <xf numFmtId="0" fontId="111" fillId="6" borderId="0" xfId="0" applyFont="1" applyFill="1" applyBorder="1" applyAlignment="1" applyProtection="1">
      <alignment horizontal="left" vertical="center"/>
    </xf>
    <xf numFmtId="0" fontId="107" fillId="6" borderId="0" xfId="0" applyFont="1" applyFill="1" applyBorder="1" applyProtection="1">
      <alignment vertical="center"/>
    </xf>
    <xf numFmtId="9" fontId="53" fillId="6" borderId="0" xfId="0" applyNumberFormat="1" applyFont="1" applyFill="1" applyAlignment="1" applyProtection="1">
      <alignment horizontal="center" vertical="center"/>
      <protection locked="0"/>
    </xf>
    <xf numFmtId="0" fontId="54" fillId="0" borderId="24" xfId="0" applyFont="1" applyFill="1" applyBorder="1" applyAlignment="1" applyProtection="1">
      <alignment vertical="center" wrapText="1"/>
      <protection locked="0"/>
    </xf>
    <xf numFmtId="0" fontId="53" fillId="5" borderId="3" xfId="0" applyFont="1" applyFill="1" applyBorder="1" applyAlignment="1" applyProtection="1">
      <alignment horizontal="center" vertical="center"/>
      <protection locked="0"/>
    </xf>
    <xf numFmtId="10" fontId="53" fillId="6" borderId="0" xfId="0" applyNumberFormat="1" applyFont="1" applyFill="1" applyAlignment="1" applyProtection="1">
      <alignment horizontal="center" vertical="center"/>
      <protection locked="0"/>
    </xf>
    <xf numFmtId="0" fontId="111" fillId="6" borderId="1" xfId="0" applyFont="1" applyFill="1" applyBorder="1" applyAlignment="1" applyProtection="1">
      <alignment horizontal="center" vertical="center" wrapText="1"/>
    </xf>
    <xf numFmtId="0" fontId="53" fillId="6" borderId="24" xfId="0" applyFont="1" applyFill="1" applyBorder="1" applyProtection="1">
      <alignment vertical="center"/>
    </xf>
    <xf numFmtId="0" fontId="54" fillId="6" borderId="0" xfId="0" applyFont="1" applyFill="1" applyProtection="1">
      <alignment vertical="center"/>
      <protection locked="0"/>
    </xf>
    <xf numFmtId="0" fontId="123" fillId="0" borderId="24" xfId="0" applyFont="1" applyFill="1" applyBorder="1" applyAlignment="1" applyProtection="1">
      <alignment vertical="center" wrapText="1"/>
      <protection locked="0"/>
    </xf>
    <xf numFmtId="0" fontId="53" fillId="2" borderId="3" xfId="0"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wrapText="1"/>
      <protection locked="0"/>
    </xf>
    <xf numFmtId="0" fontId="108" fillId="6" borderId="5" xfId="0" applyFont="1" applyFill="1" applyBorder="1" applyAlignment="1" applyProtection="1">
      <alignment horizontal="center" vertical="center" wrapText="1"/>
    </xf>
    <xf numFmtId="0" fontId="115" fillId="6" borderId="22" xfId="0" applyFont="1" applyFill="1" applyBorder="1" applyAlignment="1" applyProtection="1">
      <alignment vertical="center" wrapText="1"/>
    </xf>
    <xf numFmtId="0" fontId="115" fillId="6" borderId="54" xfId="0" applyFont="1" applyFill="1" applyBorder="1" applyAlignment="1" applyProtection="1">
      <alignment horizontal="center" vertical="center"/>
    </xf>
    <xf numFmtId="0" fontId="115" fillId="6" borderId="3" xfId="0" applyFont="1" applyFill="1" applyBorder="1" applyAlignment="1" applyProtection="1">
      <alignment vertical="center" wrapText="1"/>
    </xf>
    <xf numFmtId="0" fontId="123" fillId="0" borderId="49" xfId="0" applyFont="1" applyFill="1" applyBorder="1" applyAlignment="1" applyProtection="1">
      <alignment vertical="center" wrapText="1"/>
      <protection locked="0"/>
    </xf>
    <xf numFmtId="0" fontId="115" fillId="6" borderId="35"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3" fillId="6" borderId="0" xfId="0" applyFont="1" applyFill="1" applyBorder="1" applyAlignment="1" applyProtection="1">
      <alignment horizontal="center" vertical="center"/>
      <protection locked="0"/>
    </xf>
    <xf numFmtId="0" fontId="115" fillId="6" borderId="7" xfId="0" applyFont="1" applyFill="1" applyBorder="1" applyAlignment="1" applyProtection="1">
      <alignment vertical="center" wrapText="1"/>
    </xf>
    <xf numFmtId="0" fontId="178" fillId="6" borderId="1" xfId="0" applyFont="1" applyFill="1" applyBorder="1" applyAlignment="1">
      <alignment horizontal="center" vertical="center" wrapText="1"/>
    </xf>
    <xf numFmtId="49" fontId="58" fillId="6" borderId="18" xfId="0" applyNumberFormat="1"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177" fontId="60" fillId="6" borderId="0" xfId="0" applyNumberFormat="1" applyFont="1" applyFill="1" applyBorder="1" applyAlignment="1" applyProtection="1">
      <alignment horizontal="center" vertical="center" wrapText="1"/>
    </xf>
    <xf numFmtId="10" fontId="59" fillId="6" borderId="0" xfId="0" applyNumberFormat="1" applyFont="1" applyFill="1" applyBorder="1" applyAlignment="1" applyProtection="1">
      <alignment horizontal="center" vertical="center" wrapText="1"/>
    </xf>
    <xf numFmtId="0" fontId="53" fillId="6" borderId="0" xfId="0" applyFont="1" applyFill="1" applyBorder="1" applyAlignment="1" applyProtection="1">
      <alignment horizontal="left" vertical="center"/>
    </xf>
    <xf numFmtId="0" fontId="178" fillId="6" borderId="1" xfId="0" applyFont="1" applyFill="1" applyBorder="1" applyAlignment="1">
      <alignment vertical="center" wrapText="1"/>
    </xf>
    <xf numFmtId="0" fontId="53" fillId="6" borderId="0" xfId="2" applyFont="1" applyFill="1" applyBorder="1" applyAlignment="1" applyProtection="1">
      <alignment horizontal="left" vertical="center" wrapText="1"/>
    </xf>
    <xf numFmtId="0" fontId="107" fillId="0" borderId="0" xfId="0" applyFont="1" applyFill="1" applyProtection="1">
      <alignment vertical="center"/>
    </xf>
    <xf numFmtId="0" fontId="107" fillId="7" borderId="0" xfId="0" applyFont="1" applyFill="1" applyProtection="1">
      <alignment vertical="center"/>
      <protection locked="0"/>
    </xf>
    <xf numFmtId="0" fontId="107" fillId="7" borderId="0" xfId="0" applyFont="1" applyFill="1" applyProtection="1">
      <alignment vertical="center"/>
    </xf>
    <xf numFmtId="0" fontId="107" fillId="6" borderId="0" xfId="2" applyFont="1" applyFill="1" applyAlignment="1" applyProtection="1">
      <alignment vertical="center" wrapText="1"/>
      <protection locked="0"/>
    </xf>
    <xf numFmtId="0" fontId="50" fillId="2" borderId="1" xfId="2" applyFont="1" applyFill="1" applyBorder="1" applyAlignment="1" applyProtection="1">
      <alignment horizontal="center" vertical="center" wrapText="1"/>
      <protection locked="0"/>
    </xf>
    <xf numFmtId="0" fontId="107" fillId="6" borderId="0" xfId="0" applyFont="1" applyFill="1" applyProtection="1">
      <alignment vertical="center"/>
      <protection locked="0"/>
    </xf>
    <xf numFmtId="0" fontId="53" fillId="2" borderId="54" xfId="0" applyFont="1" applyFill="1" applyBorder="1" applyAlignment="1" applyProtection="1">
      <alignment horizontal="left" vertical="center" wrapText="1"/>
      <protection locked="0"/>
    </xf>
    <xf numFmtId="0" fontId="107" fillId="6" borderId="0" xfId="2" applyFont="1" applyFill="1" applyProtection="1">
      <protection locked="0"/>
    </xf>
    <xf numFmtId="49" fontId="58" fillId="6" borderId="23" xfId="0" applyNumberFormat="1" applyFont="1" applyFill="1" applyBorder="1" applyAlignment="1" applyProtection="1">
      <alignment vertical="center" wrapText="1"/>
    </xf>
    <xf numFmtId="49" fontId="58" fillId="6" borderId="25" xfId="0" applyNumberFormat="1" applyFont="1" applyFill="1" applyBorder="1" applyAlignment="1" applyProtection="1">
      <alignment vertical="center" wrapText="1"/>
    </xf>
    <xf numFmtId="10" fontId="53" fillId="2" borderId="48" xfId="0" applyNumberFormat="1" applyFont="1" applyFill="1" applyBorder="1" applyAlignment="1" applyProtection="1">
      <alignment horizontal="left" vertical="center" wrapText="1"/>
      <protection locked="0"/>
    </xf>
    <xf numFmtId="10" fontId="53" fillId="5" borderId="48" xfId="0" applyNumberFormat="1" applyFont="1" applyFill="1" applyBorder="1" applyAlignment="1" applyProtection="1">
      <alignment horizontal="left" vertical="center" wrapText="1"/>
      <protection locked="0"/>
    </xf>
    <xf numFmtId="0" fontId="107" fillId="0" borderId="23" xfId="0" applyFont="1" applyFill="1" applyBorder="1" applyProtection="1">
      <alignment vertical="center"/>
      <protection locked="0"/>
    </xf>
    <xf numFmtId="0" fontId="136" fillId="6" borderId="1" xfId="0" applyFont="1" applyFill="1" applyBorder="1" applyAlignment="1" applyProtection="1">
      <alignment vertical="center" wrapText="1"/>
    </xf>
    <xf numFmtId="0" fontId="113"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50" fillId="6" borderId="23" xfId="0" applyFont="1" applyFill="1" applyBorder="1" applyAlignment="1" applyProtection="1">
      <alignment horizontal="left" vertical="center"/>
    </xf>
    <xf numFmtId="0" fontId="136" fillId="6" borderId="32"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143" fillId="0" borderId="46" xfId="0" applyFont="1" applyBorder="1" applyAlignment="1" applyProtection="1">
      <alignment horizontal="left" vertical="center"/>
    </xf>
    <xf numFmtId="0" fontId="53" fillId="0" borderId="36" xfId="0" applyFont="1" applyBorder="1" applyAlignment="1" applyProtection="1">
      <alignment horizontal="left" vertical="center" wrapText="1"/>
    </xf>
    <xf numFmtId="0" fontId="62" fillId="5" borderId="36" xfId="0" applyFont="1" applyFill="1" applyBorder="1" applyAlignment="1" applyProtection="1">
      <alignment horizontal="left" vertical="center" wrapText="1"/>
      <protection locked="0"/>
    </xf>
    <xf numFmtId="0" fontId="53" fillId="7" borderId="36" xfId="0" applyFont="1" applyFill="1" applyBorder="1" applyAlignment="1" applyProtection="1">
      <alignment horizontal="center" vertical="center" wrapText="1"/>
    </xf>
    <xf numFmtId="0" fontId="53" fillId="7" borderId="36" xfId="0" applyFont="1" applyFill="1" applyBorder="1" applyAlignment="1" applyProtection="1">
      <alignment horizontal="center" vertical="center"/>
    </xf>
    <xf numFmtId="0" fontId="53" fillId="7" borderId="22" xfId="0" applyFont="1" applyFill="1" applyBorder="1" applyProtection="1">
      <alignment vertical="center"/>
    </xf>
    <xf numFmtId="0" fontId="53" fillId="7" borderId="58"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horizontal="center" vertical="center"/>
      <protection locked="0"/>
    </xf>
    <xf numFmtId="0" fontId="53" fillId="7" borderId="35" xfId="0" applyFont="1" applyFill="1" applyBorder="1" applyProtection="1">
      <alignment vertical="center"/>
      <protection locked="0"/>
    </xf>
    <xf numFmtId="0" fontId="53" fillId="7" borderId="4"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center" vertical="center" wrapText="1"/>
      <protection locked="0"/>
    </xf>
    <xf numFmtId="0" fontId="53" fillId="7" borderId="60" xfId="0" applyFont="1" applyFill="1" applyBorder="1" applyAlignment="1" applyProtection="1">
      <alignment horizontal="center" vertical="center"/>
      <protection locked="0"/>
    </xf>
    <xf numFmtId="0" fontId="53" fillId="7" borderId="7" xfId="0" applyFont="1" applyFill="1" applyBorder="1" applyProtection="1">
      <alignment vertical="center"/>
      <protection locked="0"/>
    </xf>
    <xf numFmtId="0" fontId="58" fillId="7" borderId="60" xfId="0" applyFont="1" applyFill="1" applyBorder="1" applyAlignment="1" applyProtection="1">
      <alignment horizontal="left" vertical="center"/>
      <protection locked="0"/>
    </xf>
    <xf numFmtId="0" fontId="53" fillId="7" borderId="60" xfId="0" applyFont="1" applyFill="1" applyBorder="1" applyProtection="1">
      <alignment vertical="center"/>
      <protection locked="0"/>
    </xf>
    <xf numFmtId="0" fontId="53" fillId="7" borderId="60" xfId="0" applyFont="1" applyFill="1" applyBorder="1" applyAlignment="1" applyProtection="1">
      <alignment horizontal="right" vertical="center"/>
      <protection locked="0"/>
    </xf>
    <xf numFmtId="0" fontId="58" fillId="7" borderId="0" xfId="0" applyFont="1" applyFill="1" applyAlignment="1" applyProtection="1">
      <alignment horizontal="left" vertical="center"/>
      <protection locked="0"/>
    </xf>
    <xf numFmtId="2" fontId="53" fillId="7" borderId="0" xfId="0" applyNumberFormat="1" applyFont="1" applyFill="1" applyAlignment="1" applyProtection="1">
      <alignment vertical="center" wrapText="1"/>
      <protection locked="0"/>
    </xf>
    <xf numFmtId="0" fontId="58" fillId="7" borderId="0" xfId="0" applyFont="1" applyFill="1" applyAlignment="1" applyProtection="1">
      <alignment vertical="center" wrapText="1"/>
      <protection locked="0"/>
    </xf>
    <xf numFmtId="0" fontId="60" fillId="5" borderId="5" xfId="1" applyFont="1" applyFill="1" applyBorder="1" applyAlignment="1" applyProtection="1">
      <alignment vertical="center"/>
      <protection locked="0"/>
    </xf>
    <xf numFmtId="0" fontId="63" fillId="6" borderId="3" xfId="1" applyFont="1" applyFill="1" applyBorder="1" applyAlignment="1" applyProtection="1">
      <alignment vertical="center"/>
    </xf>
    <xf numFmtId="0" fontId="63" fillId="5" borderId="1" xfId="1" applyFont="1" applyFill="1" applyBorder="1" applyAlignment="1" applyProtection="1">
      <alignment vertical="center"/>
      <protection locked="0"/>
    </xf>
    <xf numFmtId="0" fontId="60" fillId="5" borderId="24" xfId="1" applyFont="1" applyFill="1" applyBorder="1" applyAlignment="1" applyProtection="1">
      <alignment horizontal="left" vertical="center"/>
      <protection locked="0"/>
    </xf>
    <xf numFmtId="0" fontId="151" fillId="5" borderId="24" xfId="1" applyFont="1" applyFill="1" applyBorder="1" applyAlignment="1" applyProtection="1">
      <alignment horizontal="right" vertical="center"/>
      <protection locked="0"/>
    </xf>
    <xf numFmtId="0" fontId="151" fillId="3" borderId="0" xfId="0" applyFont="1" applyFill="1" applyAlignment="1" applyProtection="1">
      <alignment vertical="center"/>
      <protection locked="0"/>
    </xf>
    <xf numFmtId="0" fontId="143" fillId="6" borderId="19" xfId="1" applyFont="1" applyFill="1" applyBorder="1" applyAlignment="1" applyProtection="1">
      <alignment vertical="center"/>
    </xf>
    <xf numFmtId="186" fontId="53" fillId="5" borderId="1" xfId="0"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pplyProtection="1">
      <alignment horizontal="center" vertical="center"/>
    </xf>
    <xf numFmtId="0" fontId="151" fillId="5" borderId="5" xfId="1" applyFont="1" applyFill="1" applyBorder="1" applyAlignment="1" applyProtection="1">
      <alignment horizontal="right" vertical="center"/>
      <protection locked="0"/>
    </xf>
    <xf numFmtId="0" fontId="58" fillId="6" borderId="54" xfId="0" applyFont="1" applyFill="1" applyBorder="1" applyAlignment="1" applyProtection="1">
      <alignment vertical="center"/>
    </xf>
    <xf numFmtId="0" fontId="53" fillId="6" borderId="5" xfId="0" applyFont="1" applyFill="1" applyBorder="1" applyAlignment="1" applyProtection="1"/>
    <xf numFmtId="0" fontId="52" fillId="6" borderId="1" xfId="1" applyFont="1" applyFill="1" applyBorder="1" applyAlignment="1" applyProtection="1">
      <alignment vertical="center" wrapText="1"/>
    </xf>
    <xf numFmtId="49" fontId="53" fillId="6" borderId="25" xfId="0" applyNumberFormat="1" applyFont="1" applyFill="1" applyBorder="1" applyAlignment="1" applyProtection="1">
      <alignment horizontal="center" vertical="center"/>
    </xf>
    <xf numFmtId="49" fontId="110" fillId="6" borderId="51" xfId="0" applyNumberFormat="1" applyFont="1" applyFill="1" applyBorder="1" applyAlignment="1" applyProtection="1"/>
    <xf numFmtId="0" fontId="107" fillId="6" borderId="19" xfId="0" applyFont="1" applyFill="1" applyBorder="1">
      <alignment vertical="center"/>
    </xf>
    <xf numFmtId="0" fontId="107" fillId="6" borderId="31" xfId="0" applyFont="1" applyFill="1" applyBorder="1">
      <alignment vertical="center"/>
    </xf>
    <xf numFmtId="0" fontId="63" fillId="6" borderId="23" xfId="1" applyFont="1" applyFill="1" applyBorder="1" applyAlignment="1" applyProtection="1">
      <alignment vertical="center"/>
    </xf>
    <xf numFmtId="0" fontId="107" fillId="6" borderId="5" xfId="0" applyFont="1" applyFill="1" applyBorder="1">
      <alignment vertical="center"/>
    </xf>
    <xf numFmtId="0" fontId="107" fillId="6" borderId="3" xfId="0" applyFont="1" applyFill="1" applyBorder="1">
      <alignment vertical="center"/>
    </xf>
    <xf numFmtId="0" fontId="224" fillId="6" borderId="1" xfId="0" applyFont="1" applyFill="1" applyBorder="1">
      <alignment vertical="center"/>
    </xf>
    <xf numFmtId="0" fontId="107" fillId="6" borderId="24" xfId="0" applyFont="1" applyFill="1" applyBorder="1" applyProtection="1">
      <alignment vertical="center"/>
    </xf>
    <xf numFmtId="0" fontId="107" fillId="6" borderId="0" xfId="0" applyFont="1" applyFill="1" applyBorder="1">
      <alignment vertical="center"/>
    </xf>
    <xf numFmtId="0" fontId="107" fillId="6" borderId="56" xfId="0" applyFont="1" applyFill="1" applyBorder="1" applyProtection="1">
      <alignment vertical="center"/>
    </xf>
    <xf numFmtId="0" fontId="63" fillId="6" borderId="18" xfId="1" applyFont="1" applyFill="1" applyBorder="1" applyAlignment="1" applyProtection="1">
      <alignment vertical="center"/>
    </xf>
    <xf numFmtId="0" fontId="224" fillId="6" borderId="23" xfId="0" applyFont="1" applyFill="1" applyBorder="1" applyAlignment="1">
      <alignment horizontal="center" vertical="center"/>
    </xf>
    <xf numFmtId="0" fontId="224" fillId="6" borderId="0" xfId="0" applyFont="1" applyFill="1" applyBorder="1">
      <alignment vertical="center"/>
    </xf>
    <xf numFmtId="0" fontId="224" fillId="6" borderId="5" xfId="0" applyFont="1" applyFill="1" applyBorder="1" applyAlignment="1" applyProtection="1">
      <alignment horizontal="center" vertical="center"/>
    </xf>
    <xf numFmtId="0" fontId="107" fillId="6" borderId="1" xfId="0" applyFont="1" applyFill="1" applyBorder="1" applyAlignment="1">
      <alignment horizontal="center" vertical="center"/>
    </xf>
    <xf numFmtId="0" fontId="107" fillId="6" borderId="23" xfId="0" applyFont="1" applyFill="1" applyBorder="1" applyAlignment="1">
      <alignment horizontal="center" vertical="center"/>
    </xf>
    <xf numFmtId="0" fontId="107" fillId="6" borderId="5" xfId="0" applyFont="1" applyFill="1" applyBorder="1" applyProtection="1">
      <alignment vertical="center"/>
    </xf>
    <xf numFmtId="0" fontId="107" fillId="5" borderId="1" xfId="0" applyFont="1" applyFill="1" applyBorder="1" applyAlignment="1" applyProtection="1">
      <alignment horizontal="center" vertical="center"/>
      <protection locked="0"/>
    </xf>
    <xf numFmtId="0" fontId="107" fillId="6" borderId="25" xfId="0" applyFont="1" applyFill="1" applyBorder="1" applyAlignment="1">
      <alignment horizontal="center" vertical="center"/>
    </xf>
    <xf numFmtId="0" fontId="107" fillId="6" borderId="66" xfId="0" applyFont="1" applyFill="1" applyBorder="1">
      <alignment vertical="center"/>
    </xf>
    <xf numFmtId="0" fontId="107" fillId="6" borderId="47" xfId="0" applyFont="1" applyFill="1" applyBorder="1">
      <alignment vertical="center"/>
    </xf>
    <xf numFmtId="0" fontId="68" fillId="6" borderId="85" xfId="0" applyFont="1" applyFill="1" applyBorder="1" applyAlignment="1" applyProtection="1">
      <alignment horizontal="right" vertical="center"/>
    </xf>
    <xf numFmtId="0" fontId="68" fillId="5" borderId="119" xfId="0" applyFont="1" applyFill="1" applyBorder="1" applyAlignment="1" applyProtection="1">
      <alignment vertical="center"/>
      <protection locked="0"/>
    </xf>
    <xf numFmtId="0" fontId="68" fillId="5" borderId="78" xfId="0" applyFont="1" applyFill="1" applyBorder="1" applyAlignment="1" applyProtection="1">
      <alignment horizontal="center" vertical="center"/>
      <protection locked="0"/>
    </xf>
    <xf numFmtId="0" fontId="68" fillId="6" borderId="89" xfId="0" applyFont="1" applyFill="1" applyBorder="1" applyAlignment="1" applyProtection="1">
      <alignment horizontal="center" vertical="center"/>
    </xf>
    <xf numFmtId="0" fontId="60" fillId="5" borderId="4" xfId="1" applyFont="1" applyFill="1" applyBorder="1" applyAlignment="1" applyProtection="1">
      <alignment vertical="center"/>
      <protection locked="0"/>
    </xf>
    <xf numFmtId="0" fontId="63" fillId="6" borderId="7" xfId="1" applyFont="1" applyFill="1" applyBorder="1" applyAlignment="1" applyProtection="1">
      <alignment vertical="center"/>
      <protection locked="0"/>
    </xf>
    <xf numFmtId="0" fontId="63" fillId="5" borderId="2" xfId="1" applyFont="1" applyFill="1" applyBorder="1" applyAlignment="1" applyProtection="1">
      <alignment vertical="center"/>
      <protection locked="0"/>
    </xf>
    <xf numFmtId="189"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252" fillId="6" borderId="0" xfId="0" applyFont="1" applyFill="1" applyBorder="1" applyAlignment="1" applyProtection="1">
      <alignment vertical="center"/>
      <protection locked="0"/>
    </xf>
    <xf numFmtId="189" fontId="50" fillId="6" borderId="21" xfId="0" applyNumberFormat="1" applyFont="1" applyFill="1" applyBorder="1" applyAlignment="1" applyProtection="1">
      <alignment horizontal="center" vertical="center" wrapText="1"/>
    </xf>
    <xf numFmtId="189" fontId="50" fillId="6" borderId="48"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center" vertical="center" wrapText="1"/>
    </xf>
    <xf numFmtId="49" fontId="50" fillId="2" borderId="70" xfId="0" applyNumberFormat="1" applyFont="1" applyFill="1" applyBorder="1" applyAlignment="1" applyProtection="1">
      <alignment horizontal="center" vertical="center" wrapText="1"/>
      <protection locked="0"/>
    </xf>
    <xf numFmtId="0" fontId="50" fillId="0" borderId="46" xfId="0" applyFont="1" applyFill="1" applyBorder="1" applyAlignment="1" applyProtection="1">
      <alignment horizontal="center" vertical="center" wrapText="1"/>
      <protection locked="0"/>
    </xf>
    <xf numFmtId="0" fontId="64" fillId="6" borderId="48" xfId="0" applyNumberFormat="1" applyFont="1" applyFill="1" applyBorder="1" applyAlignment="1" applyProtection="1">
      <alignment horizontal="center" vertical="center" wrapText="1"/>
    </xf>
    <xf numFmtId="0" fontId="50" fillId="0" borderId="33"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2" borderId="4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64" fillId="6" borderId="50"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protection locked="0"/>
    </xf>
    <xf numFmtId="49" fontId="57" fillId="2" borderId="14" xfId="0" applyNumberFormat="1" applyFont="1" applyFill="1" applyBorder="1" applyAlignment="1" applyProtection="1">
      <alignment horizontal="center" vertical="center" wrapText="1"/>
      <protection locked="0"/>
    </xf>
    <xf numFmtId="49" fontId="57" fillId="2" borderId="35" xfId="0" applyNumberFormat="1" applyFont="1" applyFill="1" applyBorder="1" applyAlignment="1" applyProtection="1">
      <alignment horizontal="center" vertical="center" wrapText="1"/>
      <protection locked="0"/>
    </xf>
    <xf numFmtId="0" fontId="57" fillId="2" borderId="7" xfId="0" applyNumberFormat="1" applyFont="1" applyFill="1" applyBorder="1" applyAlignment="1" applyProtection="1">
      <alignment horizontal="center" vertical="center" wrapText="1"/>
      <protection locked="0"/>
    </xf>
    <xf numFmtId="0" fontId="64" fillId="6" borderId="80" xfId="0" applyNumberFormat="1" applyFont="1" applyFill="1" applyBorder="1" applyAlignment="1" applyProtection="1">
      <alignment horizontal="center" vertical="center" wrapText="1"/>
    </xf>
    <xf numFmtId="49" fontId="57" fillId="2" borderId="23" xfId="0" applyNumberFormat="1" applyFont="1" applyFill="1" applyBorder="1" applyAlignment="1" applyProtection="1">
      <alignment horizontal="center" vertical="center" wrapText="1"/>
      <protection locked="0"/>
    </xf>
    <xf numFmtId="49" fontId="57" fillId="2" borderId="3" xfId="0" applyNumberFormat="1" applyFont="1" applyFill="1" applyBorder="1" applyAlignment="1" applyProtection="1">
      <alignment horizontal="center" vertical="center" wrapText="1"/>
      <protection locked="0"/>
    </xf>
    <xf numFmtId="0" fontId="57" fillId="0" borderId="54" xfId="0" applyNumberFormat="1" applyFont="1" applyFill="1" applyBorder="1" applyAlignment="1" applyProtection="1">
      <alignment horizontal="center" vertical="center" wrapText="1"/>
      <protection locked="0"/>
    </xf>
    <xf numFmtId="0" fontId="57" fillId="0" borderId="52" xfId="0" applyNumberFormat="1" applyFont="1" applyFill="1" applyBorder="1" applyAlignment="1" applyProtection="1">
      <alignment horizontal="center" vertical="center" wrapText="1"/>
      <protection locked="0"/>
    </xf>
    <xf numFmtId="0" fontId="57" fillId="2" borderId="6" xfId="0"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wrapText="1"/>
      <protection locked="0"/>
    </xf>
    <xf numFmtId="0" fontId="57" fillId="2" borderId="3" xfId="0" applyFont="1" applyFill="1" applyBorder="1" applyAlignment="1" applyProtection="1">
      <alignment horizontal="center" vertical="center" wrapText="1"/>
      <protection locked="0"/>
    </xf>
    <xf numFmtId="189" fontId="57" fillId="6" borderId="48" xfId="0" applyNumberFormat="1" applyFont="1" applyFill="1" applyBorder="1" applyAlignment="1" applyProtection="1">
      <alignment horizontal="center" vertical="center"/>
    </xf>
    <xf numFmtId="189" fontId="57" fillId="6" borderId="48" xfId="0" applyNumberFormat="1" applyFont="1" applyFill="1" applyBorder="1" applyAlignment="1" applyProtection="1">
      <alignment horizontal="center" vertical="center" wrapText="1"/>
    </xf>
    <xf numFmtId="189" fontId="57" fillId="6" borderId="49" xfId="0" applyNumberFormat="1" applyFont="1" applyFill="1" applyBorder="1" applyAlignment="1" applyProtection="1">
      <alignment horizontal="center" vertical="center" wrapText="1"/>
    </xf>
    <xf numFmtId="0" fontId="57" fillId="0" borderId="18" xfId="0" applyFont="1" applyFill="1" applyBorder="1" applyAlignment="1" applyProtection="1">
      <alignment horizontal="center" vertical="center"/>
      <protection locked="0"/>
    </xf>
    <xf numFmtId="0" fontId="74" fillId="0" borderId="18" xfId="0" applyFont="1" applyFill="1" applyBorder="1" applyAlignment="1" applyProtection="1">
      <alignment horizontal="center" vertical="center"/>
      <protection locked="0"/>
    </xf>
    <xf numFmtId="0" fontId="57" fillId="0" borderId="18" xfId="0" applyFont="1" applyBorder="1" applyAlignment="1" applyProtection="1">
      <protection locked="0"/>
    </xf>
    <xf numFmtId="0" fontId="52" fillId="6" borderId="0" xfId="0" applyNumberFormat="1" applyFont="1" applyFill="1" applyBorder="1" applyAlignment="1" applyProtection="1">
      <alignment vertical="center" wrapText="1"/>
    </xf>
    <xf numFmtId="9" fontId="50" fillId="0" borderId="18" xfId="0" applyNumberFormat="1" applyFont="1" applyFill="1" applyBorder="1" applyAlignment="1" applyProtection="1">
      <alignment horizontal="center" vertical="center" wrapText="1"/>
      <protection locked="0"/>
    </xf>
    <xf numFmtId="0" fontId="107" fillId="0" borderId="18" xfId="0" applyFont="1" applyFill="1" applyBorder="1" applyAlignment="1" applyProtection="1">
      <alignment vertical="center"/>
      <protection locked="0"/>
    </xf>
    <xf numFmtId="0" fontId="50"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vertical="center" wrapText="1"/>
      <protection locked="0"/>
    </xf>
    <xf numFmtId="0" fontId="50" fillId="0" borderId="18" xfId="0" applyFont="1" applyFill="1" applyBorder="1" applyAlignment="1" applyProtection="1">
      <alignment vertical="center" wrapText="1"/>
      <protection locked="0"/>
    </xf>
    <xf numFmtId="0" fontId="50" fillId="0" borderId="83" xfId="0" applyNumberFormat="1" applyFont="1" applyFill="1" applyBorder="1" applyAlignment="1" applyProtection="1">
      <alignment horizontal="center" vertical="center"/>
      <protection locked="0"/>
    </xf>
    <xf numFmtId="0" fontId="56" fillId="6" borderId="12" xfId="0" applyNumberFormat="1" applyFont="1" applyFill="1" applyBorder="1" applyAlignment="1" applyProtection="1">
      <alignment vertical="center" wrapText="1"/>
    </xf>
    <xf numFmtId="0" fontId="109" fillId="0" borderId="0" xfId="0" applyFont="1" applyFill="1" applyAlignment="1" applyProtection="1">
      <alignment horizontal="left" vertical="center"/>
      <protection locked="0"/>
    </xf>
    <xf numFmtId="0" fontId="107" fillId="6" borderId="16" xfId="0" applyFont="1" applyFill="1" applyBorder="1" applyAlignment="1" applyProtection="1">
      <alignment horizontal="center" vertical="center"/>
    </xf>
    <xf numFmtId="0" fontId="64" fillId="6" borderId="19" xfId="0" applyFont="1" applyFill="1" applyBorder="1" applyAlignment="1" applyProtection="1">
      <alignment horizontal="center" vertical="center"/>
    </xf>
    <xf numFmtId="0" fontId="57" fillId="6" borderId="19" xfId="0" applyFont="1" applyFill="1" applyBorder="1" applyAlignment="1" applyProtection="1">
      <alignment horizontal="center" vertical="center"/>
    </xf>
    <xf numFmtId="0" fontId="57" fillId="6" borderId="31" xfId="0" applyFont="1" applyFill="1" applyBorder="1" applyAlignment="1" applyProtection="1">
      <alignment horizontal="center" vertical="center"/>
    </xf>
    <xf numFmtId="0" fontId="107" fillId="6" borderId="19" xfId="0" applyFont="1" applyFill="1" applyBorder="1" applyAlignment="1" applyProtection="1">
      <alignment horizontal="center" vertical="center"/>
    </xf>
    <xf numFmtId="0" fontId="64" fillId="6" borderId="31" xfId="0" applyFont="1" applyFill="1" applyBorder="1" applyAlignment="1" applyProtection="1">
      <alignment horizontal="center" vertical="center"/>
    </xf>
    <xf numFmtId="0" fontId="64" fillId="6" borderId="69" xfId="0" applyFont="1" applyFill="1" applyBorder="1" applyProtection="1">
      <alignment vertical="center"/>
    </xf>
    <xf numFmtId="0" fontId="107" fillId="6" borderId="5" xfId="0" applyFont="1" applyFill="1" applyBorder="1" applyAlignment="1" applyProtection="1">
      <alignment horizontal="center" vertical="center"/>
    </xf>
    <xf numFmtId="0" fontId="107" fillId="6" borderId="93" xfId="0" applyFont="1" applyFill="1" applyBorder="1" applyAlignment="1" applyProtection="1">
      <alignment horizontal="center" vertical="center"/>
    </xf>
    <xf numFmtId="0" fontId="64" fillId="6" borderId="60"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6" borderId="7" xfId="0" applyFont="1" applyFill="1" applyBorder="1" applyAlignment="1" applyProtection="1">
      <alignment horizontal="center" vertical="center"/>
    </xf>
    <xf numFmtId="0" fontId="107" fillId="6" borderId="3" xfId="0" applyFont="1" applyFill="1" applyBorder="1" applyAlignment="1" applyProtection="1">
      <alignment horizontal="center" vertical="center"/>
    </xf>
    <xf numFmtId="0" fontId="107" fillId="0" borderId="1" xfId="0" applyFont="1" applyBorder="1" applyAlignment="1" applyProtection="1">
      <alignment horizontal="center" vertical="center"/>
      <protection locked="0"/>
    </xf>
    <xf numFmtId="0" fontId="107" fillId="6" borderId="25" xfId="0" applyFont="1" applyFill="1" applyBorder="1" applyAlignment="1" applyProtection="1">
      <alignment horizontal="center" vertical="center"/>
    </xf>
    <xf numFmtId="0" fontId="64" fillId="6" borderId="95" xfId="0" applyFont="1" applyFill="1" applyBorder="1" applyAlignment="1" applyProtection="1">
      <alignment horizontal="left" vertical="center"/>
    </xf>
    <xf numFmtId="0" fontId="57" fillId="6" borderId="47" xfId="0" applyFont="1" applyFill="1" applyBorder="1" applyAlignment="1" applyProtection="1">
      <alignment horizontal="center" vertical="center"/>
    </xf>
    <xf numFmtId="0" fontId="57" fillId="6" borderId="43" xfId="0" applyFont="1" applyFill="1" applyBorder="1" applyAlignment="1" applyProtection="1">
      <alignment horizontal="center" vertical="center"/>
    </xf>
    <xf numFmtId="0" fontId="107" fillId="6" borderId="66" xfId="0" applyFont="1" applyFill="1" applyBorder="1" applyAlignment="1" applyProtection="1">
      <alignment horizontal="center" vertical="center"/>
    </xf>
    <xf numFmtId="0" fontId="68" fillId="5" borderId="119" xfId="0" applyFont="1" applyFill="1" applyBorder="1" applyAlignment="1" applyProtection="1">
      <alignment vertical="center"/>
    </xf>
    <xf numFmtId="0" fontId="68" fillId="6" borderId="89"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9" fillId="6" borderId="87" xfId="0" applyFont="1" applyFill="1" applyBorder="1" applyAlignment="1" applyProtection="1">
      <alignment horizontal="center" vertical="center"/>
      <protection locked="0"/>
    </xf>
    <xf numFmtId="0" fontId="68" fillId="6" borderId="18" xfId="0" applyFont="1" applyFill="1" applyBorder="1" applyAlignment="1" applyProtection="1">
      <alignment horizontal="center" vertical="center"/>
      <protection locked="0"/>
    </xf>
    <xf numFmtId="0" fontId="69" fillId="6" borderId="0" xfId="0" applyFont="1" applyFill="1" applyBorder="1" applyAlignment="1" applyProtection="1">
      <alignment horizontal="center" vertical="center"/>
      <protection locked="0"/>
    </xf>
    <xf numFmtId="0" fontId="69" fillId="6" borderId="0" xfId="0" applyFont="1" applyFill="1" applyAlignment="1" applyProtection="1">
      <alignment horizontal="center" vertical="center"/>
      <protection locked="0"/>
    </xf>
    <xf numFmtId="49" fontId="57" fillId="6" borderId="11"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horizontal="center" vertical="center"/>
    </xf>
    <xf numFmtId="0" fontId="57" fillId="6" borderId="18" xfId="0" applyFont="1" applyFill="1" applyBorder="1" applyAlignment="1" applyProtection="1"/>
    <xf numFmtId="9" fontId="50" fillId="6" borderId="0" xfId="0" applyNumberFormat="1" applyFont="1" applyFill="1" applyBorder="1" applyAlignment="1" applyProtection="1">
      <alignment horizontal="center" vertical="center" wrapText="1"/>
    </xf>
    <xf numFmtId="0" fontId="68" fillId="6" borderId="88" xfId="0" applyFont="1" applyFill="1" applyBorder="1" applyAlignment="1" applyProtection="1">
      <alignment horizontal="right" vertical="center"/>
    </xf>
    <xf numFmtId="0" fontId="57" fillId="6" borderId="17" xfId="0"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0" fillId="0" borderId="7" xfId="0" applyNumberFormat="1" applyFont="1" applyFill="1" applyBorder="1" applyAlignment="1" applyProtection="1">
      <alignment horizontal="center" vertical="center" wrapText="1"/>
      <protection locked="0"/>
    </xf>
    <xf numFmtId="49" fontId="57" fillId="6" borderId="39" xfId="0" applyNumberFormat="1" applyFont="1" applyFill="1" applyBorder="1" applyAlignment="1" applyProtection="1">
      <alignment horizontal="center" vertical="center" wrapText="1"/>
    </xf>
    <xf numFmtId="0" fontId="57" fillId="6" borderId="24" xfId="0" applyNumberFormat="1" applyFont="1" applyFill="1" applyBorder="1" applyAlignment="1" applyProtection="1">
      <alignment horizontal="center" vertical="center"/>
    </xf>
    <xf numFmtId="0" fontId="57" fillId="6" borderId="22" xfId="0" applyNumberFormat="1" applyFont="1" applyFill="1" applyBorder="1" applyAlignment="1" applyProtection="1">
      <alignment horizontal="center" vertical="center" wrapText="1"/>
    </xf>
    <xf numFmtId="0" fontId="57" fillId="2" borderId="35" xfId="0" applyNumberFormat="1" applyFont="1" applyFill="1" applyBorder="1" applyAlignment="1" applyProtection="1">
      <alignment horizontal="center" vertical="center" wrapText="1"/>
      <protection locked="0"/>
    </xf>
    <xf numFmtId="0" fontId="50" fillId="2" borderId="7" xfId="0" applyNumberFormat="1" applyFont="1" applyFill="1" applyBorder="1" applyAlignment="1" applyProtection="1">
      <alignment horizontal="center" vertical="center" wrapText="1"/>
      <protection locked="0"/>
    </xf>
    <xf numFmtId="0" fontId="50" fillId="0" borderId="24" xfId="0"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protection locked="0"/>
    </xf>
    <xf numFmtId="0" fontId="74" fillId="0" borderId="58" xfId="0" applyFont="1" applyFill="1" applyBorder="1" applyAlignment="1" applyProtection="1">
      <alignment horizontal="center" vertical="center"/>
      <protection locked="0"/>
    </xf>
    <xf numFmtId="0" fontId="57" fillId="0" borderId="58" xfId="0" applyFont="1" applyBorder="1" applyAlignment="1" applyProtection="1">
      <protection locked="0"/>
    </xf>
    <xf numFmtId="9" fontId="50" fillId="0" borderId="58"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vertical="center"/>
      <protection locked="0"/>
    </xf>
    <xf numFmtId="0" fontId="50"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protection locked="0"/>
    </xf>
    <xf numFmtId="0" fontId="55" fillId="0" borderId="58" xfId="0" applyFont="1" applyFill="1" applyBorder="1" applyAlignment="1" applyProtection="1">
      <alignment vertical="center" wrapText="1"/>
      <protection locked="0"/>
    </xf>
    <xf numFmtId="0" fontId="50" fillId="0" borderId="58" xfId="0" applyFont="1" applyFill="1" applyBorder="1" applyAlignment="1" applyProtection="1">
      <alignment vertical="center" wrapText="1"/>
      <protection locked="0"/>
    </xf>
    <xf numFmtId="0" fontId="57" fillId="0" borderId="44" xfId="0" applyNumberFormat="1" applyFont="1" applyFill="1" applyBorder="1" applyAlignment="1" applyProtection="1">
      <alignment horizontal="left"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0" borderId="58" xfId="0" applyFont="1" applyFill="1" applyBorder="1" applyAlignment="1" applyProtection="1">
      <alignment horizontal="center" vertical="center" wrapText="1"/>
      <protection locked="0"/>
    </xf>
    <xf numFmtId="0" fontId="50" fillId="0" borderId="54" xfId="0" applyNumberFormat="1" applyFont="1" applyFill="1" applyBorder="1" applyAlignment="1" applyProtection="1">
      <alignment horizontal="center" vertical="center" wrapText="1"/>
      <protection locked="0"/>
    </xf>
    <xf numFmtId="0" fontId="57" fillId="6" borderId="40" xfId="0" applyNumberFormat="1" applyFont="1" applyFill="1" applyBorder="1" applyAlignment="1" applyProtection="1">
      <alignment horizontal="center" vertical="center" wrapText="1"/>
    </xf>
    <xf numFmtId="0" fontId="57" fillId="6" borderId="41" xfId="0" applyNumberFormat="1" applyFont="1" applyFill="1" applyBorder="1" applyAlignment="1" applyProtection="1">
      <alignment horizontal="center" vertical="center" wrapText="1"/>
    </xf>
    <xf numFmtId="49" fontId="56" fillId="5" borderId="20" xfId="0" applyNumberFormat="1" applyFont="1" applyFill="1" applyBorder="1" applyAlignment="1" applyProtection="1">
      <alignment vertical="center"/>
      <protection locked="0"/>
    </xf>
    <xf numFmtId="184" fontId="50" fillId="0" borderId="2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7" fillId="0" borderId="55" xfId="0" applyNumberFormat="1" applyFont="1" applyFill="1" applyBorder="1" applyAlignment="1" applyProtection="1">
      <alignment horizontal="center" vertical="center" wrapText="1"/>
      <protection locked="0"/>
    </xf>
    <xf numFmtId="0" fontId="50" fillId="2" borderId="51" xfId="0" applyNumberFormat="1" applyFont="1" applyFill="1" applyBorder="1" applyAlignment="1" applyProtection="1">
      <alignment horizontal="center" vertical="center" wrapText="1"/>
      <protection locked="0"/>
    </xf>
    <xf numFmtId="0" fontId="50" fillId="2" borderId="69" xfId="0" applyNumberFormat="1" applyFont="1" applyFill="1" applyBorder="1" applyAlignment="1" applyProtection="1">
      <alignment horizontal="center" vertical="center" wrapText="1"/>
      <protection locked="0"/>
    </xf>
    <xf numFmtId="0" fontId="50" fillId="2" borderId="60" xfId="0" applyNumberFormat="1" applyFont="1" applyFill="1" applyBorder="1" applyAlignment="1" applyProtection="1">
      <alignment horizontal="center" vertical="center" wrapText="1"/>
      <protection locked="0"/>
    </xf>
    <xf numFmtId="9" fontId="50" fillId="2" borderId="37"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49" fontId="56" fillId="2" borderId="10" xfId="0" applyNumberFormat="1" applyFont="1" applyFill="1" applyBorder="1" applyAlignment="1" applyProtection="1">
      <alignment vertical="center"/>
      <protection locked="0"/>
    </xf>
    <xf numFmtId="0" fontId="57" fillId="5" borderId="9" xfId="0" applyFont="1" applyFill="1" applyBorder="1" applyAlignment="1" applyProtection="1">
      <alignment horizontal="center" vertical="center"/>
      <protection locked="0"/>
    </xf>
    <xf numFmtId="0" fontId="57" fillId="6" borderId="19" xfId="0" applyFont="1" applyFill="1" applyBorder="1" applyAlignment="1" applyProtection="1">
      <alignment horizontal="center" vertical="center" wrapText="1"/>
      <protection locked="0"/>
    </xf>
    <xf numFmtId="0" fontId="107" fillId="6" borderId="96" xfId="0" applyFont="1" applyFill="1" applyBorder="1" applyAlignment="1" applyProtection="1">
      <alignment horizontal="center" vertical="center"/>
    </xf>
    <xf numFmtId="0" fontId="109" fillId="6" borderId="0" xfId="0" applyFont="1" applyFill="1" applyAlignment="1" applyProtection="1">
      <alignment horizontal="left" vertical="center"/>
      <protection locked="0"/>
    </xf>
    <xf numFmtId="0" fontId="108" fillId="6" borderId="23" xfId="0" applyFont="1" applyFill="1" applyBorder="1" applyAlignment="1" applyProtection="1">
      <alignment horizontal="center" vertical="center"/>
    </xf>
    <xf numFmtId="0" fontId="108" fillId="6" borderId="25" xfId="0" applyFont="1" applyFill="1" applyBorder="1" applyAlignment="1" applyProtection="1">
      <alignment horizontal="center" vertical="center"/>
    </xf>
    <xf numFmtId="0" fontId="52" fillId="6" borderId="16" xfId="0" applyNumberFormat="1" applyFont="1" applyFill="1" applyBorder="1" applyAlignment="1" applyProtection="1">
      <alignment vertical="center"/>
    </xf>
    <xf numFmtId="0" fontId="52" fillId="5" borderId="23" xfId="0" applyNumberFormat="1" applyFont="1" applyFill="1" applyBorder="1" applyAlignment="1" applyProtection="1">
      <alignment horizontal="center" vertical="center" wrapText="1"/>
      <protection locked="0"/>
    </xf>
    <xf numFmtId="0" fontId="57" fillId="6" borderId="14" xfId="0" applyNumberFormat="1" applyFont="1" applyFill="1" applyBorder="1" applyAlignment="1" applyProtection="1">
      <alignment horizontal="center" vertical="center" wrapText="1"/>
    </xf>
    <xf numFmtId="0" fontId="57" fillId="0" borderId="24" xfId="0" applyFont="1" applyFill="1" applyBorder="1" applyAlignment="1" applyProtection="1">
      <alignment horizontal="center" vertical="center"/>
      <protection locked="0"/>
    </xf>
    <xf numFmtId="0" fontId="107" fillId="0" borderId="49"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59" fillId="6" borderId="0" xfId="0" applyFont="1" applyFill="1" applyAlignment="1" applyProtection="1">
      <alignment vertical="center" wrapText="1"/>
    </xf>
    <xf numFmtId="0" fontId="107" fillId="6" borderId="6" xfId="0" applyNumberFormat="1" applyFont="1" applyFill="1" applyBorder="1" applyAlignment="1" applyProtection="1">
      <alignment horizontal="center" vertical="center"/>
    </xf>
    <xf numFmtId="0" fontId="59" fillId="0" borderId="0" xfId="0" applyFont="1" applyAlignment="1" applyProtection="1">
      <alignment vertical="center" wrapText="1"/>
      <protection locked="0"/>
    </xf>
    <xf numFmtId="0" fontId="59" fillId="0" borderId="0" xfId="0" applyFont="1" applyAlignment="1" applyProtection="1">
      <alignment vertical="center" wrapText="1"/>
    </xf>
    <xf numFmtId="0" fontId="63" fillId="6" borderId="5" xfId="1" applyFont="1" applyFill="1" applyBorder="1" applyAlignment="1" applyProtection="1">
      <alignment vertical="center"/>
    </xf>
    <xf numFmtId="0" fontId="59" fillId="6" borderId="1" xfId="0" applyNumberFormat="1" applyFont="1" applyFill="1" applyBorder="1" applyAlignment="1" applyProtection="1">
      <alignment horizontal="left" vertical="center" wrapText="1"/>
    </xf>
    <xf numFmtId="0" fontId="59" fillId="5" borderId="1" xfId="0" applyNumberFormat="1" applyFont="1" applyFill="1" applyBorder="1" applyAlignment="1" applyProtection="1">
      <alignment horizontal="center" vertical="center" wrapText="1"/>
      <protection locked="0"/>
    </xf>
    <xf numFmtId="0" fontId="59" fillId="6" borderId="1" xfId="0" applyNumberFormat="1" applyFont="1" applyFill="1" applyBorder="1" applyAlignment="1" applyProtection="1">
      <alignment horizontal="center" vertical="center" wrapText="1"/>
    </xf>
    <xf numFmtId="0" fontId="59" fillId="6" borderId="0" xfId="0" applyNumberFormat="1" applyFont="1" applyFill="1" applyAlignment="1" applyProtection="1">
      <alignment vertical="center" wrapText="1"/>
    </xf>
    <xf numFmtId="0" fontId="107" fillId="6" borderId="23" xfId="0" applyNumberFormat="1" applyFont="1" applyFill="1" applyBorder="1" applyAlignment="1" applyProtection="1">
      <alignment horizontal="center" vertical="center"/>
    </xf>
    <xf numFmtId="0" fontId="59" fillId="5" borderId="1" xfId="0" applyNumberFormat="1" applyFont="1" applyFill="1" applyBorder="1" applyAlignment="1" applyProtection="1">
      <alignment vertical="center" wrapText="1"/>
      <protection locked="0"/>
    </xf>
    <xf numFmtId="0" fontId="59" fillId="5" borderId="1" xfId="0" applyFont="1" applyFill="1" applyBorder="1" applyAlignment="1" applyProtection="1">
      <alignment horizontal="left" vertical="center"/>
      <protection locked="0"/>
    </xf>
    <xf numFmtId="49" fontId="56" fillId="6" borderId="13" xfId="0" applyNumberFormat="1"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36" xfId="0" applyFont="1" applyFill="1" applyBorder="1" applyAlignment="1" applyProtection="1">
      <alignment vertical="center" wrapText="1"/>
    </xf>
    <xf numFmtId="0" fontId="57" fillId="6" borderId="36" xfId="0" applyFont="1" applyFill="1" applyBorder="1" applyAlignment="1" applyProtection="1">
      <alignment vertical="center" wrapText="1"/>
    </xf>
    <xf numFmtId="0" fontId="57" fillId="6" borderId="22" xfId="0" applyFont="1" applyFill="1" applyBorder="1" applyAlignment="1" applyProtection="1">
      <alignment vertical="center" wrapText="1"/>
    </xf>
    <xf numFmtId="0" fontId="57" fillId="7" borderId="0" xfId="0" applyFont="1" applyFill="1" applyAlignment="1" applyProtection="1">
      <alignment vertical="center"/>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57" fillId="0" borderId="0" xfId="0" applyFont="1" applyAlignment="1" applyProtection="1">
      <alignment vertical="center" wrapText="1"/>
    </xf>
    <xf numFmtId="49" fontId="60" fillId="6" borderId="26" xfId="0" applyNumberFormat="1" applyFont="1" applyFill="1" applyBorder="1" applyAlignment="1" applyProtection="1">
      <alignment horizontal="center" vertical="center" wrapText="1"/>
    </xf>
    <xf numFmtId="0" fontId="60" fillId="6" borderId="64" xfId="0" applyFont="1" applyFill="1" applyBorder="1" applyAlignment="1" applyProtection="1">
      <alignment horizontal="left" vertical="center" wrapText="1"/>
    </xf>
    <xf numFmtId="0" fontId="123" fillId="6" borderId="34" xfId="0" applyFont="1" applyFill="1" applyBorder="1" applyAlignment="1" applyProtection="1">
      <alignment vertical="center"/>
    </xf>
    <xf numFmtId="0" fontId="60"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wrapText="1"/>
    </xf>
    <xf numFmtId="0" fontId="59" fillId="6" borderId="65" xfId="0" applyFont="1" applyFill="1" applyBorder="1" applyAlignment="1" applyProtection="1">
      <alignment vertical="center" wrapText="1"/>
    </xf>
    <xf numFmtId="0" fontId="60" fillId="6" borderId="9"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9" fillId="6" borderId="19" xfId="0" applyFont="1" applyFill="1" applyBorder="1" applyAlignment="1" applyProtection="1">
      <alignment horizontal="center" vertical="center" wrapText="1"/>
    </xf>
    <xf numFmtId="0" fontId="59" fillId="6" borderId="19" xfId="0" applyFont="1" applyFill="1" applyBorder="1" applyAlignment="1" applyProtection="1">
      <alignment vertical="center" wrapText="1"/>
    </xf>
    <xf numFmtId="0" fontId="59" fillId="6" borderId="31" xfId="0" applyFont="1" applyFill="1" applyBorder="1" applyAlignment="1" applyProtection="1">
      <alignment vertical="center" wrapText="1"/>
    </xf>
    <xf numFmtId="0" fontId="59" fillId="5" borderId="1" xfId="0" applyFont="1" applyFill="1" applyBorder="1" applyAlignment="1" applyProtection="1">
      <alignment horizontal="center" vertical="center" wrapText="1"/>
      <protection locked="0"/>
    </xf>
    <xf numFmtId="0" fontId="59" fillId="6" borderId="5" xfId="0" applyFont="1" applyFill="1" applyBorder="1" applyAlignment="1" applyProtection="1">
      <alignment vertical="center"/>
    </xf>
    <xf numFmtId="0" fontId="59" fillId="6" borderId="54" xfId="0" applyFont="1" applyFill="1" applyBorder="1" applyAlignment="1" applyProtection="1">
      <alignment vertical="center" wrapText="1"/>
    </xf>
    <xf numFmtId="0" fontId="59" fillId="6" borderId="48" xfId="0" applyFont="1" applyFill="1" applyBorder="1" applyAlignment="1" applyProtection="1">
      <alignment vertical="center" wrapText="1"/>
    </xf>
    <xf numFmtId="0" fontId="59" fillId="6" borderId="13" xfId="0" applyFont="1" applyFill="1" applyBorder="1" applyAlignment="1" applyProtection="1">
      <alignment horizontal="left" vertical="center" wrapText="1"/>
    </xf>
    <xf numFmtId="0" fontId="59" fillId="6" borderId="46" xfId="0" applyFont="1" applyFill="1" applyBorder="1" applyAlignment="1" applyProtection="1">
      <alignment vertical="center"/>
    </xf>
    <xf numFmtId="0" fontId="59" fillId="6" borderId="36" xfId="0" applyFont="1" applyFill="1" applyBorder="1" applyAlignment="1" applyProtection="1">
      <alignment vertical="center" wrapText="1"/>
    </xf>
    <xf numFmtId="0" fontId="59" fillId="6" borderId="59" xfId="0" applyFont="1" applyFill="1" applyBorder="1" applyAlignment="1" applyProtection="1">
      <alignment vertical="center" wrapText="1"/>
    </xf>
    <xf numFmtId="0" fontId="60" fillId="6" borderId="17" xfId="0" applyFont="1" applyFill="1" applyBorder="1" applyAlignment="1" applyProtection="1">
      <alignment horizontal="left" vertical="center" wrapText="1"/>
    </xf>
    <xf numFmtId="0" fontId="59" fillId="6" borderId="28" xfId="0" applyFont="1" applyFill="1" applyBorder="1" applyAlignment="1" applyProtection="1">
      <alignment vertical="center"/>
    </xf>
    <xf numFmtId="0" fontId="59" fillId="6" borderId="20" xfId="0" applyFont="1" applyFill="1" applyBorder="1" applyAlignment="1" applyProtection="1">
      <alignment horizontal="center" vertical="center" wrapText="1"/>
    </xf>
    <xf numFmtId="0" fontId="59" fillId="6" borderId="20" xfId="0" applyFont="1" applyFill="1" applyBorder="1" applyAlignment="1" applyProtection="1">
      <alignment vertical="center" wrapText="1"/>
    </xf>
    <xf numFmtId="0" fontId="59" fillId="6" borderId="21" xfId="0" applyFont="1" applyFill="1" applyBorder="1" applyAlignment="1" applyProtection="1">
      <alignment vertical="center" wrapText="1"/>
    </xf>
    <xf numFmtId="0" fontId="107" fillId="6" borderId="25" xfId="0" applyNumberFormat="1" applyFont="1" applyFill="1" applyBorder="1" applyAlignment="1" applyProtection="1">
      <alignment horizontal="center" vertical="center"/>
    </xf>
    <xf numFmtId="0" fontId="108" fillId="6" borderId="13" xfId="0" applyFont="1" applyFill="1" applyBorder="1" applyAlignment="1" applyProtection="1">
      <alignment horizontal="left" vertical="center" wrapText="1"/>
    </xf>
    <xf numFmtId="0" fontId="108" fillId="6" borderId="3"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wrapText="1"/>
      <protection locked="0"/>
    </xf>
    <xf numFmtId="0" fontId="108" fillId="6" borderId="2" xfId="0" applyFont="1" applyFill="1" applyBorder="1" applyAlignment="1" applyProtection="1">
      <alignment horizontal="left" vertical="center" wrapText="1"/>
    </xf>
    <xf numFmtId="0" fontId="108" fillId="5" borderId="3" xfId="0" applyFont="1" applyFill="1" applyBorder="1" applyAlignment="1" applyProtection="1">
      <alignment horizontal="center" vertical="center" wrapText="1"/>
      <protection locked="0"/>
    </xf>
    <xf numFmtId="0" fontId="108" fillId="5" borderId="1"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wrapText="1"/>
      <protection locked="0"/>
    </xf>
    <xf numFmtId="0" fontId="54" fillId="6" borderId="4" xfId="0" applyFont="1" applyFill="1" applyBorder="1" applyAlignment="1" applyProtection="1">
      <alignment vertical="center"/>
    </xf>
    <xf numFmtId="0" fontId="59" fillId="6" borderId="0" xfId="0" applyFont="1" applyFill="1" applyBorder="1" applyAlignment="1" applyProtection="1">
      <alignment vertical="center" wrapText="1"/>
    </xf>
    <xf numFmtId="0" fontId="123" fillId="6" borderId="60" xfId="0" applyFont="1" applyFill="1" applyBorder="1" applyAlignment="1" applyProtection="1">
      <alignment vertical="center"/>
    </xf>
    <xf numFmtId="0" fontId="123" fillId="6" borderId="71" xfId="0" applyFont="1" applyFill="1" applyBorder="1" applyAlignment="1" applyProtection="1">
      <alignment vertical="center"/>
    </xf>
    <xf numFmtId="0" fontId="108" fillId="6" borderId="74" xfId="0" applyFont="1" applyFill="1" applyBorder="1" applyAlignment="1" applyProtection="1">
      <alignment horizontal="left" vertical="center" wrapText="1"/>
    </xf>
    <xf numFmtId="0" fontId="59" fillId="6" borderId="41" xfId="0" applyFont="1" applyFill="1" applyBorder="1" applyAlignment="1" applyProtection="1">
      <alignment horizontal="center" vertical="center" wrapText="1"/>
    </xf>
    <xf numFmtId="0" fontId="59" fillId="6" borderId="8" xfId="0" applyFont="1" applyFill="1" applyBorder="1" applyAlignment="1" applyProtection="1">
      <alignment horizontal="center" vertical="center" wrapText="1"/>
    </xf>
    <xf numFmtId="0" fontId="59" fillId="5" borderId="9" xfId="0" applyFont="1" applyFill="1" applyBorder="1" applyAlignment="1" applyProtection="1">
      <alignment horizontal="center" vertical="center" wrapText="1"/>
      <protection locked="0"/>
    </xf>
    <xf numFmtId="0" fontId="59" fillId="5" borderId="10" xfId="0" applyFont="1" applyFill="1" applyBorder="1" applyAlignment="1" applyProtection="1">
      <alignment horizontal="center" vertical="center" wrapText="1"/>
      <protection locked="0"/>
    </xf>
    <xf numFmtId="0" fontId="59" fillId="6" borderId="23" xfId="0" applyFont="1" applyFill="1" applyBorder="1" applyAlignment="1" applyProtection="1">
      <alignment horizontal="center" vertical="center" wrapText="1"/>
    </xf>
    <xf numFmtId="9" fontId="59" fillId="6" borderId="25"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xf>
    <xf numFmtId="49" fontId="56" fillId="6" borderId="26" xfId="0" applyNumberFormat="1"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0" fontId="59" fillId="6" borderId="64" xfId="0" applyFont="1" applyFill="1" applyBorder="1" applyAlignment="1" applyProtection="1">
      <alignment vertical="center"/>
    </xf>
    <xf numFmtId="0" fontId="57" fillId="6" borderId="65" xfId="0" applyFont="1" applyFill="1" applyBorder="1" applyAlignment="1" applyProtection="1">
      <alignment vertical="center" wrapText="1"/>
    </xf>
    <xf numFmtId="0" fontId="59" fillId="0" borderId="0" xfId="0" applyFont="1" applyAlignment="1" applyProtection="1">
      <alignment horizontal="center" vertical="center" wrapText="1"/>
    </xf>
    <xf numFmtId="0" fontId="57" fillId="6" borderId="84" xfId="0" applyFont="1" applyFill="1" applyBorder="1" applyAlignment="1" applyProtection="1">
      <alignment horizontal="center" vertical="center" wrapText="1"/>
    </xf>
    <xf numFmtId="0" fontId="57" fillId="5" borderId="84" xfId="8" applyFont="1" applyFill="1" applyBorder="1" applyAlignment="1" applyProtection="1">
      <alignment horizontal="center" vertical="center" wrapText="1"/>
      <protection locked="0"/>
    </xf>
    <xf numFmtId="0" fontId="57" fillId="6" borderId="6" xfId="0" applyFont="1" applyFill="1" applyBorder="1" applyAlignment="1" applyProtection="1">
      <alignment vertical="center" wrapText="1"/>
    </xf>
    <xf numFmtId="0" fontId="59" fillId="6" borderId="64" xfId="0" applyFont="1" applyFill="1" applyBorder="1" applyAlignment="1" applyProtection="1">
      <alignment horizontal="center" vertical="center" wrapText="1"/>
    </xf>
    <xf numFmtId="10" fontId="59" fillId="7" borderId="0" xfId="0" applyNumberFormat="1" applyFont="1" applyFill="1" applyAlignment="1" applyProtection="1">
      <alignment horizontal="center" vertical="center" wrapText="1"/>
    </xf>
    <xf numFmtId="10" fontId="59"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49" fontId="56" fillId="6" borderId="40"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0" fontId="59" fillId="6" borderId="17"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0" fontId="57" fillId="6" borderId="19" xfId="8" applyFont="1" applyFill="1" applyBorder="1" applyAlignment="1" applyProtection="1">
      <alignment horizontal="center" vertical="center" wrapText="1"/>
      <protection locked="0"/>
    </xf>
    <xf numFmtId="0" fontId="57" fillId="6" borderId="9" xfId="8" applyFont="1" applyFill="1" applyBorder="1" applyAlignment="1" applyProtection="1">
      <alignment vertical="center" wrapText="1"/>
      <protection locked="0"/>
    </xf>
    <xf numFmtId="0" fontId="57" fillId="6" borderId="31" xfId="8" applyFont="1" applyFill="1" applyBorder="1" applyAlignment="1" applyProtection="1">
      <alignment vertical="center"/>
      <protection locked="0"/>
    </xf>
    <xf numFmtId="49" fontId="56" fillId="6" borderId="6" xfId="0" applyNumberFormat="1" applyFont="1" applyFill="1" applyBorder="1" applyAlignment="1" applyProtection="1">
      <alignment horizontal="left" vertical="center" wrapText="1"/>
    </xf>
    <xf numFmtId="0" fontId="56" fillId="5" borderId="9" xfId="0" applyFont="1" applyFill="1" applyBorder="1" applyAlignment="1" applyProtection="1">
      <alignment horizontal="left" vertical="center" wrapText="1"/>
      <protection locked="0"/>
    </xf>
    <xf numFmtId="0" fontId="57" fillId="6" borderId="19" xfId="0" applyFont="1" applyFill="1" applyBorder="1" applyAlignment="1" applyProtection="1">
      <alignment vertical="center" wrapText="1"/>
    </xf>
    <xf numFmtId="0" fontId="57" fillId="6" borderId="10" xfId="0" applyFont="1" applyFill="1" applyBorder="1" applyAlignment="1" applyProtection="1">
      <alignment vertical="center" wrapText="1"/>
    </xf>
    <xf numFmtId="0" fontId="57" fillId="6" borderId="23" xfId="8" applyFont="1" applyFill="1" applyBorder="1" applyAlignment="1" applyProtection="1">
      <alignment horizontal="center" vertical="center" wrapText="1"/>
    </xf>
    <xf numFmtId="0" fontId="57" fillId="6" borderId="1" xfId="0" applyFont="1" applyFill="1" applyBorder="1" applyAlignment="1" applyProtection="1">
      <alignment horizontal="left" vertical="center" wrapText="1"/>
    </xf>
    <xf numFmtId="0" fontId="57" fillId="6" borderId="13" xfId="0" applyFont="1" applyFill="1" applyBorder="1" applyAlignment="1" applyProtection="1">
      <alignment horizontal="left" vertical="center" wrapText="1"/>
    </xf>
    <xf numFmtId="187" fontId="59" fillId="6" borderId="15" xfId="0" applyNumberFormat="1" applyFont="1" applyFill="1" applyBorder="1" applyAlignment="1" applyProtection="1">
      <alignment horizontal="center" vertical="center" wrapText="1"/>
    </xf>
    <xf numFmtId="187" fontId="59" fillId="6" borderId="58" xfId="0" applyNumberFormat="1" applyFont="1" applyFill="1" applyBorder="1" applyAlignment="1" applyProtection="1">
      <alignment horizontal="center" vertical="center" wrapText="1"/>
    </xf>
    <xf numFmtId="0" fontId="59" fillId="6" borderId="22" xfId="0" applyFont="1" applyFill="1" applyBorder="1" applyAlignment="1" applyProtection="1">
      <alignment vertical="center" wrapText="1"/>
    </xf>
    <xf numFmtId="0" fontId="57" fillId="6" borderId="13" xfId="0" applyFont="1" applyFill="1" applyBorder="1" applyAlignment="1" applyProtection="1">
      <alignment vertical="center" wrapText="1"/>
    </xf>
    <xf numFmtId="0" fontId="57" fillId="6" borderId="61" xfId="0" applyFont="1" applyFill="1" applyBorder="1" applyAlignment="1" applyProtection="1">
      <alignment vertical="center" wrapText="1"/>
    </xf>
    <xf numFmtId="0" fontId="57" fillId="6" borderId="84" xfId="0" applyFont="1" applyFill="1" applyBorder="1" applyAlignment="1" applyProtection="1">
      <alignment vertical="center" wrapText="1"/>
    </xf>
    <xf numFmtId="0" fontId="57" fillId="6" borderId="67" xfId="0" applyFont="1" applyFill="1" applyBorder="1" applyAlignment="1" applyProtection="1">
      <alignment vertical="center" wrapText="1"/>
    </xf>
    <xf numFmtId="0" fontId="57" fillId="6" borderId="25" xfId="8" applyFont="1" applyFill="1" applyBorder="1" applyAlignment="1" applyProtection="1">
      <alignment horizontal="center" vertical="center" wrapText="1"/>
    </xf>
    <xf numFmtId="0" fontId="56" fillId="6" borderId="28" xfId="0" applyFont="1" applyFill="1" applyBorder="1" applyAlignment="1" applyProtection="1">
      <alignment horizontal="left" vertical="center" wrapText="1"/>
    </xf>
    <xf numFmtId="0" fontId="60" fillId="6" borderId="19" xfId="0" applyFont="1" applyFill="1" applyBorder="1" applyAlignment="1" applyProtection="1">
      <alignment vertical="center" wrapText="1"/>
    </xf>
    <xf numFmtId="0" fontId="57" fillId="6" borderId="26" xfId="8"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xf>
    <xf numFmtId="0" fontId="59" fillId="6" borderId="58" xfId="0" applyFont="1" applyFill="1" applyBorder="1" applyAlignment="1" applyProtection="1">
      <alignment vertical="center" wrapText="1"/>
    </xf>
    <xf numFmtId="0" fontId="60" fillId="6" borderId="0" xfId="0" applyFont="1" applyFill="1" applyBorder="1" applyAlignment="1" applyProtection="1">
      <alignment vertical="center" wrapText="1"/>
    </xf>
    <xf numFmtId="0" fontId="59" fillId="6" borderId="56" xfId="0" applyFont="1" applyFill="1" applyBorder="1" applyAlignment="1" applyProtection="1">
      <alignment vertical="center" wrapText="1"/>
    </xf>
    <xf numFmtId="0" fontId="57" fillId="6" borderId="0" xfId="0" applyFont="1" applyFill="1" applyBorder="1" applyAlignment="1" applyProtection="1">
      <alignment horizontal="left" vertical="center" wrapText="1"/>
    </xf>
    <xf numFmtId="0" fontId="59" fillId="6" borderId="75"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60" fillId="6" borderId="47" xfId="0" applyFont="1" applyFill="1" applyBorder="1" applyAlignment="1" applyProtection="1">
      <alignment vertical="center" wrapText="1"/>
    </xf>
    <xf numFmtId="0" fontId="59" fillId="6" borderId="43" xfId="0" applyFont="1" applyFill="1" applyBorder="1" applyAlignment="1" applyProtection="1">
      <alignment vertical="center" wrapText="1"/>
    </xf>
    <xf numFmtId="49" fontId="56" fillId="6" borderId="40" xfId="0" applyNumberFormat="1" applyFont="1" applyFill="1" applyBorder="1" applyAlignment="1" applyProtection="1">
      <alignment horizontal="center" vertical="center" wrapText="1"/>
    </xf>
    <xf numFmtId="0" fontId="60" fillId="6" borderId="30"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60" fillId="6" borderId="28" xfId="0" applyFont="1" applyFill="1" applyBorder="1" applyAlignment="1" applyProtection="1">
      <alignment vertical="center" wrapText="1"/>
    </xf>
    <xf numFmtId="0" fontId="59" fillId="6" borderId="14" xfId="0" applyFont="1" applyFill="1" applyBorder="1" applyAlignment="1" applyProtection="1">
      <alignment horizontal="center" vertical="center" wrapText="1"/>
    </xf>
    <xf numFmtId="0" fontId="59" fillId="6" borderId="3" xfId="0" applyFont="1" applyFill="1" applyBorder="1" applyAlignment="1" applyProtection="1">
      <alignment horizontal="left" vertical="center" wrapText="1"/>
    </xf>
    <xf numFmtId="0" fontId="59" fillId="0" borderId="1" xfId="0" applyFont="1" applyBorder="1" applyAlignment="1" applyProtection="1">
      <alignment vertical="center" wrapText="1"/>
      <protection locked="0"/>
    </xf>
    <xf numFmtId="0" fontId="108" fillId="6" borderId="5" xfId="0" applyFont="1" applyFill="1" applyBorder="1" applyAlignment="1" applyProtection="1">
      <alignment vertical="center"/>
    </xf>
    <xf numFmtId="0" fontId="108" fillId="6" borderId="54" xfId="0" applyFont="1" applyFill="1" applyBorder="1" applyAlignment="1" applyProtection="1">
      <alignment vertical="center"/>
    </xf>
    <xf numFmtId="0" fontId="108" fillId="6" borderId="48" xfId="0" applyFont="1" applyFill="1" applyBorder="1" applyAlignment="1" applyProtection="1">
      <alignment vertical="center"/>
    </xf>
    <xf numFmtId="0" fontId="60" fillId="6" borderId="12" xfId="0" applyFont="1" applyFill="1" applyBorder="1" applyAlignment="1" applyProtection="1">
      <alignment vertical="center" wrapText="1"/>
    </xf>
    <xf numFmtId="0" fontId="59" fillId="6" borderId="66" xfId="0" applyFont="1" applyFill="1" applyBorder="1" applyAlignment="1" applyProtection="1">
      <alignment horizontal="left" vertical="center" wrapText="1"/>
    </xf>
    <xf numFmtId="0" fontId="59" fillId="0" borderId="32" xfId="0" applyFont="1" applyBorder="1" applyAlignment="1" applyProtection="1">
      <alignment vertical="center" wrapText="1"/>
      <protection locked="0"/>
    </xf>
    <xf numFmtId="0" fontId="59" fillId="6" borderId="32" xfId="0" applyFont="1" applyFill="1" applyBorder="1" applyAlignment="1" applyProtection="1">
      <alignment vertical="center"/>
    </xf>
    <xf numFmtId="0" fontId="59" fillId="6" borderId="52" xfId="0" applyFont="1" applyFill="1" applyBorder="1" applyAlignment="1" applyProtection="1">
      <alignment vertical="center" wrapText="1"/>
    </xf>
    <xf numFmtId="0" fontId="59" fillId="6" borderId="68" xfId="0" applyFont="1" applyFill="1" applyBorder="1" applyAlignment="1" applyProtection="1">
      <alignment vertical="center" wrapText="1"/>
    </xf>
    <xf numFmtId="0" fontId="60" fillId="6" borderId="40" xfId="0" applyFont="1" applyFill="1" applyBorder="1" applyAlignment="1" applyProtection="1">
      <alignment vertical="center" wrapText="1"/>
    </xf>
    <xf numFmtId="0" fontId="60" fillId="6" borderId="39" xfId="0" applyFont="1" applyFill="1" applyBorder="1" applyAlignment="1" applyProtection="1">
      <alignment horizontal="left" vertical="center" wrapText="1"/>
    </xf>
    <xf numFmtId="0" fontId="59" fillId="6" borderId="20" xfId="0" applyFont="1" applyFill="1" applyBorder="1" applyAlignment="1" applyProtection="1">
      <alignment vertical="center"/>
    </xf>
    <xf numFmtId="0" fontId="59" fillId="6" borderId="30" xfId="0" applyFont="1" applyFill="1" applyBorder="1" applyAlignment="1" applyProtection="1">
      <alignment vertical="center"/>
    </xf>
    <xf numFmtId="0" fontId="60" fillId="6" borderId="7"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108" fillId="6" borderId="7" xfId="0" applyFont="1" applyFill="1" applyBorder="1" applyAlignment="1" applyProtection="1">
      <alignment horizontal="center" vertical="center" wrapText="1"/>
    </xf>
    <xf numFmtId="0" fontId="59" fillId="6" borderId="56" xfId="0" applyFont="1" applyFill="1" applyBorder="1" applyAlignment="1" applyProtection="1">
      <alignment horizontal="center" vertical="center" wrapText="1"/>
    </xf>
    <xf numFmtId="0" fontId="60" fillId="6" borderId="14" xfId="0" applyFont="1" applyFill="1" applyBorder="1" applyAlignment="1" applyProtection="1">
      <alignment vertical="center" wrapText="1"/>
    </xf>
    <xf numFmtId="0" fontId="59" fillId="6" borderId="16" xfId="0" applyFont="1" applyFill="1" applyBorder="1" applyAlignment="1" applyProtection="1">
      <alignment vertical="center"/>
      <protection locked="0"/>
    </xf>
    <xf numFmtId="0" fontId="59" fillId="6" borderId="31" xfId="0" applyFont="1" applyFill="1" applyBorder="1" applyAlignment="1" applyProtection="1">
      <alignment vertical="center" wrapText="1"/>
      <protection locked="0"/>
    </xf>
    <xf numFmtId="9" fontId="59" fillId="6" borderId="24" xfId="0" applyNumberFormat="1" applyFont="1" applyFill="1" applyBorder="1" applyAlignment="1" applyProtection="1">
      <alignment horizontal="center" vertical="center"/>
    </xf>
    <xf numFmtId="0" fontId="108" fillId="6" borderId="66" xfId="0" applyFont="1" applyFill="1" applyBorder="1" applyAlignment="1" applyProtection="1">
      <alignment horizontal="center" vertical="center" wrapText="1"/>
    </xf>
    <xf numFmtId="0" fontId="59" fillId="6" borderId="43" xfId="0" applyFont="1" applyFill="1" applyBorder="1" applyAlignment="1" applyProtection="1">
      <alignment horizontal="center" vertical="center" wrapText="1"/>
    </xf>
    <xf numFmtId="0" fontId="59" fillId="6" borderId="25" xfId="0" applyFont="1" applyFill="1" applyBorder="1" applyAlignment="1" applyProtection="1">
      <alignment vertical="center" wrapText="1"/>
    </xf>
    <xf numFmtId="9" fontId="59" fillId="6" borderId="49" xfId="0" applyNumberFormat="1" applyFont="1" applyFill="1" applyBorder="1" applyAlignment="1" applyProtection="1">
      <alignment horizontal="center" vertical="center" wrapText="1"/>
    </xf>
    <xf numFmtId="0" fontId="59" fillId="7" borderId="0" xfId="0" applyFont="1" applyFill="1" applyAlignment="1" applyProtection="1">
      <alignment horizontal="left" vertical="center" wrapText="1"/>
      <protection locked="0"/>
    </xf>
    <xf numFmtId="0" fontId="118" fillId="6" borderId="0" xfId="0" applyFont="1" applyFill="1" applyProtection="1">
      <alignment vertical="center"/>
    </xf>
    <xf numFmtId="187" fontId="107" fillId="6" borderId="0" xfId="0" applyNumberFormat="1" applyFont="1" applyFill="1" applyAlignment="1" applyProtection="1">
      <alignment horizontal="center" vertical="center" wrapText="1"/>
    </xf>
    <xf numFmtId="0" fontId="118" fillId="6" borderId="51" xfId="0" applyFont="1" applyFill="1" applyBorder="1" applyAlignment="1" applyProtection="1">
      <alignment vertical="center"/>
    </xf>
    <xf numFmtId="187" fontId="224" fillId="6" borderId="19" xfId="0" applyNumberFormat="1" applyFont="1" applyFill="1" applyBorder="1" applyAlignment="1" applyProtection="1">
      <alignment horizontal="center" vertical="center" wrapText="1"/>
    </xf>
    <xf numFmtId="0" fontId="107" fillId="6" borderId="19" xfId="0" applyFont="1" applyFill="1" applyBorder="1" applyProtection="1">
      <alignment vertical="center"/>
    </xf>
    <xf numFmtId="0" fontId="118" fillId="6" borderId="0" xfId="0" applyFont="1" applyFill="1" applyBorder="1" applyAlignment="1" applyProtection="1">
      <alignment horizontal="center" vertical="center"/>
    </xf>
    <xf numFmtId="0" fontId="108" fillId="6" borderId="23" xfId="0" applyFont="1" applyFill="1" applyBorder="1" applyAlignment="1" applyProtection="1">
      <alignment horizontal="center" vertical="center" wrapText="1"/>
    </xf>
    <xf numFmtId="0" fontId="123" fillId="6" borderId="58" xfId="0" applyFont="1" applyFill="1" applyBorder="1" applyAlignment="1" applyProtection="1">
      <alignment horizontal="center" vertical="center" wrapText="1"/>
    </xf>
    <xf numFmtId="0" fontId="123" fillId="6" borderId="1" xfId="0" applyFont="1" applyFill="1" applyBorder="1" applyAlignment="1" applyProtection="1">
      <alignment horizontal="center" vertical="center" wrapText="1"/>
    </xf>
    <xf numFmtId="49" fontId="108" fillId="6" borderId="1"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183" fillId="0" borderId="1" xfId="0" applyNumberFormat="1" applyFont="1" applyFill="1" applyBorder="1" applyAlignment="1" applyProtection="1">
      <alignment horizontal="center" vertical="center" wrapText="1"/>
      <protection locked="0"/>
    </xf>
    <xf numFmtId="0" fontId="183" fillId="0" borderId="13" xfId="0" applyNumberFormat="1" applyFont="1" applyFill="1" applyBorder="1" applyAlignment="1" applyProtection="1">
      <alignment horizontal="center" vertical="center" wrapText="1"/>
      <protection locked="0"/>
    </xf>
    <xf numFmtId="0" fontId="108" fillId="6" borderId="37" xfId="0" applyFont="1" applyFill="1" applyBorder="1" applyAlignment="1" applyProtection="1">
      <alignment horizontal="center" vertical="center" wrapText="1"/>
    </xf>
    <xf numFmtId="0" fontId="108" fillId="6" borderId="25" xfId="0" applyFont="1" applyFill="1" applyBorder="1" applyAlignment="1" applyProtection="1">
      <alignment horizontal="center" vertical="center" wrapText="1"/>
    </xf>
    <xf numFmtId="49" fontId="108" fillId="6" borderId="74" xfId="0" applyNumberFormat="1" applyFont="1" applyFill="1" applyBorder="1" applyAlignment="1" applyProtection="1">
      <alignment horizontal="center" vertical="center" wrapText="1"/>
    </xf>
    <xf numFmtId="49" fontId="108" fillId="6" borderId="32"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wrapText="1"/>
      <protection locked="0"/>
    </xf>
    <xf numFmtId="0" fontId="183" fillId="0" borderId="32" xfId="0" applyNumberFormat="1" applyFont="1" applyFill="1" applyBorder="1" applyAlignment="1" applyProtection="1">
      <alignment horizontal="center" vertical="center" wrapText="1"/>
      <protection locked="0"/>
    </xf>
    <xf numFmtId="0" fontId="108" fillId="6" borderId="32"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6" borderId="3" xfId="0" applyFont="1" applyFill="1" applyBorder="1" applyAlignment="1" applyProtection="1">
      <alignment vertical="center"/>
    </xf>
    <xf numFmtId="0" fontId="108" fillId="6" borderId="0" xfId="0" applyFont="1" applyFill="1" applyBorder="1" applyAlignment="1" applyProtection="1">
      <alignment horizontal="center" vertical="center"/>
    </xf>
    <xf numFmtId="186" fontId="108" fillId="6" borderId="1" xfId="0" applyNumberFormat="1" applyFont="1" applyFill="1" applyBorder="1" applyAlignment="1" applyProtection="1">
      <alignment horizontal="center" vertical="center"/>
    </xf>
    <xf numFmtId="187" fontId="108" fillId="6" borderId="1" xfId="0" applyNumberFormat="1" applyFont="1" applyFill="1" applyBorder="1" applyAlignment="1" applyProtection="1">
      <alignment horizontal="center" vertical="center"/>
    </xf>
    <xf numFmtId="177" fontId="123" fillId="6" borderId="1" xfId="0" applyNumberFormat="1" applyFont="1" applyFill="1" applyBorder="1" applyAlignment="1" applyProtection="1">
      <alignment horizontal="center" vertical="center"/>
    </xf>
    <xf numFmtId="187" fontId="123" fillId="6" borderId="1" xfId="0" applyNumberFormat="1" applyFont="1" applyFill="1" applyBorder="1" applyAlignment="1" applyProtection="1">
      <alignment horizontal="center" vertical="center" wrapText="1"/>
    </xf>
    <xf numFmtId="186" fontId="108" fillId="6" borderId="2" xfId="0" applyNumberFormat="1" applyFont="1" applyFill="1" applyBorder="1" applyAlignment="1" applyProtection="1">
      <alignment horizontal="center" vertical="center" wrapText="1"/>
    </xf>
    <xf numFmtId="179" fontId="123" fillId="6" borderId="1" xfId="0" applyNumberFormat="1" applyFont="1" applyFill="1" applyBorder="1" applyAlignment="1" applyProtection="1">
      <alignment horizontal="center" vertical="center"/>
    </xf>
    <xf numFmtId="0" fontId="108" fillId="0" borderId="0" xfId="0" applyFont="1" applyAlignment="1" applyProtection="1">
      <alignment horizontal="left" vertical="center"/>
    </xf>
    <xf numFmtId="0" fontId="59" fillId="0" borderId="0" xfId="0" applyFont="1" applyAlignment="1" applyProtection="1">
      <alignment horizontal="left" vertical="center" wrapText="1"/>
    </xf>
    <xf numFmtId="0" fontId="189" fillId="6" borderId="1" xfId="3" applyNumberFormat="1" applyFont="1" applyFill="1" applyBorder="1" applyAlignment="1" applyProtection="1">
      <alignment horizontal="center" vertical="center"/>
    </xf>
    <xf numFmtId="0" fontId="107" fillId="0" borderId="0" xfId="0" applyNumberFormat="1" applyFont="1" applyProtection="1">
      <alignment vertical="center"/>
    </xf>
    <xf numFmtId="0" fontId="59" fillId="6" borderId="9"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wrapText="1"/>
    </xf>
    <xf numFmtId="0" fontId="59" fillId="6" borderId="17" xfId="3" applyNumberFormat="1" applyFont="1" applyFill="1" applyBorder="1" applyAlignment="1" applyProtection="1">
      <alignment horizontal="center" vertical="center"/>
    </xf>
    <xf numFmtId="0" fontId="59" fillId="6" borderId="62" xfId="3" applyNumberFormat="1" applyFont="1" applyFill="1" applyBorder="1" applyAlignment="1" applyProtection="1">
      <alignment horizontal="center" vertical="center"/>
    </xf>
    <xf numFmtId="0" fontId="135" fillId="6" borderId="1" xfId="0" applyFont="1" applyFill="1" applyBorder="1">
      <alignment vertical="center"/>
    </xf>
    <xf numFmtId="0" fontId="107" fillId="6" borderId="1" xfId="0" applyFont="1" applyFill="1" applyBorder="1">
      <alignment vertical="center"/>
    </xf>
    <xf numFmtId="0" fontId="107" fillId="6" borderId="0" xfId="0" applyFont="1" applyFill="1">
      <alignment vertical="center"/>
    </xf>
    <xf numFmtId="0" fontId="135" fillId="6" borderId="0" xfId="0" applyFont="1" applyFill="1">
      <alignment vertical="center"/>
    </xf>
    <xf numFmtId="0" fontId="135" fillId="6" borderId="1" xfId="0" applyFont="1" applyFill="1" applyBorder="1" applyAlignment="1">
      <alignment vertical="center" wrapText="1"/>
    </xf>
    <xf numFmtId="0" fontId="135" fillId="5" borderId="1" xfId="0" applyFont="1" applyFill="1" applyBorder="1" applyAlignment="1" applyProtection="1">
      <alignment horizontal="center" vertical="center"/>
      <protection locked="0"/>
    </xf>
    <xf numFmtId="0" fontId="58" fillId="6" borderId="96" xfId="0" applyNumberFormat="1" applyFont="1" applyFill="1" applyBorder="1" applyAlignment="1" applyProtection="1">
      <alignment horizontal="center" vertical="center" wrapText="1"/>
    </xf>
    <xf numFmtId="0" fontId="53" fillId="10" borderId="16" xfId="0" applyNumberFormat="1" applyFont="1" applyFill="1" applyBorder="1" applyAlignment="1" applyProtection="1">
      <alignment horizontal="center" vertical="center" wrapText="1"/>
    </xf>
    <xf numFmtId="0" fontId="58" fillId="6" borderId="16" xfId="0" applyFont="1" applyFill="1" applyBorder="1" applyAlignment="1" applyProtection="1">
      <alignment horizontal="left" vertical="center"/>
      <protection locked="0"/>
    </xf>
    <xf numFmtId="0" fontId="60" fillId="5" borderId="38" xfId="1" applyFont="1" applyFill="1" applyBorder="1" applyAlignment="1" applyProtection="1">
      <alignment vertical="center"/>
      <protection locked="0"/>
    </xf>
    <xf numFmtId="0" fontId="63" fillId="5" borderId="49" xfId="1" applyFont="1" applyFill="1" applyBorder="1" applyAlignment="1" applyProtection="1">
      <alignment vertical="center"/>
      <protection locked="0"/>
    </xf>
    <xf numFmtId="0" fontId="111" fillId="0" borderId="0" xfId="9" applyFont="1" applyFill="1" applyBorder="1" applyAlignment="1" applyProtection="1">
      <alignment horizontal="center" vertical="center"/>
      <protection locked="0"/>
    </xf>
    <xf numFmtId="0" fontId="156" fillId="14" borderId="0" xfId="9" applyFont="1" applyFill="1" applyBorder="1" applyAlignment="1" applyProtection="1">
      <alignment horizontal="center" vertical="center"/>
      <protection locked="0"/>
    </xf>
    <xf numFmtId="0" fontId="123" fillId="6" borderId="0" xfId="0" applyFont="1" applyFill="1" applyProtection="1">
      <alignment vertical="center"/>
      <protection locked="0"/>
    </xf>
    <xf numFmtId="0" fontId="148" fillId="16" borderId="0" xfId="9" applyFont="1" applyFill="1">
      <alignment vertical="center"/>
    </xf>
    <xf numFmtId="0" fontId="123" fillId="5" borderId="0" xfId="9" applyFont="1" applyFill="1">
      <alignment vertical="center"/>
    </xf>
    <xf numFmtId="0" fontId="111" fillId="16" borderId="0" xfId="9" applyFont="1" applyFill="1">
      <alignment vertical="center"/>
    </xf>
    <xf numFmtId="0" fontId="107" fillId="16" borderId="0" xfId="10" applyFont="1" applyFill="1" applyAlignment="1" applyProtection="1">
      <alignment horizontal="center" vertical="center"/>
    </xf>
    <xf numFmtId="0" fontId="25" fillId="16" borderId="0" xfId="10" applyFont="1" applyFill="1" applyAlignment="1" applyProtection="1">
      <alignment horizontal="center" vertical="center"/>
    </xf>
    <xf numFmtId="0" fontId="111" fillId="16" borderId="122" xfId="9" applyFont="1" applyFill="1" applyBorder="1" applyAlignment="1">
      <alignment horizontal="center" vertical="center"/>
    </xf>
    <xf numFmtId="0" fontId="111" fillId="16" borderId="0" xfId="9" applyFont="1" applyFill="1" applyBorder="1" applyAlignment="1">
      <alignment horizontal="center" vertical="center"/>
    </xf>
    <xf numFmtId="0" fontId="156" fillId="16" borderId="0" xfId="9" applyFont="1" applyFill="1" applyBorder="1" applyAlignment="1" applyProtection="1">
      <alignment horizontal="center" vertical="center"/>
      <protection locked="0"/>
    </xf>
    <xf numFmtId="0" fontId="111" fillId="16" borderId="0" xfId="9" applyFont="1" applyFill="1" applyAlignment="1">
      <alignment horizontal="center" vertical="center"/>
    </xf>
    <xf numFmtId="0" fontId="108" fillId="16" borderId="0" xfId="9" applyFont="1" applyFill="1" applyAlignment="1">
      <alignment horizontal="center" vertical="center"/>
    </xf>
    <xf numFmtId="10" fontId="108" fillId="16" borderId="0" xfId="9" applyNumberFormat="1" applyFont="1" applyFill="1" applyAlignment="1">
      <alignment horizontal="center" vertical="center"/>
    </xf>
    <xf numFmtId="0" fontId="150" fillId="16" borderId="0" xfId="9" applyFont="1" applyFill="1">
      <alignment vertical="center"/>
    </xf>
    <xf numFmtId="192" fontId="129" fillId="0" borderId="1" xfId="5" applyNumberFormat="1" applyFont="1" applyFill="1" applyBorder="1" applyAlignment="1">
      <alignment horizontal="right" vertical="center"/>
    </xf>
    <xf numFmtId="181" fontId="108" fillId="6" borderId="1" xfId="0" applyNumberFormat="1" applyFont="1" applyFill="1" applyBorder="1" applyAlignment="1" applyProtection="1">
      <alignment horizontal="center" vertical="center" wrapText="1"/>
    </xf>
    <xf numFmtId="0" fontId="22" fillId="6" borderId="1" xfId="0" applyFont="1" applyFill="1" applyBorder="1" applyAlignment="1" applyProtection="1">
      <alignment vertical="center" wrapText="1"/>
    </xf>
    <xf numFmtId="0" fontId="155" fillId="12" borderId="126" xfId="9" applyFont="1" applyFill="1" applyBorder="1" applyAlignment="1" applyProtection="1">
      <alignment horizontal="center" vertical="center" wrapText="1"/>
    </xf>
    <xf numFmtId="0" fontId="155" fillId="12" borderId="126" xfId="9" applyFont="1" applyFill="1" applyBorder="1" applyAlignment="1" applyProtection="1">
      <alignment horizontal="center" vertical="center" wrapText="1"/>
    </xf>
    <xf numFmtId="0" fontId="155" fillId="12" borderId="124" xfId="16" applyFont="1" applyFill="1" applyBorder="1" applyAlignment="1" applyProtection="1">
      <alignment horizontal="center" vertical="center" wrapText="1"/>
    </xf>
    <xf numFmtId="0" fontId="155" fillId="12" borderId="125" xfId="16" applyFont="1" applyFill="1" applyBorder="1" applyAlignment="1" applyProtection="1">
      <alignment horizontal="center" vertical="center" wrapText="1"/>
    </xf>
    <xf numFmtId="0" fontId="60" fillId="6" borderId="9" xfId="0" applyFont="1" applyFill="1" applyBorder="1" applyAlignment="1" applyProtection="1">
      <alignment horizontal="center" vertical="center" wrapText="1"/>
    </xf>
    <xf numFmtId="0" fontId="59" fillId="6" borderId="33" xfId="0" applyFont="1" applyFill="1" applyBorder="1" applyAlignment="1" applyProtection="1">
      <alignment horizontal="center" vertical="center" wrapText="1"/>
    </xf>
    <xf numFmtId="0" fontId="59" fillId="5" borderId="32" xfId="0" applyFont="1" applyFill="1" applyBorder="1" applyAlignment="1" applyProtection="1">
      <alignment horizontal="right" vertical="center" wrapText="1"/>
      <protection locked="0"/>
    </xf>
    <xf numFmtId="0" fontId="59" fillId="6" borderId="66" xfId="0" applyFont="1" applyFill="1" applyBorder="1" applyAlignment="1" applyProtection="1">
      <alignment horizontal="center" vertical="center" wrapText="1"/>
    </xf>
    <xf numFmtId="0" fontId="59" fillId="5" borderId="28" xfId="0" applyFont="1" applyFill="1" applyBorder="1" applyAlignment="1" applyProtection="1">
      <alignment horizontal="center" vertical="center" wrapText="1"/>
      <protection locked="0"/>
    </xf>
    <xf numFmtId="49" fontId="56" fillId="6" borderId="12" xfId="0" applyNumberFormat="1" applyFont="1" applyFill="1" applyBorder="1" applyAlignment="1" applyProtection="1">
      <alignment horizontal="left" vertical="center" wrapText="1"/>
    </xf>
    <xf numFmtId="0" fontId="56" fillId="6" borderId="74" xfId="0" applyFont="1" applyFill="1" applyBorder="1" applyAlignment="1" applyProtection="1">
      <alignment horizontal="left" vertical="center" wrapText="1"/>
    </xf>
    <xf numFmtId="0" fontId="56" fillId="6" borderId="75" xfId="0" applyFont="1" applyFill="1" applyBorder="1" applyAlignment="1" applyProtection="1">
      <alignment horizontal="center" vertical="center" wrapText="1"/>
    </xf>
    <xf numFmtId="0" fontId="59" fillId="6" borderId="75" xfId="0" applyFont="1" applyFill="1" applyBorder="1" applyAlignment="1" applyProtection="1">
      <alignment vertical="center"/>
    </xf>
    <xf numFmtId="0" fontId="56" fillId="6" borderId="47" xfId="0" applyFont="1" applyFill="1" applyBorder="1" applyAlignment="1" applyProtection="1">
      <alignment horizontal="center" vertical="center" wrapText="1"/>
    </xf>
    <xf numFmtId="0" fontId="57" fillId="6" borderId="43" xfId="0" applyFont="1" applyFill="1" applyBorder="1" applyAlignment="1" applyProtection="1">
      <alignment vertical="center" wrapText="1"/>
    </xf>
    <xf numFmtId="0" fontId="59" fillId="6" borderId="32" xfId="0" applyFont="1" applyFill="1" applyBorder="1" applyAlignment="1" applyProtection="1">
      <alignment horizontal="left" vertical="center"/>
    </xf>
    <xf numFmtId="0" fontId="59" fillId="6" borderId="74" xfId="0" applyFont="1" applyFill="1" applyBorder="1" applyAlignment="1" applyProtection="1">
      <alignment horizontal="center" vertical="center" wrapText="1"/>
    </xf>
    <xf numFmtId="0" fontId="59" fillId="6" borderId="75" xfId="0" applyFont="1" applyFill="1" applyBorder="1" applyAlignment="1" applyProtection="1">
      <alignment horizontal="center" vertical="center" wrapText="1"/>
    </xf>
    <xf numFmtId="0" fontId="59" fillId="6" borderId="76" xfId="0" applyFont="1" applyFill="1" applyBorder="1" applyAlignment="1" applyProtection="1">
      <alignment horizontal="center" vertical="center" wrapText="1"/>
    </xf>
    <xf numFmtId="0" fontId="257" fillId="0" borderId="0" xfId="10" applyFont="1">
      <alignment vertical="center"/>
    </xf>
    <xf numFmtId="0" fontId="102" fillId="0" borderId="0" xfId="10">
      <alignment vertical="center"/>
    </xf>
    <xf numFmtId="0" fontId="258" fillId="0" borderId="6" xfId="10" applyFont="1" applyBorder="1" applyAlignment="1">
      <alignment horizontal="left" vertical="center" wrapText="1"/>
    </xf>
    <xf numFmtId="0" fontId="258" fillId="0" borderId="9" xfId="10" applyFont="1" applyBorder="1" applyAlignment="1">
      <alignment horizontal="left" vertical="center" wrapText="1"/>
    </xf>
    <xf numFmtId="49" fontId="258" fillId="0" borderId="9" xfId="10" applyNumberFormat="1" applyFont="1" applyBorder="1" applyAlignment="1">
      <alignment horizontal="left" vertical="center" wrapText="1"/>
    </xf>
    <xf numFmtId="0" fontId="258" fillId="0" borderId="10" xfId="10" applyFont="1" applyBorder="1" applyAlignment="1">
      <alignment horizontal="left" vertical="center" wrapText="1"/>
    </xf>
    <xf numFmtId="0" fontId="257" fillId="17" borderId="25" xfId="10" applyFont="1" applyFill="1" applyBorder="1" applyAlignment="1">
      <alignment horizontal="left" vertical="center" wrapText="1"/>
    </xf>
    <xf numFmtId="0" fontId="257" fillId="17" borderId="32" xfId="10" applyFont="1" applyFill="1" applyBorder="1" applyAlignment="1">
      <alignment horizontal="left" vertical="center" wrapText="1"/>
    </xf>
    <xf numFmtId="49" fontId="257" fillId="17" borderId="32" xfId="10" applyNumberFormat="1" applyFont="1" applyFill="1" applyBorder="1" applyAlignment="1">
      <alignment horizontal="left" vertical="center" wrapText="1"/>
    </xf>
    <xf numFmtId="14" fontId="257" fillId="17" borderId="49" xfId="10" applyNumberFormat="1" applyFont="1" applyFill="1" applyBorder="1" applyAlignment="1">
      <alignment horizontal="left" vertical="center" wrapText="1"/>
    </xf>
    <xf numFmtId="0" fontId="258" fillId="0" borderId="1" xfId="10" applyFont="1" applyFill="1" applyBorder="1" applyAlignment="1">
      <alignment horizontal="left" vertical="center" wrapText="1"/>
    </xf>
    <xf numFmtId="49" fontId="258" fillId="0" borderId="1" xfId="10" applyNumberFormat="1" applyFont="1" applyFill="1" applyBorder="1" applyAlignment="1">
      <alignment horizontal="left" vertical="center" wrapText="1"/>
    </xf>
    <xf numFmtId="0" fontId="258" fillId="0" borderId="24" xfId="10" applyFont="1" applyFill="1" applyBorder="1" applyAlignment="1">
      <alignment horizontal="left" vertical="center"/>
    </xf>
    <xf numFmtId="0" fontId="257" fillId="17" borderId="1" xfId="10" applyFont="1" applyFill="1" applyBorder="1" applyAlignment="1">
      <alignment horizontal="left" vertical="center" wrapText="1"/>
    </xf>
    <xf numFmtId="49" fontId="257" fillId="17" borderId="1" xfId="10" applyNumberFormat="1" applyFont="1" applyFill="1" applyBorder="1" applyAlignment="1">
      <alignment horizontal="left" vertical="center" wrapText="1"/>
    </xf>
    <xf numFmtId="0" fontId="257" fillId="17" borderId="1" xfId="10" applyFont="1" applyFill="1" applyBorder="1" applyAlignment="1">
      <alignment horizontal="left" vertical="center"/>
    </xf>
    <xf numFmtId="0" fontId="257" fillId="17" borderId="24" xfId="10" applyFont="1" applyFill="1" applyBorder="1" applyAlignment="1">
      <alignment horizontal="left" vertical="center"/>
    </xf>
    <xf numFmtId="0" fontId="102" fillId="0" borderId="0" xfId="10" applyAlignment="1">
      <alignment horizontal="left" vertical="center"/>
    </xf>
    <xf numFmtId="0" fontId="257" fillId="17" borderId="32" xfId="10" applyFont="1" applyFill="1" applyBorder="1" applyAlignment="1">
      <alignment horizontal="left" vertical="center"/>
    </xf>
    <xf numFmtId="0" fontId="257" fillId="17" borderId="49" xfId="10" applyFont="1" applyFill="1" applyBorder="1" applyAlignment="1">
      <alignment horizontal="left" vertical="center"/>
    </xf>
    <xf numFmtId="0" fontId="193" fillId="7" borderId="5" xfId="0" applyFont="1" applyFill="1" applyBorder="1" applyAlignment="1" applyProtection="1">
      <alignment vertical="center"/>
      <protection locked="0"/>
    </xf>
    <xf numFmtId="177" fontId="83" fillId="0" borderId="1" xfId="1" applyNumberFormat="1" applyFont="1" applyFill="1" applyBorder="1" applyAlignment="1" applyProtection="1">
      <alignment vertical="center"/>
      <protection locked="0" hidden="1"/>
    </xf>
    <xf numFmtId="9" fontId="53" fillId="6" borderId="0" xfId="0" applyNumberFormat="1" applyFont="1" applyFill="1" applyAlignment="1" applyProtection="1">
      <alignment vertical="center"/>
      <protection locked="0"/>
    </xf>
    <xf numFmtId="0" fontId="83" fillId="6" borderId="0" xfId="0" applyFont="1" applyFill="1" applyAlignment="1" applyProtection="1">
      <alignment vertical="center"/>
      <protection locked="0"/>
    </xf>
    <xf numFmtId="0" fontId="257" fillId="0" borderId="0" xfId="10" applyFont="1" applyAlignment="1">
      <alignment vertical="center" wrapText="1"/>
    </xf>
    <xf numFmtId="0" fontId="257" fillId="18" borderId="25" xfId="10" applyFont="1" applyFill="1" applyBorder="1" applyAlignment="1">
      <alignment horizontal="left" vertical="center" wrapText="1"/>
    </xf>
    <xf numFmtId="0" fontId="257" fillId="18" borderId="32" xfId="10" applyFont="1" applyFill="1" applyBorder="1" applyAlignment="1">
      <alignment horizontal="left" vertical="center" wrapText="1"/>
    </xf>
    <xf numFmtId="49" fontId="257" fillId="18" borderId="32" xfId="10" applyNumberFormat="1" applyFont="1" applyFill="1" applyBorder="1" applyAlignment="1">
      <alignment horizontal="left" vertical="center" wrapText="1"/>
    </xf>
    <xf numFmtId="14" fontId="257" fillId="18" borderId="49" xfId="10" applyNumberFormat="1" applyFont="1" applyFill="1" applyBorder="1" applyAlignment="1">
      <alignment horizontal="left" vertical="center" wrapText="1"/>
    </xf>
    <xf numFmtId="0" fontId="258" fillId="0" borderId="1" xfId="10" applyFont="1" applyBorder="1" applyAlignment="1">
      <alignment horizontal="left" vertical="center" wrapText="1"/>
    </xf>
    <xf numFmtId="49" fontId="258" fillId="0" borderId="1" xfId="10" applyNumberFormat="1" applyFont="1" applyBorder="1" applyAlignment="1">
      <alignment horizontal="left" vertical="center" wrapText="1"/>
    </xf>
    <xf numFmtId="0" fontId="258" fillId="0" borderId="5" xfId="10" applyFont="1" applyFill="1" applyBorder="1" applyAlignment="1">
      <alignment horizontal="left" vertical="center" wrapText="1"/>
    </xf>
    <xf numFmtId="0" fontId="258" fillId="0" borderId="24" xfId="10" applyFont="1" applyBorder="1" applyAlignment="1">
      <alignment horizontal="left" vertical="center" wrapText="1"/>
    </xf>
    <xf numFmtId="0" fontId="257" fillId="18" borderId="1" xfId="10" applyFont="1" applyFill="1" applyBorder="1" applyAlignment="1">
      <alignment horizontal="left" vertical="center" wrapText="1"/>
    </xf>
    <xf numFmtId="0" fontId="257" fillId="18" borderId="1" xfId="10" applyFont="1" applyFill="1" applyBorder="1" applyAlignment="1">
      <alignment horizontal="left" vertical="center"/>
    </xf>
    <xf numFmtId="0" fontId="257" fillId="18" borderId="5" xfId="10" applyFont="1" applyFill="1" applyBorder="1" applyAlignment="1">
      <alignment horizontal="left" vertical="center"/>
    </xf>
    <xf numFmtId="0" fontId="257" fillId="18" borderId="24" xfId="10" applyFont="1" applyFill="1" applyBorder="1" applyAlignment="1">
      <alignment horizontal="left" vertical="center"/>
    </xf>
    <xf numFmtId="0" fontId="259" fillId="18" borderId="24" xfId="10" applyFont="1" applyFill="1" applyBorder="1" applyAlignment="1">
      <alignment horizontal="left" vertical="center"/>
    </xf>
    <xf numFmtId="0" fontId="257" fillId="18" borderId="33" xfId="10" applyFont="1" applyFill="1" applyBorder="1" applyAlignment="1">
      <alignment horizontal="left" vertical="center" wrapText="1"/>
    </xf>
    <xf numFmtId="0" fontId="257" fillId="18" borderId="49" xfId="10" applyFont="1" applyFill="1" applyBorder="1" applyAlignment="1">
      <alignment horizontal="left" vertical="center"/>
    </xf>
    <xf numFmtId="0" fontId="22" fillId="7" borderId="1" xfId="20" applyFont="1" applyFill="1" applyBorder="1" applyAlignment="1">
      <alignment horizontal="center" vertical="center" wrapText="1"/>
    </xf>
    <xf numFmtId="0" fontId="260" fillId="7" borderId="0" xfId="20" applyFont="1" applyFill="1" applyAlignment="1">
      <alignment horizontal="center" vertical="center" wrapText="1"/>
    </xf>
    <xf numFmtId="0" fontId="260" fillId="7" borderId="0" xfId="20" applyFont="1" applyFill="1" applyAlignment="1">
      <alignment vertical="center" wrapText="1"/>
    </xf>
    <xf numFmtId="0" fontId="262" fillId="0" borderId="1" xfId="20" applyFont="1" applyFill="1" applyBorder="1" applyAlignment="1">
      <alignment horizontal="center" vertical="center" wrapText="1"/>
    </xf>
    <xf numFmtId="0" fontId="263" fillId="0" borderId="1" xfId="20" applyFont="1" applyFill="1" applyBorder="1" applyAlignment="1">
      <alignment horizontal="center" vertical="center" wrapText="1"/>
    </xf>
    <xf numFmtId="0" fontId="260" fillId="0" borderId="1" xfId="20" applyFont="1" applyFill="1" applyBorder="1" applyAlignment="1">
      <alignment horizontal="center" vertical="center" wrapText="1"/>
    </xf>
    <xf numFmtId="0" fontId="260" fillId="0" borderId="1" xfId="20" applyNumberFormat="1" applyFont="1" applyFill="1" applyBorder="1" applyAlignment="1">
      <alignment horizontal="right" vertical="center" wrapText="1"/>
    </xf>
    <xf numFmtId="176" fontId="263" fillId="0" borderId="1" xfId="20" applyNumberFormat="1" applyFont="1" applyFill="1" applyBorder="1" applyAlignment="1">
      <alignment horizontal="center" vertical="center" wrapText="1"/>
    </xf>
    <xf numFmtId="0" fontId="260" fillId="0" borderId="0" xfId="20" applyFont="1" applyFill="1" applyAlignment="1">
      <alignment vertical="center" wrapText="1"/>
    </xf>
    <xf numFmtId="0" fontId="263" fillId="0" borderId="1" xfId="20" applyNumberFormat="1" applyFont="1" applyFill="1" applyBorder="1" applyAlignment="1">
      <alignment horizontal="right" vertical="center" wrapText="1"/>
    </xf>
    <xf numFmtId="176" fontId="260" fillId="0" borderId="1" xfId="17" applyNumberFormat="1" applyFont="1" applyFill="1" applyBorder="1" applyAlignment="1">
      <alignment horizontal="center" vertical="center" wrapText="1"/>
    </xf>
    <xf numFmtId="0" fontId="264" fillId="0" borderId="1" xfId="20" applyFont="1" applyFill="1" applyBorder="1" applyAlignment="1">
      <alignment horizontal="center" vertical="center" wrapText="1"/>
    </xf>
    <xf numFmtId="0" fontId="263" fillId="0" borderId="1" xfId="17" applyFont="1" applyFill="1" applyBorder="1" applyAlignment="1">
      <alignment horizontal="center" vertical="center" wrapText="1"/>
    </xf>
    <xf numFmtId="0" fontId="263" fillId="0" borderId="13" xfId="20" applyNumberFormat="1" applyFont="1" applyFill="1" applyBorder="1" applyAlignment="1">
      <alignment horizontal="center" vertical="center" wrapText="1"/>
    </xf>
    <xf numFmtId="0" fontId="263" fillId="0" borderId="13" xfId="20" applyNumberFormat="1" applyFont="1" applyFill="1" applyBorder="1" applyAlignment="1">
      <alignment horizontal="right" vertical="center" wrapText="1"/>
    </xf>
    <xf numFmtId="176" fontId="264" fillId="0" borderId="1" xfId="20" applyNumberFormat="1" applyFont="1" applyFill="1" applyBorder="1" applyAlignment="1">
      <alignment horizontal="center" vertical="center" wrapText="1"/>
    </xf>
    <xf numFmtId="0" fontId="264" fillId="0" borderId="1" xfId="17" applyFont="1" applyFill="1" applyBorder="1" applyAlignment="1">
      <alignment horizontal="center" vertical="center" wrapText="1"/>
    </xf>
    <xf numFmtId="0" fontId="263" fillId="0" borderId="1" xfId="17" applyNumberFormat="1" applyFont="1" applyFill="1" applyBorder="1" applyAlignment="1">
      <alignment horizontal="right" vertical="center" wrapText="1"/>
    </xf>
    <xf numFmtId="0" fontId="263" fillId="0" borderId="13" xfId="20" applyFont="1" applyFill="1" applyBorder="1" applyAlignment="1">
      <alignment horizontal="center" vertical="center" wrapText="1"/>
    </xf>
    <xf numFmtId="176" fontId="260" fillId="0" borderId="1" xfId="20" applyNumberFormat="1" applyFont="1" applyFill="1" applyBorder="1" applyAlignment="1">
      <alignment horizontal="center" vertical="center" wrapText="1"/>
    </xf>
    <xf numFmtId="176" fontId="263" fillId="0" borderId="13" xfId="20" applyNumberFormat="1" applyFont="1" applyFill="1" applyBorder="1" applyAlignment="1">
      <alignment horizontal="center" vertical="center" wrapText="1"/>
    </xf>
    <xf numFmtId="0" fontId="186" fillId="0" borderId="1" xfId="20" applyNumberFormat="1" applyFont="1" applyFill="1" applyBorder="1" applyAlignment="1">
      <alignment horizontal="right" vertical="center" wrapText="1"/>
    </xf>
    <xf numFmtId="186" fontId="260" fillId="0" borderId="1" xfId="20" applyNumberFormat="1" applyFont="1" applyFill="1" applyBorder="1" applyAlignment="1">
      <alignment horizontal="center" vertical="center" wrapText="1"/>
    </xf>
    <xf numFmtId="0" fontId="260" fillId="0" borderId="0" xfId="20" applyFont="1" applyFill="1" applyBorder="1" applyAlignment="1">
      <alignment vertical="center" wrapText="1"/>
    </xf>
    <xf numFmtId="186" fontId="263" fillId="0" borderId="1" xfId="20" applyNumberFormat="1" applyFont="1" applyFill="1" applyBorder="1" applyAlignment="1">
      <alignment horizontal="center" vertical="center" wrapText="1"/>
    </xf>
    <xf numFmtId="0" fontId="263" fillId="0" borderId="0" xfId="20" applyFont="1" applyFill="1" applyAlignment="1">
      <alignment vertical="center" wrapText="1"/>
    </xf>
    <xf numFmtId="189" fontId="263" fillId="0" borderId="1" xfId="20" applyNumberFormat="1" applyFont="1" applyFill="1" applyBorder="1" applyAlignment="1">
      <alignment horizontal="center" vertical="center" wrapText="1"/>
    </xf>
    <xf numFmtId="179" fontId="264" fillId="0" borderId="1" xfId="20" applyNumberFormat="1" applyFont="1" applyFill="1" applyBorder="1" applyAlignment="1">
      <alignment horizontal="center" vertical="center" wrapText="1"/>
    </xf>
    <xf numFmtId="179" fontId="263" fillId="0" borderId="1" xfId="20" applyNumberFormat="1" applyFont="1" applyFill="1" applyBorder="1" applyAlignment="1">
      <alignment horizontal="center" vertical="center" wrapText="1"/>
    </xf>
    <xf numFmtId="0" fontId="263" fillId="0" borderId="2" xfId="20" applyFont="1" applyFill="1" applyBorder="1" applyAlignment="1">
      <alignment horizontal="center" vertical="center" wrapText="1"/>
    </xf>
    <xf numFmtId="0" fontId="264" fillId="0" borderId="0" xfId="20" applyFont="1" applyFill="1" applyAlignment="1">
      <alignment vertical="center" wrapText="1"/>
    </xf>
    <xf numFmtId="0" fontId="260" fillId="7" borderId="0" xfId="20" applyNumberFormat="1" applyFont="1" applyFill="1" applyAlignment="1">
      <alignment horizontal="right" vertical="center" wrapText="1"/>
    </xf>
    <xf numFmtId="0" fontId="2" fillId="7" borderId="0" xfId="20" applyFill="1" applyAlignment="1">
      <alignment horizontal="center" vertical="center"/>
    </xf>
    <xf numFmtId="0" fontId="262" fillId="19" borderId="1" xfId="20" applyFont="1" applyFill="1" applyBorder="1" applyAlignment="1">
      <alignment horizontal="center" vertical="center" wrapText="1"/>
    </xf>
    <xf numFmtId="0" fontId="263" fillId="19" borderId="2" xfId="20" applyFont="1" applyFill="1" applyBorder="1" applyAlignment="1">
      <alignment horizontal="center" vertical="center" wrapText="1"/>
    </xf>
    <xf numFmtId="0" fontId="263" fillId="19" borderId="1" xfId="20" applyFont="1" applyFill="1" applyBorder="1" applyAlignment="1">
      <alignment horizontal="center" vertical="center" wrapText="1"/>
    </xf>
    <xf numFmtId="0" fontId="264" fillId="19" borderId="1" xfId="20" applyFont="1" applyFill="1" applyBorder="1" applyAlignment="1">
      <alignment horizontal="center" vertical="center" wrapText="1"/>
    </xf>
    <xf numFmtId="0" fontId="263" fillId="19" borderId="1" xfId="20" applyNumberFormat="1" applyFont="1" applyFill="1" applyBorder="1" applyAlignment="1">
      <alignment horizontal="right" vertical="center" wrapText="1"/>
    </xf>
    <xf numFmtId="0" fontId="260" fillId="19" borderId="1" xfId="20" applyFont="1" applyFill="1" applyBorder="1" applyAlignment="1">
      <alignment horizontal="center" vertical="center" wrapText="1"/>
    </xf>
    <xf numFmtId="176" fontId="263" fillId="19" borderId="1" xfId="20" applyNumberFormat="1" applyFont="1" applyFill="1" applyBorder="1" applyAlignment="1">
      <alignment horizontal="center" vertical="center" wrapText="1"/>
    </xf>
    <xf numFmtId="0" fontId="263" fillId="19" borderId="0" xfId="20" applyFont="1" applyFill="1" applyAlignment="1">
      <alignment vertical="center" wrapText="1"/>
    </xf>
    <xf numFmtId="0" fontId="260" fillId="19" borderId="0" xfId="20" applyFont="1" applyFill="1" applyAlignment="1">
      <alignment vertical="center" wrapText="1"/>
    </xf>
    <xf numFmtId="176" fontId="264" fillId="19" borderId="1" xfId="20" applyNumberFormat="1" applyFont="1" applyFill="1" applyBorder="1" applyAlignment="1">
      <alignment horizontal="center" vertical="center" wrapText="1"/>
    </xf>
    <xf numFmtId="0" fontId="260" fillId="19" borderId="1" xfId="20" applyNumberFormat="1" applyFont="1" applyFill="1" applyBorder="1" applyAlignment="1">
      <alignment horizontal="right" vertical="center" wrapText="1"/>
    </xf>
    <xf numFmtId="179" fontId="260" fillId="7" borderId="0" xfId="20" applyNumberFormat="1" applyFont="1" applyFill="1" applyAlignment="1">
      <alignment vertical="center" wrapText="1"/>
    </xf>
    <xf numFmtId="179" fontId="260" fillId="0" borderId="0" xfId="20" applyNumberFormat="1" applyFont="1" applyFill="1" applyAlignment="1">
      <alignment vertical="center" wrapText="1"/>
    </xf>
    <xf numFmtId="179" fontId="260" fillId="0" borderId="0" xfId="20" applyNumberFormat="1" applyFont="1" applyFill="1" applyBorder="1" applyAlignment="1">
      <alignment vertical="center" wrapText="1"/>
    </xf>
    <xf numFmtId="179" fontId="263" fillId="0" borderId="0" xfId="20" applyNumberFormat="1" applyFont="1" applyFill="1" applyAlignment="1">
      <alignment vertical="center" wrapText="1"/>
    </xf>
    <xf numFmtId="179" fontId="264" fillId="0" borderId="0" xfId="20" applyNumberFormat="1" applyFont="1" applyFill="1" applyAlignment="1">
      <alignment vertical="center" wrapText="1"/>
    </xf>
    <xf numFmtId="179" fontId="263" fillId="19" borderId="0" xfId="20" applyNumberFormat="1" applyFont="1" applyFill="1" applyAlignment="1">
      <alignment vertical="center" wrapText="1"/>
    </xf>
    <xf numFmtId="179" fontId="260" fillId="19" borderId="0" xfId="20" applyNumberFormat="1" applyFont="1" applyFill="1" applyAlignment="1">
      <alignment vertical="center" wrapText="1"/>
    </xf>
    <xf numFmtId="0" fontId="206" fillId="0" borderId="0" xfId="5" applyFont="1" applyAlignment="1" applyProtection="1">
      <alignment horizontal="left" vertical="top" wrapText="1"/>
    </xf>
    <xf numFmtId="0" fontId="51" fillId="0" borderId="13" xfId="7" applyFont="1" applyFill="1" applyBorder="1" applyAlignment="1" applyProtection="1">
      <alignment horizontal="left" vertical="center" wrapText="1"/>
    </xf>
    <xf numFmtId="0" fontId="51" fillId="0" borderId="15" xfId="7" applyFont="1" applyFill="1" applyBorder="1" applyAlignment="1" applyProtection="1">
      <alignment horizontal="left" vertical="center" wrapText="1"/>
    </xf>
    <xf numFmtId="0" fontId="51" fillId="0" borderId="77" xfId="7" applyFont="1" applyFill="1" applyBorder="1" applyAlignment="1" applyProtection="1">
      <alignment horizontal="left" vertical="center" wrapText="1"/>
    </xf>
    <xf numFmtId="0" fontId="216" fillId="0" borderId="87" xfId="7" applyFont="1" applyBorder="1" applyAlignment="1" applyProtection="1">
      <alignment horizontal="center" vertical="center"/>
    </xf>
    <xf numFmtId="0" fontId="142" fillId="0" borderId="0" xfId="7" applyFont="1" applyAlignment="1" applyProtection="1">
      <alignment horizontal="left" vertical="center" wrapText="1"/>
    </xf>
    <xf numFmtId="0" fontId="216" fillId="0" borderId="0" xfId="7" applyFont="1" applyAlignment="1" applyProtection="1">
      <alignment horizontal="center" vertical="center"/>
    </xf>
    <xf numFmtId="0" fontId="51" fillId="0" borderId="2" xfId="7" applyFont="1" applyFill="1" applyBorder="1" applyAlignment="1" applyProtection="1">
      <alignment horizontal="left" vertical="center" wrapText="1"/>
    </xf>
    <xf numFmtId="0" fontId="51" fillId="0" borderId="13" xfId="7" applyFont="1" applyFill="1" applyBorder="1" applyAlignment="1" applyProtection="1">
      <alignment vertical="center" wrapText="1"/>
    </xf>
    <xf numFmtId="0" fontId="51" fillId="0" borderId="15" xfId="7" applyFont="1" applyFill="1" applyBorder="1" applyAlignment="1" applyProtection="1">
      <alignment vertical="center" wrapText="1"/>
    </xf>
    <xf numFmtId="0" fontId="51" fillId="0" borderId="2" xfId="7" applyFont="1" applyFill="1" applyBorder="1" applyAlignment="1" applyProtection="1">
      <alignment vertical="center" wrapText="1"/>
    </xf>
    <xf numFmtId="0" fontId="67" fillId="0" borderId="78" xfId="0" applyFont="1" applyFill="1" applyBorder="1" applyAlignment="1" applyProtection="1">
      <alignment horizontal="center" vertical="center" wrapText="1"/>
    </xf>
    <xf numFmtId="182" fontId="67" fillId="0" borderId="78"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51"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182" fontId="67" fillId="0" borderId="1" xfId="0" applyNumberFormat="1" applyFont="1" applyFill="1" applyBorder="1" applyAlignment="1" applyProtection="1">
      <alignment horizontal="center" vertical="center" wrapText="1"/>
    </xf>
    <xf numFmtId="182" fontId="67" fillId="0" borderId="5" xfId="0" applyNumberFormat="1" applyFont="1" applyFill="1" applyBorder="1" applyAlignment="1" applyProtection="1">
      <alignment horizontal="center" vertical="center" wrapText="1"/>
    </xf>
    <xf numFmtId="182" fontId="67" fillId="0" borderId="54" xfId="0" applyNumberFormat="1" applyFont="1" applyFill="1" applyBorder="1" applyAlignment="1" applyProtection="1">
      <alignment horizontal="center" vertical="center" wrapText="1"/>
    </xf>
    <xf numFmtId="182" fontId="67" fillId="0" borderId="3"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xf>
    <xf numFmtId="0" fontId="6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220" fillId="0" borderId="0" xfId="0" applyNumberFormat="1" applyFont="1" applyAlignment="1" applyProtection="1">
      <alignment horizontal="right" vertical="center"/>
      <protection locked="0"/>
    </xf>
    <xf numFmtId="0" fontId="233" fillId="0" borderId="0" xfId="0" applyFont="1" applyBorder="1" applyAlignment="1" applyProtection="1">
      <alignment horizontal="left" vertical="center" wrapText="1"/>
      <protection locked="0"/>
    </xf>
    <xf numFmtId="0" fontId="107" fillId="0" borderId="0" xfId="0" applyFont="1" applyAlignment="1" applyProtection="1">
      <alignment vertical="center" wrapText="1"/>
    </xf>
    <xf numFmtId="0" fontId="181" fillId="0" borderId="0" xfId="0" applyFont="1" applyAlignment="1" applyProtection="1">
      <alignment vertical="center" wrapText="1"/>
      <protection locked="0"/>
    </xf>
    <xf numFmtId="0" fontId="135" fillId="0" borderId="0" xfId="0" applyFont="1" applyBorder="1" applyAlignment="1" applyProtection="1">
      <alignment horizontal="left" vertical="center" wrapText="1"/>
    </xf>
    <xf numFmtId="0" fontId="216" fillId="0" borderId="0" xfId="0" applyFont="1" applyBorder="1" applyAlignment="1" applyProtection="1">
      <alignment horizontal="left" vertical="center"/>
    </xf>
    <xf numFmtId="0" fontId="216" fillId="0" borderId="0" xfId="0" applyFont="1" applyBorder="1" applyAlignment="1" applyProtection="1">
      <alignment horizontal="justify" vertical="center" wrapText="1"/>
    </xf>
    <xf numFmtId="0" fontId="67" fillId="0" borderId="0" xfId="0" applyFont="1" applyBorder="1" applyAlignment="1" applyProtection="1">
      <alignment horizontal="left" vertical="center" wrapText="1"/>
    </xf>
    <xf numFmtId="0" fontId="237" fillId="0" borderId="5" xfId="0" applyFont="1" applyBorder="1" applyAlignment="1" applyProtection="1">
      <alignment horizontal="left" vertical="center"/>
    </xf>
    <xf numFmtId="0" fontId="102" fillId="0" borderId="3" xfId="0" applyFont="1" applyBorder="1" applyAlignment="1" applyProtection="1">
      <alignment horizontal="left" vertical="center"/>
    </xf>
    <xf numFmtId="0" fontId="102" fillId="0" borderId="5" xfId="0" applyFont="1" applyBorder="1" applyAlignment="1" applyProtection="1">
      <alignment horizontal="left" vertical="center"/>
    </xf>
    <xf numFmtId="0" fontId="102" fillId="0" borderId="1" xfId="0" applyFont="1" applyBorder="1" applyAlignment="1" applyProtection="1">
      <alignment horizontal="left" vertical="center"/>
    </xf>
    <xf numFmtId="0" fontId="102" fillId="9" borderId="1" xfId="0" applyFont="1" applyFill="1" applyBorder="1" applyAlignment="1" applyProtection="1">
      <alignment horizontal="left" vertical="center"/>
    </xf>
    <xf numFmtId="0" fontId="102" fillId="5" borderId="13" xfId="0" applyFont="1" applyFill="1" applyBorder="1" applyAlignment="1" applyProtection="1">
      <alignment horizontal="left" vertical="center"/>
    </xf>
    <xf numFmtId="0" fontId="102" fillId="5" borderId="15" xfId="0"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0" fontId="128" fillId="5" borderId="1" xfId="5" applyFont="1" applyFill="1" applyBorder="1" applyAlignment="1">
      <alignment horizontal="center" vertical="center"/>
    </xf>
    <xf numFmtId="0" fontId="129" fillId="0" borderId="1" xfId="5" applyFont="1" applyBorder="1" applyAlignment="1">
      <alignment horizontal="center" vertical="center"/>
    </xf>
    <xf numFmtId="0" fontId="129" fillId="0" borderId="5" xfId="5" applyFont="1" applyBorder="1" applyAlignment="1">
      <alignment horizontal="center" vertical="center"/>
    </xf>
    <xf numFmtId="0" fontId="129" fillId="0" borderId="154" xfId="5" applyFont="1" applyBorder="1" applyAlignment="1">
      <alignment horizontal="center" vertical="center"/>
    </xf>
    <xf numFmtId="0" fontId="102"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6" borderId="2" xfId="0" applyFont="1" applyFill="1" applyBorder="1" applyAlignment="1" applyProtection="1">
      <alignment horizontal="left" vertical="center"/>
    </xf>
    <xf numFmtId="0" fontId="67" fillId="0" borderId="5" xfId="0" applyFont="1" applyBorder="1" applyAlignment="1" applyProtection="1">
      <alignment horizontal="left" vertical="center" wrapText="1"/>
      <protection locked="0"/>
    </xf>
    <xf numFmtId="0" fontId="67" fillId="0" borderId="3" xfId="0" applyFont="1" applyBorder="1" applyAlignment="1" applyProtection="1">
      <alignment horizontal="left" vertical="center" wrapText="1"/>
      <protection locked="0"/>
    </xf>
    <xf numFmtId="0" fontId="67" fillId="6" borderId="22" xfId="0" applyFont="1" applyFill="1" applyBorder="1" applyAlignment="1" applyProtection="1">
      <alignment horizontal="left" vertical="center"/>
    </xf>
    <xf numFmtId="0" fontId="67" fillId="6" borderId="35" xfId="0" applyFont="1" applyFill="1" applyBorder="1" applyAlignment="1" applyProtection="1">
      <alignment horizontal="left" vertical="center"/>
    </xf>
    <xf numFmtId="0" fontId="67" fillId="6" borderId="1" xfId="0" applyNumberFormat="1" applyFont="1" applyFill="1" applyBorder="1" applyAlignment="1" applyProtection="1">
      <alignment horizontal="center" vertical="center" wrapText="1"/>
    </xf>
    <xf numFmtId="0" fontId="67" fillId="6" borderId="34" xfId="0" applyFont="1" applyFill="1" applyBorder="1" applyAlignment="1" applyProtection="1">
      <alignment horizontal="left" vertical="center" wrapText="1"/>
    </xf>
    <xf numFmtId="0" fontId="67" fillId="6" borderId="64" xfId="0" applyFont="1" applyFill="1" applyBorder="1" applyAlignment="1" applyProtection="1">
      <alignment horizontal="left" vertical="center" wrapText="1"/>
    </xf>
    <xf numFmtId="0" fontId="67" fillId="6" borderId="65" xfId="0" applyFont="1" applyFill="1" applyBorder="1" applyAlignment="1" applyProtection="1">
      <alignment horizontal="left" vertical="center" wrapText="1"/>
    </xf>
    <xf numFmtId="0" fontId="67" fillId="6" borderId="13" xfId="0" applyFont="1" applyFill="1" applyBorder="1" applyAlignment="1" applyProtection="1">
      <alignment horizontal="center" vertical="center" wrapText="1"/>
    </xf>
    <xf numFmtId="0" fontId="67" fillId="6" borderId="104"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3" fillId="6" borderId="51" xfId="0" applyFont="1" applyFill="1" applyBorder="1" applyAlignment="1" applyProtection="1">
      <alignment horizontal="center" vertical="center"/>
    </xf>
    <xf numFmtId="0" fontId="53" fillId="6" borderId="20" xfId="0" applyFont="1" applyFill="1" applyBorder="1" applyAlignment="1" applyProtection="1">
      <alignment horizontal="center" vertical="center"/>
    </xf>
    <xf numFmtId="49" fontId="233" fillId="0" borderId="4" xfId="0" applyNumberFormat="1" applyFont="1" applyFill="1" applyBorder="1" applyAlignment="1" applyProtection="1">
      <alignment horizontal="left" vertical="center"/>
      <protection locked="0"/>
    </xf>
    <xf numFmtId="49" fontId="233" fillId="0" borderId="54" xfId="0" applyNumberFormat="1" applyFont="1" applyFill="1" applyBorder="1" applyAlignment="1" applyProtection="1">
      <alignment horizontal="left" vertical="center"/>
      <protection locked="0"/>
    </xf>
    <xf numFmtId="49" fontId="233" fillId="0" borderId="3" xfId="0" applyNumberFormat="1" applyFont="1" applyFill="1" applyBorder="1" applyAlignment="1" applyProtection="1">
      <alignment horizontal="left" vertical="center"/>
      <protection locked="0"/>
    </xf>
    <xf numFmtId="0" fontId="233" fillId="0" borderId="5" xfId="0" applyNumberFormat="1" applyFont="1" applyBorder="1" applyAlignment="1" applyProtection="1">
      <alignment horizontal="left" vertical="center"/>
      <protection locked="0"/>
    </xf>
    <xf numFmtId="0" fontId="233" fillId="0" borderId="54" xfId="0" applyNumberFormat="1" applyFont="1" applyBorder="1" applyAlignment="1" applyProtection="1">
      <alignment horizontal="left" vertical="center"/>
      <protection locked="0"/>
    </xf>
    <xf numFmtId="0" fontId="233" fillId="0" borderId="3" xfId="0" applyNumberFormat="1" applyFont="1" applyBorder="1" applyAlignment="1" applyProtection="1">
      <alignment horizontal="left" vertical="center"/>
      <protection locked="0"/>
    </xf>
    <xf numFmtId="49" fontId="233" fillId="7" borderId="5" xfId="0" applyNumberFormat="1" applyFont="1" applyFill="1" applyBorder="1" applyAlignment="1" applyProtection="1">
      <alignment horizontal="left" vertical="center"/>
      <protection locked="0"/>
    </xf>
    <xf numFmtId="49" fontId="233" fillId="7" borderId="54" xfId="0" applyNumberFormat="1" applyFont="1" applyFill="1" applyBorder="1" applyAlignment="1" applyProtection="1">
      <alignment horizontal="left" vertical="center"/>
      <protection locked="0"/>
    </xf>
    <xf numFmtId="49" fontId="233" fillId="7" borderId="3" xfId="0" applyNumberFormat="1" applyFont="1" applyFill="1" applyBorder="1" applyAlignment="1" applyProtection="1">
      <alignment horizontal="left" vertical="center"/>
      <protection locked="0"/>
    </xf>
    <xf numFmtId="49" fontId="233" fillId="7" borderId="85" xfId="0" applyNumberFormat="1" applyFont="1" applyFill="1" applyBorder="1" applyAlignment="1" applyProtection="1">
      <alignment horizontal="left" vertical="center"/>
      <protection locked="0"/>
    </xf>
    <xf numFmtId="49" fontId="233" fillId="7" borderId="88" xfId="0" applyNumberFormat="1" applyFont="1" applyFill="1" applyBorder="1" applyAlignment="1" applyProtection="1">
      <alignment horizontal="left" vertical="center"/>
      <protection locked="0"/>
    </xf>
    <xf numFmtId="49" fontId="233" fillId="7" borderId="119" xfId="0" applyNumberFormat="1" applyFont="1" applyFill="1" applyBorder="1" applyAlignment="1" applyProtection="1">
      <alignment horizontal="left" vertical="center"/>
      <protection locked="0"/>
    </xf>
    <xf numFmtId="0" fontId="26"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258" fillId="0" borderId="9" xfId="10" applyFont="1" applyFill="1" applyBorder="1" applyAlignment="1">
      <alignment horizontal="left" vertical="center" wrapText="1"/>
    </xf>
    <xf numFmtId="0" fontId="258" fillId="0" borderId="9" xfId="10" applyFont="1" applyFill="1" applyBorder="1" applyAlignment="1">
      <alignment horizontal="left" vertical="center"/>
    </xf>
    <xf numFmtId="0" fontId="258" fillId="0" borderId="10" xfId="10" applyFont="1" applyFill="1" applyBorder="1" applyAlignment="1">
      <alignment horizontal="left" vertical="center"/>
    </xf>
    <xf numFmtId="0" fontId="257" fillId="17" borderId="11" xfId="10" applyFont="1" applyFill="1" applyBorder="1" applyAlignment="1">
      <alignment horizontal="center" vertical="center" wrapText="1"/>
    </xf>
    <xf numFmtId="0" fontId="257" fillId="17" borderId="14" xfId="10" applyFont="1" applyFill="1" applyBorder="1" applyAlignment="1">
      <alignment horizontal="center" vertical="center" wrapText="1"/>
    </xf>
    <xf numFmtId="0" fontId="257" fillId="17" borderId="41" xfId="10" applyFont="1" applyFill="1" applyBorder="1" applyAlignment="1">
      <alignment horizontal="center" vertical="center" wrapText="1"/>
    </xf>
    <xf numFmtId="0" fontId="257" fillId="17" borderId="13" xfId="10" applyFont="1" applyFill="1" applyBorder="1" applyAlignment="1">
      <alignment horizontal="center" vertical="center" wrapText="1"/>
    </xf>
    <xf numFmtId="0" fontId="257" fillId="17" borderId="15" xfId="10" applyFont="1" applyFill="1" applyBorder="1" applyAlignment="1">
      <alignment horizontal="center" vertical="center" wrapText="1"/>
    </xf>
    <xf numFmtId="0" fontId="257" fillId="17" borderId="2" xfId="10" applyFont="1" applyFill="1" applyBorder="1" applyAlignment="1">
      <alignment horizontal="center" vertical="center" wrapText="1"/>
    </xf>
    <xf numFmtId="0" fontId="258" fillId="0" borderId="6" xfId="10" applyFont="1" applyFill="1" applyBorder="1" applyAlignment="1">
      <alignment horizontal="left" vertical="center" wrapText="1"/>
    </xf>
    <xf numFmtId="0" fontId="258" fillId="0" borderId="23" xfId="10" applyFont="1" applyFill="1" applyBorder="1" applyAlignment="1">
      <alignment horizontal="left" vertical="center" wrapText="1"/>
    </xf>
    <xf numFmtId="0" fontId="258" fillId="0" borderId="1" xfId="10" applyFont="1" applyFill="1" applyBorder="1" applyAlignment="1">
      <alignment horizontal="left" vertical="center" wrapText="1"/>
    </xf>
    <xf numFmtId="0" fontId="258" fillId="0" borderId="9" xfId="10" applyFont="1" applyBorder="1" applyAlignment="1">
      <alignment horizontal="left" vertical="center" wrapText="1"/>
    </xf>
    <xf numFmtId="0" fontId="257" fillId="0" borderId="9" xfId="10" applyFont="1" applyBorder="1" applyAlignment="1">
      <alignment horizontal="left" vertical="center"/>
    </xf>
    <xf numFmtId="0" fontId="257" fillId="0" borderId="28" xfId="10" applyFont="1" applyBorder="1" applyAlignment="1">
      <alignment horizontal="left" vertical="center"/>
    </xf>
    <xf numFmtId="0" fontId="257" fillId="0" borderId="10" xfId="10" applyFont="1" applyBorder="1" applyAlignment="1">
      <alignment horizontal="left" vertical="center"/>
    </xf>
    <xf numFmtId="0" fontId="257" fillId="18" borderId="11" xfId="10" applyFont="1" applyFill="1" applyBorder="1" applyAlignment="1">
      <alignment horizontal="center" vertical="center" wrapText="1"/>
    </xf>
    <xf numFmtId="0" fontId="257" fillId="18" borderId="14" xfId="10" applyFont="1" applyFill="1" applyBorder="1" applyAlignment="1">
      <alignment horizontal="center" vertical="center" wrapText="1"/>
    </xf>
    <xf numFmtId="0" fontId="257" fillId="18" borderId="41" xfId="10" applyFont="1" applyFill="1" applyBorder="1" applyAlignment="1">
      <alignment horizontal="center" vertical="center" wrapText="1"/>
    </xf>
    <xf numFmtId="0" fontId="257" fillId="18" borderId="13" xfId="10" applyFont="1" applyFill="1" applyBorder="1" applyAlignment="1">
      <alignment horizontal="center" vertical="center" wrapText="1"/>
    </xf>
    <xf numFmtId="0" fontId="257" fillId="18" borderId="15" xfId="10" applyFont="1" applyFill="1" applyBorder="1" applyAlignment="1">
      <alignment horizontal="center" vertical="center" wrapText="1"/>
    </xf>
    <xf numFmtId="0" fontId="257" fillId="18" borderId="2" xfId="10" applyFont="1" applyFill="1" applyBorder="1" applyAlignment="1">
      <alignment horizontal="center" vertical="center" wrapText="1"/>
    </xf>
    <xf numFmtId="0" fontId="258" fillId="0" borderId="6" xfId="10" applyFont="1" applyBorder="1" applyAlignment="1">
      <alignment horizontal="left" vertical="center" wrapText="1"/>
    </xf>
    <xf numFmtId="0" fontId="258" fillId="0" borderId="23" xfId="10" applyFont="1" applyBorder="1" applyAlignment="1">
      <alignment horizontal="left" vertical="center" wrapText="1"/>
    </xf>
    <xf numFmtId="0" fontId="258" fillId="0" borderId="1" xfId="10" applyFont="1" applyBorder="1" applyAlignment="1">
      <alignment horizontal="left" vertical="center" wrapText="1"/>
    </xf>
    <xf numFmtId="0" fontId="50" fillId="6" borderId="6"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2" fillId="6" borderId="40"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0" fontId="52"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49" fillId="6" borderId="106" xfId="0" applyFont="1" applyFill="1" applyBorder="1" applyAlignment="1" applyProtection="1">
      <alignment horizontal="center" vertical="center"/>
    </xf>
    <xf numFmtId="0" fontId="49" fillId="6" borderId="102" xfId="0" applyFont="1" applyFill="1" applyBorder="1" applyAlignment="1" applyProtection="1">
      <alignment horizontal="center" vertical="center"/>
    </xf>
    <xf numFmtId="0" fontId="53" fillId="6" borderId="54" xfId="0" applyFont="1" applyFill="1" applyBorder="1" applyAlignment="1" applyProtection="1">
      <alignment horizontal="left" vertical="center" wrapText="1"/>
    </xf>
    <xf numFmtId="0" fontId="58" fillId="6" borderId="51" xfId="0"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21" xfId="0" applyFont="1" applyFill="1" applyBorder="1" applyAlignment="1" applyProtection="1">
      <alignment horizontal="center" vertical="center" wrapText="1"/>
    </xf>
    <xf numFmtId="0" fontId="58" fillId="6" borderId="46" xfId="0" applyFont="1" applyFill="1" applyBorder="1" applyAlignment="1" applyProtection="1">
      <alignment horizontal="left" vertical="center" wrapText="1"/>
    </xf>
    <xf numFmtId="0" fontId="58" fillId="6" borderId="36" xfId="0" applyFont="1" applyFill="1" applyBorder="1" applyAlignment="1" applyProtection="1">
      <alignment horizontal="left" vertical="center" wrapText="1"/>
    </xf>
    <xf numFmtId="0" fontId="58" fillId="6" borderId="22" xfId="0" applyFont="1" applyFill="1" applyBorder="1" applyAlignment="1" applyProtection="1">
      <alignment horizontal="left" vertical="center" wrapText="1"/>
    </xf>
    <xf numFmtId="0" fontId="52" fillId="6" borderId="40" xfId="0" applyFont="1" applyFill="1" applyBorder="1" applyAlignment="1" applyProtection="1">
      <alignment horizontal="left" vertical="center" wrapText="1"/>
    </xf>
    <xf numFmtId="0" fontId="52" fillId="6" borderId="41"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2" fillId="6" borderId="21"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0" fillId="6" borderId="1"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0" fillId="0" borderId="13" xfId="0" applyFont="1" applyBorder="1" applyAlignment="1" applyProtection="1">
      <alignment horizontal="center" vertical="center"/>
      <protection locked="0"/>
    </xf>
    <xf numFmtId="0" fontId="50" fillId="0" borderId="15"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10" fontId="53" fillId="6" borderId="48" xfId="0" applyNumberFormat="1" applyFont="1" applyFill="1" applyBorder="1" applyAlignment="1" applyProtection="1">
      <alignment horizontal="left" vertical="center" wrapText="1"/>
    </xf>
    <xf numFmtId="10" fontId="123" fillId="6" borderId="5" xfId="0" applyNumberFormat="1" applyFont="1" applyFill="1" applyBorder="1" applyAlignment="1" applyProtection="1">
      <alignment horizontal="left" vertical="center" wrapText="1"/>
    </xf>
    <xf numFmtId="10" fontId="123" fillId="6" borderId="54" xfId="0" applyNumberFormat="1" applyFont="1" applyFill="1" applyBorder="1" applyAlignment="1" applyProtection="1">
      <alignment horizontal="left" vertical="center" wrapText="1"/>
    </xf>
    <xf numFmtId="10" fontId="12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2" fillId="6" borderId="40"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2" xfId="0" applyFont="1" applyFill="1" applyBorder="1" applyAlignment="1" applyProtection="1">
      <alignment horizontal="center" vertical="center" wrapText="1"/>
    </xf>
    <xf numFmtId="0" fontId="60" fillId="6" borderId="6" xfId="0" applyFont="1" applyFill="1" applyBorder="1" applyAlignment="1" applyProtection="1">
      <alignment horizontal="center" vertical="center" wrapText="1"/>
    </xf>
    <xf numFmtId="0" fontId="60" fillId="6" borderId="9"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3" fillId="6" borderId="11" xfId="0" applyFont="1" applyFill="1" applyBorder="1" applyAlignment="1" applyProtection="1">
      <alignment horizontal="left" vertical="center" wrapText="1"/>
    </xf>
    <xf numFmtId="0" fontId="109" fillId="6" borderId="63" xfId="0" applyFont="1" applyFill="1" applyBorder="1" applyAlignment="1" applyProtection="1">
      <alignment horizontal="center" vertical="center"/>
    </xf>
    <xf numFmtId="0" fontId="109" fillId="6" borderId="64" xfId="0" applyFont="1" applyFill="1" applyBorder="1" applyAlignment="1" applyProtection="1">
      <alignment horizontal="center" vertical="center"/>
    </xf>
    <xf numFmtId="0" fontId="109" fillId="6" borderId="65"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3" fillId="6" borderId="69" xfId="0"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0" fontId="53" fillId="6" borderId="3" xfId="0" applyFont="1" applyFill="1" applyBorder="1" applyAlignment="1" applyProtection="1">
      <alignment horizontal="center" vertical="center" wrapText="1"/>
    </xf>
    <xf numFmtId="0" fontId="52" fillId="6" borderId="23"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53" fillId="6" borderId="19" xfId="0" applyFont="1" applyFill="1" applyBorder="1" applyAlignment="1" applyProtection="1">
      <alignment horizontal="left" vertical="center" wrapText="1"/>
    </xf>
    <xf numFmtId="0" fontId="50" fillId="5" borderId="13" xfId="0" applyFont="1" applyFill="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left" vertical="center" wrapText="1"/>
    </xf>
    <xf numFmtId="0" fontId="60" fillId="6" borderId="18"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182" fontId="50" fillId="6" borderId="5" xfId="0" applyNumberFormat="1" applyFont="1" applyFill="1" applyBorder="1" applyAlignment="1" applyProtection="1">
      <alignment horizontal="center" vertical="center" wrapText="1"/>
    </xf>
    <xf numFmtId="182" fontId="50" fillId="6" borderId="54" xfId="0" applyNumberFormat="1" applyFont="1" applyFill="1" applyBorder="1" applyAlignment="1" applyProtection="1">
      <alignment horizontal="center" vertical="center" wrapText="1"/>
    </xf>
    <xf numFmtId="182" fontId="50" fillId="6" borderId="3" xfId="0" applyNumberFormat="1" applyFont="1" applyFill="1" applyBorder="1" applyAlignment="1" applyProtection="1">
      <alignment horizontal="center" vertical="center" wrapText="1"/>
    </xf>
    <xf numFmtId="0" fontId="50" fillId="5" borderId="1"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3" fillId="6" borderId="36" xfId="0" applyFont="1" applyFill="1" applyBorder="1" applyAlignment="1" applyProtection="1">
      <alignment horizontal="left" vertical="center"/>
    </xf>
    <xf numFmtId="0" fontId="50" fillId="5" borderId="5" xfId="0" applyFont="1" applyFill="1" applyBorder="1" applyAlignment="1" applyProtection="1">
      <alignment horizontal="center" vertical="center" wrapText="1"/>
      <protection locked="0"/>
    </xf>
    <xf numFmtId="0" fontId="50" fillId="5" borderId="3"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53" fillId="6" borderId="25"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61"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113" fillId="6" borderId="107" xfId="0" applyFont="1" applyFill="1" applyBorder="1" applyProtection="1">
      <alignment vertical="center"/>
    </xf>
    <xf numFmtId="0" fontId="113" fillId="6" borderId="108" xfId="0" applyFont="1" applyFill="1" applyBorder="1" applyProtection="1">
      <alignment vertical="center"/>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2" fillId="5" borderId="37" xfId="0" applyFont="1" applyFill="1" applyBorder="1" applyAlignment="1" applyProtection="1">
      <alignment horizontal="left" vertical="center" wrapText="1"/>
      <protection locked="0"/>
    </xf>
    <xf numFmtId="0" fontId="52" fillId="5" borderId="3" xfId="0" applyFont="1" applyFill="1" applyBorder="1" applyAlignment="1" applyProtection="1">
      <alignment horizontal="left" vertical="center" wrapText="1"/>
      <protection locked="0"/>
    </xf>
    <xf numFmtId="0" fontId="137" fillId="6" borderId="1" xfId="0" applyFont="1" applyFill="1" applyBorder="1" applyAlignment="1" applyProtection="1">
      <alignment horizontal="center" vertical="center" wrapText="1"/>
      <protection locked="0"/>
    </xf>
    <xf numFmtId="192" fontId="137" fillId="6" borderId="1" xfId="0" applyNumberFormat="1"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xf>
    <xf numFmtId="0" fontId="52" fillId="6" borderId="3"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178"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9" fillId="6" borderId="61" xfId="0" applyFont="1" applyFill="1" applyBorder="1" applyAlignment="1" applyProtection="1">
      <alignment horizontal="left" vertical="center"/>
    </xf>
    <xf numFmtId="0" fontId="59" fillId="6" borderId="53" xfId="0" applyFont="1" applyFill="1" applyBorder="1" applyAlignment="1" applyProtection="1">
      <alignment horizontal="left" vertical="center"/>
    </xf>
    <xf numFmtId="0" fontId="59" fillId="6" borderId="8" xfId="0" applyFont="1" applyFill="1" applyBorder="1" applyAlignment="1" applyProtection="1">
      <alignment horizontal="left" vertical="center"/>
    </xf>
    <xf numFmtId="0" fontId="59" fillId="6" borderId="54"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center" vertical="center" wrapText="1"/>
      <protection locked="0"/>
    </xf>
    <xf numFmtId="0" fontId="63" fillId="6" borderId="5" xfId="0" applyFont="1" applyFill="1" applyBorder="1" applyAlignment="1" applyProtection="1">
      <alignment horizontal="center" vertical="center" wrapText="1"/>
    </xf>
    <xf numFmtId="0" fontId="63" fillId="6" borderId="54" xfId="0" applyFont="1" applyFill="1" applyBorder="1" applyAlignment="1" applyProtection="1">
      <alignment horizontal="center" vertical="center" wrapText="1"/>
    </xf>
    <xf numFmtId="0" fontId="63" fillId="6" borderId="0" xfId="0" applyFont="1" applyFill="1" applyBorder="1" applyAlignment="1" applyProtection="1">
      <alignment horizontal="center" vertical="center" wrapText="1"/>
    </xf>
    <xf numFmtId="0" fontId="63" fillId="6" borderId="22" xfId="0" applyFont="1" applyFill="1" applyBorder="1" applyAlignment="1" applyProtection="1">
      <alignment horizontal="center" vertical="center" wrapText="1"/>
    </xf>
    <xf numFmtId="49" fontId="59" fillId="6" borderId="40" xfId="0" applyNumberFormat="1" applyFont="1" applyFill="1" applyBorder="1" applyAlignment="1" applyProtection="1">
      <alignment horizontal="center" vertical="center" wrapText="1"/>
    </xf>
    <xf numFmtId="49" fontId="59" fillId="6" borderId="14" xfId="0" applyNumberFormat="1" applyFont="1" applyFill="1" applyBorder="1" applyAlignment="1" applyProtection="1">
      <alignment horizontal="center" vertical="center" wrapText="1"/>
    </xf>
    <xf numFmtId="49" fontId="107" fillId="6" borderId="18" xfId="0" applyNumberFormat="1" applyFont="1" applyFill="1" applyBorder="1" applyAlignment="1" applyProtection="1">
      <alignment horizontal="center" vertical="center" wrapText="1"/>
    </xf>
    <xf numFmtId="49" fontId="107" fillId="6" borderId="12" xfId="0" applyNumberFormat="1" applyFont="1" applyFill="1" applyBorder="1" applyAlignment="1" applyProtection="1">
      <alignment horizontal="center" vertical="center" wrapText="1"/>
    </xf>
    <xf numFmtId="49" fontId="59" fillId="6" borderId="12"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0" borderId="0" xfId="0" applyFont="1" applyAlignment="1" applyProtection="1">
      <alignment horizontal="left" vertical="center"/>
    </xf>
    <xf numFmtId="0" fontId="108" fillId="6" borderId="1" xfId="0" applyFont="1" applyFill="1" applyBorder="1" applyAlignment="1" applyProtection="1">
      <alignment horizontal="center" vertical="center"/>
    </xf>
    <xf numFmtId="0" fontId="108" fillId="6" borderId="13" xfId="0" applyFont="1" applyFill="1" applyBorder="1" applyAlignment="1" applyProtection="1">
      <alignment horizontal="center" vertical="center"/>
    </xf>
    <xf numFmtId="0" fontId="108" fillId="6" borderId="15" xfId="0" applyFont="1" applyFill="1" applyBorder="1" applyAlignment="1" applyProtection="1">
      <alignment horizontal="center" vertical="center"/>
    </xf>
    <xf numFmtId="0" fontId="108" fillId="6" borderId="2" xfId="0" applyFont="1" applyFill="1" applyBorder="1" applyAlignment="1" applyProtection="1">
      <alignment horizontal="center" vertical="center"/>
    </xf>
    <xf numFmtId="0" fontId="151" fillId="6" borderId="13" xfId="0" applyFont="1" applyFill="1" applyBorder="1" applyAlignment="1" applyProtection="1">
      <alignment vertical="center" wrapText="1"/>
    </xf>
    <xf numFmtId="0" fontId="151" fillId="6" borderId="15" xfId="0" applyFont="1" applyFill="1" applyBorder="1" applyAlignment="1" applyProtection="1">
      <alignment vertical="center" wrapText="1"/>
    </xf>
    <xf numFmtId="0" fontId="151" fillId="6" borderId="2" xfId="0" applyFont="1" applyFill="1" applyBorder="1" applyAlignment="1" applyProtection="1">
      <alignment vertical="center" wrapText="1"/>
    </xf>
    <xf numFmtId="0" fontId="59" fillId="6" borderId="29" xfId="0" applyFont="1" applyFill="1" applyBorder="1" applyAlignment="1" applyProtection="1">
      <alignment horizontal="center" vertical="center" wrapText="1"/>
    </xf>
    <xf numFmtId="0" fontId="59" fillId="6" borderId="39" xfId="0" applyFont="1" applyFill="1" applyBorder="1" applyAlignment="1" applyProtection="1">
      <alignment horizontal="center" vertical="center" wrapText="1"/>
    </xf>
    <xf numFmtId="0" fontId="123" fillId="6" borderId="34" xfId="0" applyFont="1" applyFill="1" applyBorder="1" applyAlignment="1" applyProtection="1">
      <alignment horizontal="left" vertical="center" wrapText="1"/>
    </xf>
    <xf numFmtId="0" fontId="123" fillId="6" borderId="65" xfId="0" applyFont="1" applyFill="1" applyBorder="1" applyAlignment="1" applyProtection="1">
      <alignment horizontal="left" vertical="center" wrapText="1"/>
    </xf>
    <xf numFmtId="0" fontId="53" fillId="6" borderId="13" xfId="0" applyFont="1" applyFill="1" applyBorder="1" applyAlignment="1" applyProtection="1">
      <alignment vertical="top" wrapText="1"/>
    </xf>
    <xf numFmtId="0" fontId="53" fillId="6" borderId="15" xfId="0" applyFont="1" applyFill="1" applyBorder="1" applyAlignment="1" applyProtection="1">
      <alignment vertical="top" wrapText="1"/>
    </xf>
    <xf numFmtId="0" fontId="53" fillId="6" borderId="2" xfId="0" applyFont="1" applyFill="1" applyBorder="1" applyAlignment="1" applyProtection="1">
      <alignment vertical="top" wrapText="1"/>
    </xf>
    <xf numFmtId="0" fontId="224" fillId="6" borderId="1" xfId="0" applyFont="1" applyFill="1" applyBorder="1" applyAlignment="1">
      <alignment horizontal="center" vertical="center"/>
    </xf>
    <xf numFmtId="0" fontId="148" fillId="11" borderId="5" xfId="0" applyFont="1" applyFill="1" applyBorder="1" applyAlignment="1">
      <alignment horizontal="left" vertical="center"/>
    </xf>
    <xf numFmtId="0" fontId="148" fillId="11" borderId="54" xfId="0" applyFont="1" applyFill="1" applyBorder="1" applyAlignment="1">
      <alignment horizontal="left" vertical="center"/>
    </xf>
    <xf numFmtId="0" fontId="148" fillId="11" borderId="3" xfId="0" applyFont="1" applyFill="1" applyBorder="1" applyAlignment="1">
      <alignment horizontal="left" vertical="center"/>
    </xf>
    <xf numFmtId="0" fontId="87" fillId="11" borderId="1" xfId="0" applyFont="1" applyFill="1" applyBorder="1" applyAlignment="1">
      <alignment horizontal="center" vertical="center"/>
    </xf>
    <xf numFmtId="0" fontId="22" fillId="0" borderId="1" xfId="0" applyFont="1" applyBorder="1" applyAlignment="1">
      <alignment horizontal="center"/>
    </xf>
    <xf numFmtId="0" fontId="22" fillId="0" borderId="1" xfId="0" applyFont="1" applyBorder="1" applyAlignment="1"/>
    <xf numFmtId="0" fontId="87" fillId="6" borderId="23" xfId="0" applyFont="1" applyFill="1" applyBorder="1" applyAlignment="1">
      <alignment horizontal="left" vertical="center" wrapText="1"/>
    </xf>
    <xf numFmtId="0" fontId="22" fillId="0" borderId="1" xfId="0" applyFont="1" applyFill="1" applyBorder="1" applyAlignment="1">
      <alignment horizontal="center" vertical="center"/>
    </xf>
    <xf numFmtId="0" fontId="87" fillId="0" borderId="1" xfId="0" applyFont="1" applyFill="1" applyBorder="1" applyAlignment="1">
      <alignment horizontal="center" vertical="center"/>
    </xf>
    <xf numFmtId="0" fontId="87" fillId="6" borderId="1" xfId="0" applyFont="1" applyFill="1" applyBorder="1" applyAlignment="1">
      <alignment horizontal="left" vertical="center" wrapText="1"/>
    </xf>
    <xf numFmtId="0" fontId="148" fillId="6" borderId="55" xfId="0" applyFont="1" applyFill="1" applyBorder="1" applyAlignment="1">
      <alignment vertical="center"/>
    </xf>
    <xf numFmtId="0" fontId="148" fillId="6" borderId="36" xfId="0" applyFont="1" applyFill="1" applyBorder="1" applyAlignment="1">
      <alignment vertical="center"/>
    </xf>
    <xf numFmtId="0" fontId="148" fillId="6" borderId="22" xfId="0" applyFont="1" applyFill="1" applyBorder="1" applyAlignment="1">
      <alignment vertical="center"/>
    </xf>
    <xf numFmtId="0" fontId="148" fillId="6" borderId="42" xfId="0" applyFont="1" applyFill="1" applyBorder="1" applyAlignment="1">
      <alignment vertical="center"/>
    </xf>
    <xf numFmtId="0" fontId="148" fillId="6" borderId="47" xfId="0" applyFont="1" applyFill="1" applyBorder="1" applyAlignment="1">
      <alignment vertical="center"/>
    </xf>
    <xf numFmtId="0" fontId="148" fillId="6" borderId="73" xfId="0" applyFont="1" applyFill="1" applyBorder="1" applyAlignment="1">
      <alignment vertical="center"/>
    </xf>
    <xf numFmtId="0" fontId="145" fillId="6" borderId="37" xfId="0" applyFont="1" applyFill="1" applyBorder="1" applyAlignment="1">
      <alignment horizontal="left" vertical="center"/>
    </xf>
    <xf numFmtId="0" fontId="145" fillId="6" borderId="54" xfId="0" applyFont="1" applyFill="1" applyBorder="1" applyAlignment="1">
      <alignment horizontal="left" vertical="center"/>
    </xf>
    <xf numFmtId="0" fontId="145" fillId="6" borderId="3" xfId="0" applyFont="1" applyFill="1" applyBorder="1" applyAlignment="1">
      <alignment horizontal="left" vertical="center"/>
    </xf>
    <xf numFmtId="0" fontId="147" fillId="6" borderId="1" xfId="0" applyFont="1" applyFill="1" applyBorder="1" applyAlignment="1">
      <alignment horizontal="center" vertical="center"/>
    </xf>
    <xf numFmtId="0" fontId="147" fillId="6" borderId="24" xfId="0" applyFont="1" applyFill="1" applyBorder="1" applyAlignment="1">
      <alignment horizontal="center" vertical="center"/>
    </xf>
    <xf numFmtId="0" fontId="57" fillId="6" borderId="5" xfId="0" applyFont="1" applyFill="1" applyBorder="1" applyAlignment="1" applyProtection="1">
      <alignment horizontal="center" vertical="center" wrapText="1"/>
    </xf>
    <xf numFmtId="0" fontId="57" fillId="6" borderId="3"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11" xfId="0" applyFont="1" applyFill="1" applyBorder="1" applyAlignment="1" applyProtection="1">
      <alignment horizontal="center" vertical="center" textRotation="255" wrapText="1"/>
    </xf>
    <xf numFmtId="0" fontId="57" fillId="6" borderId="14" xfId="0" applyFont="1" applyFill="1" applyBorder="1" applyAlignment="1" applyProtection="1">
      <alignment horizontal="center" vertical="center" textRotation="255" wrapText="1"/>
    </xf>
    <xf numFmtId="0" fontId="57" fillId="6" borderId="41" xfId="0" applyFont="1" applyFill="1" applyBorder="1" applyAlignment="1" applyProtection="1">
      <alignment horizontal="center" vertical="center" textRotation="255" wrapText="1"/>
    </xf>
    <xf numFmtId="0" fontId="57" fillId="6" borderId="15" xfId="0" applyFont="1" applyFill="1" applyBorder="1" applyAlignment="1" applyProtection="1">
      <alignment horizontal="center" vertical="center" textRotation="255" wrapText="1"/>
    </xf>
    <xf numFmtId="0" fontId="57" fillId="6" borderId="2" xfId="0" applyFont="1" applyFill="1" applyBorder="1" applyAlignment="1" applyProtection="1">
      <alignment horizontal="center" vertical="center" textRotation="255" wrapText="1"/>
    </xf>
    <xf numFmtId="0" fontId="57" fillId="6" borderId="11" xfId="0" applyFont="1" applyFill="1" applyBorder="1" applyAlignment="1" applyProtection="1">
      <alignment horizontal="center" vertical="center" wrapText="1"/>
    </xf>
    <xf numFmtId="0" fontId="57" fillId="6" borderId="14" xfId="0" applyFont="1" applyFill="1" applyBorder="1" applyAlignment="1" applyProtection="1">
      <alignment horizontal="center" vertical="center" wrapText="1"/>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xf>
    <xf numFmtId="0" fontId="57" fillId="6" borderId="15" xfId="0" applyFont="1" applyFill="1" applyBorder="1" applyAlignment="1" applyProtection="1">
      <alignment horizontal="center" vertical="center"/>
    </xf>
    <xf numFmtId="0" fontId="57" fillId="6" borderId="2"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7" fillId="6" borderId="30" xfId="0" applyFont="1" applyFill="1" applyBorder="1" applyAlignment="1" applyProtection="1">
      <alignment horizontal="center" vertical="center" wrapText="1"/>
    </xf>
    <xf numFmtId="0" fontId="57" fillId="6" borderId="28" xfId="0" applyFont="1" applyFill="1" applyBorder="1" applyAlignment="1" applyProtection="1">
      <alignment horizontal="center" vertical="center" wrapText="1"/>
    </xf>
    <xf numFmtId="0" fontId="57" fillId="6" borderId="46"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7" fillId="6" borderId="58" xfId="0" applyFont="1" applyFill="1" applyBorder="1" applyAlignment="1" applyProtection="1">
      <alignment horizontal="center" vertical="center" wrapText="1"/>
    </xf>
    <xf numFmtId="0" fontId="57" fillId="6" borderId="35"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0" fontId="57" fillId="6" borderId="7" xfId="0" applyFont="1" applyFill="1" applyBorder="1" applyAlignment="1" applyProtection="1">
      <alignment horizontal="center" vertical="center" wrapText="1"/>
    </xf>
    <xf numFmtId="0" fontId="57" fillId="6" borderId="46" xfId="0" applyFont="1" applyFill="1" applyBorder="1" applyAlignment="1" applyProtection="1">
      <alignment horizontal="center" vertical="center"/>
    </xf>
    <xf numFmtId="0" fontId="57" fillId="6" borderId="22"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0" fontId="57" fillId="6" borderId="35" xfId="0" applyFont="1" applyFill="1" applyBorder="1" applyAlignment="1" applyProtection="1">
      <alignment horizontal="center" vertical="center"/>
    </xf>
    <xf numFmtId="0" fontId="57" fillId="6" borderId="4" xfId="0" applyFont="1" applyFill="1" applyBorder="1" applyAlignment="1" applyProtection="1">
      <alignment horizontal="center" vertical="center"/>
    </xf>
    <xf numFmtId="0" fontId="57" fillId="6" borderId="7"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181"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181"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81"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181"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0" fontId="57" fillId="6" borderId="38" xfId="0" applyFont="1" applyFill="1" applyBorder="1" applyAlignment="1" applyProtection="1">
      <alignment horizontal="center" vertical="center" wrapText="1"/>
    </xf>
    <xf numFmtId="0" fontId="57" fillId="6" borderId="66" xfId="0"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xf>
    <xf numFmtId="0" fontId="57" fillId="6" borderId="62" xfId="0" applyFont="1" applyFill="1" applyBorder="1" applyAlignment="1" applyProtection="1">
      <alignment horizontal="center" vertical="center"/>
    </xf>
    <xf numFmtId="0" fontId="57" fillId="6" borderId="53" xfId="0" applyFont="1" applyFill="1" applyBorder="1" applyAlignment="1" applyProtection="1">
      <alignment horizontal="center" vertical="center"/>
    </xf>
    <xf numFmtId="0" fontId="57" fillId="6" borderId="8" xfId="0" applyFont="1" applyFill="1" applyBorder="1" applyAlignment="1" applyProtection="1">
      <alignment horizontal="center" vertical="center"/>
    </xf>
    <xf numFmtId="0" fontId="57" fillId="6" borderId="16"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18" xfId="0" applyFont="1" applyFill="1" applyBorder="1" applyAlignment="1" applyProtection="1">
      <alignment horizontal="center" vertical="center" wrapText="1"/>
    </xf>
    <xf numFmtId="0" fontId="57" fillId="6" borderId="69" xfId="0"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xf>
    <xf numFmtId="0" fontId="57" fillId="6" borderId="39" xfId="0"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0" fillId="6" borderId="37" xfId="0" applyFont="1" applyFill="1" applyBorder="1" applyAlignment="1" applyProtection="1">
      <alignment horizontal="center" vertical="center"/>
    </xf>
    <xf numFmtId="0" fontId="57" fillId="6" borderId="17" xfId="0" applyFont="1" applyFill="1" applyBorder="1" applyAlignment="1" applyProtection="1">
      <alignment horizontal="center" vertical="center"/>
    </xf>
    <xf numFmtId="0" fontId="57" fillId="6" borderId="13" xfId="0" applyFont="1" applyFill="1" applyBorder="1" applyAlignment="1" applyProtection="1">
      <alignment horizontal="center" vertical="center" textRotation="255" wrapText="1"/>
    </xf>
    <xf numFmtId="186" fontId="57" fillId="6" borderId="1" xfId="0" applyNumberFormat="1" applyFont="1" applyFill="1" applyBorder="1" applyAlignment="1" applyProtection="1">
      <alignment horizontal="center" vertical="center"/>
    </xf>
    <xf numFmtId="186" fontId="56" fillId="6" borderId="1"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wrapText="1"/>
    </xf>
    <xf numFmtId="0" fontId="108" fillId="6" borderId="23" xfId="0" applyFont="1" applyFill="1" applyBorder="1" applyAlignment="1" applyProtection="1">
      <alignment horizontal="center" vertical="center"/>
    </xf>
    <xf numFmtId="0" fontId="57" fillId="0" borderId="11" xfId="0" applyFont="1" applyFill="1" applyBorder="1" applyAlignment="1" applyProtection="1">
      <alignment horizontal="center" vertical="center" wrapText="1"/>
      <protection locked="0"/>
    </xf>
    <xf numFmtId="0" fontId="57" fillId="0" borderId="61" xfId="0" applyFont="1" applyFill="1" applyBorder="1" applyAlignment="1" applyProtection="1">
      <alignment horizontal="center" vertical="center" wrapText="1"/>
      <protection locked="0"/>
    </xf>
    <xf numFmtId="0" fontId="57" fillId="0" borderId="22" xfId="0" applyFont="1" applyFill="1" applyBorder="1" applyAlignment="1" applyProtection="1">
      <alignment horizontal="center" vertical="center" wrapText="1"/>
      <protection locked="0"/>
    </xf>
    <xf numFmtId="0" fontId="57" fillId="0" borderId="46" xfId="0" applyFont="1" applyFill="1" applyBorder="1" applyAlignment="1" applyProtection="1">
      <alignment horizontal="center" vertical="center" wrapText="1"/>
      <protection locked="0"/>
    </xf>
    <xf numFmtId="0" fontId="116" fillId="6" borderId="1" xfId="0" applyFont="1" applyFill="1" applyBorder="1" applyAlignment="1" applyProtection="1">
      <alignment horizontal="center" vertical="center"/>
    </xf>
    <xf numFmtId="0" fontId="155" fillId="12" borderId="132" xfId="9" applyFont="1" applyFill="1" applyBorder="1" applyAlignment="1" applyProtection="1">
      <alignment horizontal="center" vertical="center" wrapText="1"/>
    </xf>
    <xf numFmtId="0" fontId="155" fillId="12" borderId="126" xfId="9" applyFont="1" applyFill="1" applyBorder="1" applyAlignment="1" applyProtection="1">
      <alignment horizontal="center" vertical="center" wrapText="1"/>
    </xf>
    <xf numFmtId="0" fontId="155" fillId="12" borderId="128" xfId="9" applyFont="1" applyFill="1" applyBorder="1" applyAlignment="1" applyProtection="1">
      <alignment horizontal="center" vertical="center" wrapText="1"/>
    </xf>
    <xf numFmtId="0" fontId="148" fillId="0" borderId="0" xfId="9" applyFont="1" applyAlignment="1">
      <alignment horizontal="center" vertical="center"/>
    </xf>
    <xf numFmtId="0" fontId="111" fillId="0" borderId="0" xfId="9" applyFont="1" applyAlignment="1">
      <alignment horizontal="center" vertical="center"/>
    </xf>
    <xf numFmtId="0" fontId="153" fillId="0" borderId="0" xfId="9" applyFont="1" applyAlignment="1">
      <alignment horizontal="center" vertical="center"/>
    </xf>
    <xf numFmtId="0" fontId="155" fillId="12" borderId="123" xfId="9" applyFont="1" applyFill="1" applyBorder="1" applyAlignment="1" applyProtection="1">
      <alignment horizontal="center" vertical="center" wrapText="1"/>
    </xf>
    <xf numFmtId="0" fontId="108" fillId="12" borderId="132" xfId="9" applyFont="1" applyFill="1" applyBorder="1" applyAlignment="1" applyProtection="1">
      <alignment horizontal="center" vertical="center" wrapText="1"/>
    </xf>
    <xf numFmtId="0" fontId="108" fillId="12" borderId="126" xfId="9" applyFont="1" applyFill="1" applyBorder="1" applyAlignment="1" applyProtection="1">
      <alignment horizontal="center" vertical="center" wrapText="1"/>
    </xf>
    <xf numFmtId="0" fontId="108" fillId="12" borderId="128" xfId="9" applyFont="1" applyFill="1" applyBorder="1" applyAlignment="1" applyProtection="1">
      <alignment horizontal="center" vertical="center" wrapText="1"/>
    </xf>
    <xf numFmtId="0" fontId="155" fillId="12" borderId="155" xfId="9"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xf>
    <xf numFmtId="0" fontId="53" fillId="6" borderId="75" xfId="0" applyFont="1" applyFill="1" applyBorder="1" applyAlignment="1" applyProtection="1">
      <alignment horizontal="center" vertical="center"/>
      <protection locked="0"/>
    </xf>
    <xf numFmtId="0" fontId="53" fillId="6" borderId="47" xfId="0" applyFont="1" applyFill="1" applyBorder="1" applyAlignment="1" applyProtection="1">
      <alignment horizontal="center" vertical="center"/>
      <protection locked="0"/>
    </xf>
    <xf numFmtId="0" fontId="53" fillId="6" borderId="73" xfId="0" applyFont="1" applyFill="1" applyBorder="1" applyAlignment="1" applyProtection="1">
      <alignment horizontal="center" vertical="center"/>
      <protection locked="0"/>
    </xf>
    <xf numFmtId="0" fontId="132" fillId="6" borderId="0" xfId="0" applyFont="1" applyFill="1" applyAlignment="1" applyProtection="1">
      <alignment horizontal="center" vertical="center"/>
    </xf>
    <xf numFmtId="0" fontId="121" fillId="6" borderId="0" xfId="0" applyFont="1" applyFill="1" applyBorder="1" applyAlignment="1" applyProtection="1">
      <alignment horizontal="left" vertical="center"/>
    </xf>
    <xf numFmtId="0" fontId="120" fillId="6" borderId="6" xfId="0" applyFont="1" applyFill="1" applyBorder="1" applyAlignment="1" applyProtection="1">
      <alignment horizontal="center" vertical="center" wrapText="1"/>
    </xf>
    <xf numFmtId="0" fontId="120" fillId="6" borderId="25" xfId="0" applyFont="1" applyFill="1" applyBorder="1" applyAlignment="1" applyProtection="1">
      <alignment horizontal="center" vertical="center" wrapText="1"/>
    </xf>
  </cellXfs>
  <cellStyles count="21">
    <cellStyle name="百分比 2" xfId="14"/>
    <cellStyle name="常规" xfId="0" builtinId="0"/>
    <cellStyle name="常规 10" xfId="19"/>
    <cellStyle name="常规 11" xfId="2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616;&#25151;&#65288;&#37070;&#22253;&#183;&#3519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12304;&#27979;&#31639;&#34920;&#12305;2018-1-0376-P01&#183;&#29616;&#25151;&#65288;&#37070;&#22253;&#183;&#35199;&#65289;&#19968;&#23457;-&#23425;&#23567;&#40151;20180529-103435-&#37073;&#29146;20180530-235443-&#23425;&#23567;&#40151;20180531-1304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东"/>
      <sheetName val="西"/>
      <sheetName val="数据-汇总表"/>
      <sheetName val="数据-取费表"/>
      <sheetName val="估价对象房地状况"/>
      <sheetName val="租金表"/>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工业</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row r="14">
          <cell r="B14">
            <v>2864.5</v>
          </cell>
          <cell r="C14">
            <v>4638.1000000000004</v>
          </cell>
          <cell r="D14">
            <v>10606</v>
          </cell>
          <cell r="G14">
            <v>10606</v>
          </cell>
        </row>
      </sheetData>
      <sheetData sheetId="20"/>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西"/>
      <sheetName val="数据-汇总表"/>
      <sheetName val="数据-取费表"/>
      <sheetName val="租约"/>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北京市朝阳区建国门外郎家园6号“郎园Vintage”项目房地产抵押价值预评估</v>
      </c>
    </row>
    <row r="3" spans="1:2" s="1593" customFormat="1">
      <c r="A3" s="1591" t="s">
        <v>1217</v>
      </c>
      <c r="B3" s="1592" t="str">
        <f>'预评函-封皮'!B40</f>
        <v>北京农商银行股份有限公司东城支行</v>
      </c>
    </row>
    <row r="4" spans="1:2" s="1593" customFormat="1">
      <c r="A4" s="1591" t="s">
        <v>1218</v>
      </c>
      <c r="B4" s="1592" t="str">
        <f ca="1">'预评函-封皮'!B46</f>
        <v>郑燚（注册号：1120070131)、王鹏（注册号：1120050019)</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受贵公司委托，我公司对北京市朝阳区建国门外郎家园6号“郎园Vintage”项目房地产抵押价值进行了预评估。</v>
      </c>
    </row>
    <row r="7" spans="1:2" s="1593" customFormat="1">
      <c r="A7" s="1591" t="s">
        <v>1260</v>
      </c>
      <c r="B7" s="1592" t="str">
        <f>'预评函-1'!A7</f>
        <v>估价对象为北京市朝阳区建国门外郎家园6号“郎园Vintage”项目房地产，为北京尚博地投资顾问有限公司所有。根据《国有土地使用证》[]，估价对象（分摊）出让国有建设用地使用权面积为18455.76平方米。根据《房屋所有权证》[]、《测绘报告》[]，估价对象建筑面积为27202.3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朝阳区建国门外郎家园6号“郎园Vintage”项目房地产,为北京尚博地投资顾问有限公司开发建设的综合项目（商业、办公），该项目尚在开发建设中。根据《国有土地使用证》[]，估价对象（分摊）出让国有建设用地使用权面积为18455.76平方米。根据《房屋所有权证》[]、《测绘报告》[]，估价对象规划建筑面积为27202.3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北京尚博地投资顾问有限公司拟使用北京市朝阳区建国门外郎家园6号“郎园Vintage”项目房地产作为抵押担保物，向北京农商银行股份有限公司东城支行办理贷款手续。北京农商银行股份有限公司东城支行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2019年5月7日（评估专业人员实地查勘之日）</v>
      </c>
    </row>
    <row r="13" spans="1:2" s="1593" customFormat="1">
      <c r="A13" s="1591" t="s">
        <v>1223</v>
      </c>
      <c r="B13" s="1592" t="str">
        <f>'预评函-1'!A18</f>
        <v>本次估价的“房地产价值”是指在正常市场情况下，在价值时点2019年5月7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74459</v>
      </c>
    </row>
    <row r="21" spans="1:2" s="1593" customFormat="1">
      <c r="A21" s="1591" t="s">
        <v>1231</v>
      </c>
      <c r="B21" s="1592">
        <f ca="1">'预评函-2'!D7</f>
        <v>27372</v>
      </c>
    </row>
    <row r="22" spans="1:2" s="1593" customFormat="1">
      <c r="A22" s="1591" t="s">
        <v>1232</v>
      </c>
      <c r="B22" s="1592" t="str">
        <f ca="1">'预评函-2'!D6</f>
        <v>柒亿肆仟肆佰伍拾玖万元整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74459</v>
      </c>
    </row>
    <row r="31" spans="1:2" s="1593" customFormat="1">
      <c r="A31" s="1591" t="s">
        <v>1270</v>
      </c>
      <c r="B31" s="1592">
        <f ca="1">'预评函-2'!D15</f>
        <v>27372</v>
      </c>
    </row>
    <row r="32" spans="1:2" s="1593" customFormat="1">
      <c r="A32" s="1591" t="s">
        <v>1237</v>
      </c>
      <c r="B32" s="1592" t="str">
        <f ca="1">'预评函-2'!D14</f>
        <v>柒亿肆仟肆佰伍拾玖万元整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北京市朝阳区建国门外郎家园6号“郎园Vintage”项目房地产</v>
      </c>
    </row>
    <row r="42" spans="1:2" s="1593" customFormat="1">
      <c r="A42" s="1591" t="s">
        <v>1284</v>
      </c>
      <c r="B42" s="1592" t="str">
        <f>'预评函-3'!B2</f>
        <v>建筑面积</v>
      </c>
    </row>
    <row r="43" spans="1:2" s="1593" customFormat="1">
      <c r="A43" s="1591" t="s">
        <v>1285</v>
      </c>
      <c r="B43" s="1592">
        <f>'预评函-3'!B4</f>
        <v>27202.3</v>
      </c>
    </row>
    <row r="44" spans="1:2" s="1593" customFormat="1">
      <c r="A44" s="1591" t="s">
        <v>1269</v>
      </c>
      <c r="B44" s="1592" t="str">
        <f>'预评函-3'!C2</f>
        <v>(分摊)土地面积</v>
      </c>
    </row>
    <row r="45" spans="1:2" s="1593" customFormat="1">
      <c r="A45" s="1591" t="s">
        <v>1241</v>
      </c>
      <c r="B45" s="1592">
        <f>'预评函-3'!C4</f>
        <v>18455.759999999998</v>
      </c>
    </row>
    <row r="46" spans="1:2" s="1593" customFormat="1">
      <c r="A46" s="1591" t="s">
        <v>1267</v>
      </c>
      <c r="B46" s="1592" t="str">
        <f>'预评函-3'!D2</f>
        <v>出让国有建设用地使用权价值</v>
      </c>
    </row>
    <row r="47" spans="1:2" s="1593" customFormat="1">
      <c r="A47" s="1591" t="s">
        <v>1242</v>
      </c>
      <c r="B47" s="1592">
        <f ca="1">'预评函-3'!D4</f>
        <v>59493</v>
      </c>
    </row>
    <row r="48" spans="1:2" s="1593" customFormat="1">
      <c r="A48" s="1591" t="s">
        <v>1243</v>
      </c>
      <c r="B48" s="1592">
        <f ca="1">'预评函-3'!E4</f>
        <v>21870</v>
      </c>
    </row>
    <row r="49" spans="1:2" s="1593" customFormat="1">
      <c r="A49" s="1591" t="s">
        <v>1244</v>
      </c>
      <c r="B49" s="1592" t="str">
        <f ca="1">'预评函-3'!D5</f>
        <v>伍亿玖仟肆佰玖拾叁万元整</v>
      </c>
    </row>
    <row r="50" spans="1:2" s="1593" customFormat="1">
      <c r="A50" s="1591" t="s">
        <v>1268</v>
      </c>
      <c r="B50" s="1592" t="str">
        <f>'预评函-3'!F2</f>
        <v>建筑物价值</v>
      </c>
    </row>
    <row r="51" spans="1:2" s="1593" customFormat="1">
      <c r="A51" s="1591" t="s">
        <v>1245</v>
      </c>
      <c r="B51" s="1592">
        <f ca="1">'预评函-3'!F4</f>
        <v>14966</v>
      </c>
    </row>
    <row r="52" spans="1:2" s="1593" customFormat="1">
      <c r="A52" s="1591" t="s">
        <v>1246</v>
      </c>
      <c r="B52" s="1592">
        <f ca="1">'预评函-3'!G4</f>
        <v>5502</v>
      </c>
    </row>
    <row r="53" spans="1:2" s="1593" customFormat="1">
      <c r="A53" s="1591" t="s">
        <v>1274</v>
      </c>
      <c r="B53" s="1592" t="str">
        <f ca="1">'预评函-3'!F5</f>
        <v>壹亿肆仟玖佰陆拾陆万元整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王鹏</v>
      </c>
    </row>
    <row r="73" spans="1:2" s="1587" customFormat="1" ht="15" thickBot="1">
      <c r="A73" s="1594" t="s">
        <v>1259</v>
      </c>
      <c r="B73" s="1595">
        <f ca="1">'预评函-4'!B5</f>
        <v>1120050019</v>
      </c>
    </row>
    <row r="74" spans="1:2" ht="15" thickTop="1">
      <c r="A74" s="1584" t="s">
        <v>1295</v>
      </c>
      <c r="B74" s="1601" t="str">
        <f>'预评函-4'!A8</f>
        <v>XX</v>
      </c>
    </row>
  </sheetData>
  <sheetProtection sheet="1" objects="1" scenarios="1"/>
  <phoneticPr fontId="1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1685</v>
      </c>
      <c r="C1" s="2009" t="s">
        <v>759</v>
      </c>
      <c r="D1" s="2010" t="s">
        <v>1686</v>
      </c>
      <c r="E1" s="2010" t="s">
        <v>1687</v>
      </c>
      <c r="F1" s="2010" t="s">
        <v>1688</v>
      </c>
      <c r="G1" s="2010" t="s">
        <v>1689</v>
      </c>
      <c r="H1" s="2010" t="s">
        <v>1690</v>
      </c>
      <c r="I1" s="2010" t="s">
        <v>1691</v>
      </c>
      <c r="J1" s="2010" t="s">
        <v>1692</v>
      </c>
      <c r="K1" s="2010" t="s">
        <v>1693</v>
      </c>
      <c r="L1" s="2010" t="s">
        <v>1694</v>
      </c>
      <c r="M1" s="2010" t="s">
        <v>1695</v>
      </c>
      <c r="N1" s="2010" t="s">
        <v>1696</v>
      </c>
      <c r="O1" s="2010" t="s">
        <v>1697</v>
      </c>
      <c r="P1" s="2011" t="s">
        <v>753</v>
      </c>
      <c r="Q1" s="2011" t="s">
        <v>1141</v>
      </c>
      <c r="R1" s="2010" t="s">
        <v>1135</v>
      </c>
      <c r="S1" s="2010" t="s">
        <v>1698</v>
      </c>
      <c r="T1" s="2012" t="s">
        <v>1699</v>
      </c>
      <c r="U1" s="2010" t="s">
        <v>1700</v>
      </c>
      <c r="V1" s="2010" t="s">
        <v>1701</v>
      </c>
      <c r="W1" s="2010" t="s">
        <v>755</v>
      </c>
    </row>
    <row r="2" spans="1:23">
      <c r="A2" s="2014" t="s">
        <v>22</v>
      </c>
      <c r="B2" s="2014" t="s">
        <v>1702</v>
      </c>
      <c r="C2" s="2015" t="s">
        <v>760</v>
      </c>
      <c r="D2" s="2016" t="s">
        <v>1703</v>
      </c>
      <c r="E2" s="2016" t="s">
        <v>1704</v>
      </c>
      <c r="F2" s="2016" t="s">
        <v>1705</v>
      </c>
      <c r="G2" s="2016">
        <v>40</v>
      </c>
      <c r="H2" s="2016" t="s">
        <v>1705</v>
      </c>
      <c r="I2" s="2016" t="s">
        <v>1706</v>
      </c>
      <c r="J2" s="2016" t="s">
        <v>1707</v>
      </c>
      <c r="K2" s="2016" t="s">
        <v>1708</v>
      </c>
      <c r="L2" s="2016" t="s">
        <v>1708</v>
      </c>
      <c r="M2" s="2016" t="s">
        <v>1708</v>
      </c>
      <c r="N2" s="2016" t="s">
        <v>1708</v>
      </c>
      <c r="O2" s="2016" t="s">
        <v>1708</v>
      </c>
      <c r="P2" s="2016" t="s">
        <v>1708</v>
      </c>
      <c r="Q2" s="2016" t="s">
        <v>1708</v>
      </c>
      <c r="R2" s="2016" t="s">
        <v>1137</v>
      </c>
      <c r="S2" s="2016" t="s">
        <v>1708</v>
      </c>
      <c r="T2" s="2016" t="s">
        <v>1709</v>
      </c>
      <c r="U2" s="2016" t="s">
        <v>1708</v>
      </c>
      <c r="V2" s="2016" t="s">
        <v>1710</v>
      </c>
      <c r="W2" s="2016" t="s">
        <v>1708</v>
      </c>
    </row>
    <row r="3" spans="1:23">
      <c r="A3" s="2014" t="s">
        <v>1711</v>
      </c>
      <c r="B3" s="2017" t="s">
        <v>1142</v>
      </c>
      <c r="C3" s="2018" t="s">
        <v>761</v>
      </c>
      <c r="D3" s="2016" t="s">
        <v>1712</v>
      </c>
      <c r="E3" s="2016" t="s">
        <v>16</v>
      </c>
      <c r="F3" s="2016" t="s">
        <v>1713</v>
      </c>
      <c r="G3" s="2016">
        <v>50</v>
      </c>
      <c r="H3" s="2016" t="s">
        <v>1713</v>
      </c>
      <c r="I3" s="2016" t="s">
        <v>1714</v>
      </c>
      <c r="J3" s="2016" t="s">
        <v>1715</v>
      </c>
      <c r="K3" s="2016" t="s">
        <v>1716</v>
      </c>
      <c r="L3" s="2016" t="s">
        <v>1716</v>
      </c>
      <c r="M3" s="2016" t="s">
        <v>1716</v>
      </c>
      <c r="N3" s="2016" t="s">
        <v>1716</v>
      </c>
      <c r="O3" s="2016" t="s">
        <v>1716</v>
      </c>
      <c r="P3" s="2016" t="s">
        <v>1716</v>
      </c>
      <c r="Q3" s="2016" t="s">
        <v>1716</v>
      </c>
      <c r="R3" s="2016" t="s">
        <v>1136</v>
      </c>
      <c r="S3" s="2016" t="s">
        <v>1716</v>
      </c>
      <c r="T3" s="2016" t="s">
        <v>1717</v>
      </c>
      <c r="U3" s="2016" t="s">
        <v>1716</v>
      </c>
      <c r="V3" s="2016" t="s">
        <v>1718</v>
      </c>
      <c r="W3" s="2016" t="s">
        <v>1716</v>
      </c>
    </row>
    <row r="4" spans="1:23">
      <c r="A4" s="2014" t="s">
        <v>1719</v>
      </c>
      <c r="B4" s="2014" t="s">
        <v>1720</v>
      </c>
      <c r="C4" s="2015" t="s">
        <v>762</v>
      </c>
      <c r="D4" s="2016" t="s">
        <v>865</v>
      </c>
      <c r="E4" s="2016" t="s">
        <v>1721</v>
      </c>
      <c r="F4" s="2016" t="s">
        <v>1722</v>
      </c>
      <c r="G4" s="2016">
        <v>70</v>
      </c>
      <c r="H4" s="2016" t="s">
        <v>1722</v>
      </c>
      <c r="I4" s="2016" t="s">
        <v>1723</v>
      </c>
      <c r="K4" s="2016" t="s">
        <v>1724</v>
      </c>
      <c r="L4" s="2016" t="s">
        <v>1724</v>
      </c>
      <c r="M4" s="2016" t="s">
        <v>1724</v>
      </c>
      <c r="N4" s="2016" t="s">
        <v>1724</v>
      </c>
      <c r="O4" s="2016" t="s">
        <v>1724</v>
      </c>
      <c r="P4" s="2016" t="s">
        <v>1724</v>
      </c>
      <c r="Q4" s="2016" t="s">
        <v>1724</v>
      </c>
      <c r="R4" s="2016" t="s">
        <v>1138</v>
      </c>
      <c r="S4" s="2016" t="s">
        <v>1724</v>
      </c>
      <c r="T4" s="2016" t="s">
        <v>1725</v>
      </c>
      <c r="U4" s="2016" t="s">
        <v>1724</v>
      </c>
      <c r="W4" s="2016" t="s">
        <v>1724</v>
      </c>
    </row>
    <row r="5" spans="1:23">
      <c r="A5" s="2014" t="s">
        <v>1726</v>
      </c>
      <c r="B5" s="2014" t="s">
        <v>1727</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1139</v>
      </c>
      <c r="S5" s="2016" t="s">
        <v>1731</v>
      </c>
      <c r="T5" s="2016" t="s">
        <v>1732</v>
      </c>
      <c r="U5" s="2016" t="s">
        <v>1731</v>
      </c>
      <c r="W5" s="2016" t="s">
        <v>1731</v>
      </c>
    </row>
    <row r="6" spans="1:23">
      <c r="A6" s="2014" t="s">
        <v>1733</v>
      </c>
      <c r="B6" s="2017" t="s">
        <v>1143</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1140</v>
      </c>
      <c r="S6" s="2016" t="s">
        <v>1736</v>
      </c>
      <c r="T6" s="2016"/>
      <c r="U6" s="2016" t="s">
        <v>1736</v>
      </c>
      <c r="W6" s="2016" t="s">
        <v>1736</v>
      </c>
    </row>
    <row r="7" spans="1:23">
      <c r="A7" s="2014" t="s">
        <v>1737</v>
      </c>
      <c r="B7" s="2017" t="s">
        <v>1144</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757</v>
      </c>
      <c r="C17" s="2015"/>
    </row>
    <row r="18" spans="1:3">
      <c r="A18" s="2014" t="s">
        <v>1762</v>
      </c>
      <c r="B18" s="2014" t="s">
        <v>757</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为估价委托人在向北京农商银行股份有限公司东城支行办理贷款手续过程中，确定房地产抵押贷款额度提供参考依据而评估房地产抵押价值。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尚博地投资顾问有限公司拟使用北京市朝阳区建国门外郎家园6号“郎园Vintage”项目房地产作为抵押担保物，向北京农商银行股份有限公司东城支行办理贷款手续。北京农商银行股份有限公司东城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87"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7"/>
      <c r="B54" s="2022" t="s">
        <v>861</v>
      </c>
      <c r="C54" s="2019" t="s">
        <v>1277</v>
      </c>
    </row>
    <row r="55" spans="1:4">
      <c r="A55" s="3087"/>
      <c r="B55" s="2022" t="s">
        <v>862</v>
      </c>
      <c r="C55" s="2019" t="s">
        <v>1278</v>
      </c>
    </row>
    <row r="56" spans="1:4">
      <c r="A56" s="3087"/>
      <c r="B56" s="2022" t="s">
        <v>863</v>
      </c>
      <c r="C56" s="2019" t="s">
        <v>1282</v>
      </c>
    </row>
    <row r="57" spans="1:4">
      <c r="A57" s="3087"/>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6" sqref="H26"/>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1771</v>
      </c>
      <c r="B1" s="3096" t="str">
        <f>IF(B10="北京市","北京市",C10)&amp;F10&amp;IF(结果表!G1="在建","出让国有建设用地使用权及在建建筑物",IF(结果表!G1="土地","出让国有建设用地使用权",))&amp;B9&amp;"预评估"</f>
        <v>北京市朝阳区建国门外郎家园6号“郎园Vintage”项目房地产抵押价值预评估</v>
      </c>
      <c r="C1" s="3097"/>
      <c r="D1" s="3097"/>
      <c r="E1" s="3097"/>
      <c r="F1" s="3097"/>
      <c r="G1" s="3097"/>
      <c r="H1" s="3097"/>
      <c r="I1" s="3098"/>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北京市朝阳区建国门外郎家园6号“郎园Vintage”项目房地产抵押价值</v>
      </c>
    </row>
    <row r="2" spans="1:19" ht="18" customHeight="1">
      <c r="A2" s="2026" t="s">
        <v>1772</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北京市朝阳区建国门外郎家园6号“郎园Vintage”项目房地产</v>
      </c>
    </row>
    <row r="3" spans="1:19" ht="18" customHeight="1">
      <c r="A3" s="2035" t="s">
        <v>1773</v>
      </c>
      <c r="B3" s="2036">
        <v>43592</v>
      </c>
      <c r="C3" s="2037" t="s">
        <v>1774</v>
      </c>
      <c r="D3" s="2036">
        <f>B3</f>
        <v>43592</v>
      </c>
      <c r="E3" s="2026"/>
      <c r="F3" s="2026"/>
      <c r="G3" s="2026"/>
      <c r="H3" s="2026"/>
      <c r="I3" s="2026"/>
      <c r="J3" s="2026"/>
      <c r="K3" s="2027"/>
      <c r="L3" s="2028"/>
      <c r="M3" s="2028"/>
      <c r="N3" s="2029"/>
      <c r="O3" s="2030"/>
      <c r="P3" s="2029"/>
      <c r="Q3" s="2029"/>
      <c r="R3" s="2029"/>
      <c r="S3" s="2031"/>
    </row>
    <row r="4" spans="1:19" ht="18" customHeight="1" thickBot="1">
      <c r="A4" s="2038" t="s">
        <v>1775</v>
      </c>
      <c r="B4" s="2039" t="s">
        <v>3052</v>
      </c>
      <c r="C4" s="1037">
        <f ca="1">SUMIF(注册房地产估价师,B4,估价师及机构信息!B3:B24)</f>
        <v>1120070131</v>
      </c>
      <c r="D4" s="2039" t="s">
        <v>3053</v>
      </c>
      <c r="E4" s="1038">
        <f ca="1">SUMIF(注册房地产估价师,D4,估价师及机构信息!B3:B24)</f>
        <v>1120050019</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郑燚（注册号：1120070131)、王鹏（注册号：1120050019)</v>
      </c>
      <c r="L4" s="2028"/>
      <c r="M4" s="2028"/>
      <c r="N4" s="2029"/>
      <c r="O4" s="2030"/>
      <c r="P4" s="2029"/>
      <c r="Q4" s="2029"/>
      <c r="R4" s="2029"/>
      <c r="S4" s="2031"/>
    </row>
    <row r="5" spans="1:19" ht="18" customHeight="1" thickTop="1">
      <c r="A5" s="2044" t="s">
        <v>1776</v>
      </c>
      <c r="B5" s="2045" t="str">
        <f>B6</f>
        <v>北京农商银行股份有限公司东城支行</v>
      </c>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1777</v>
      </c>
      <c r="B6" s="2973" t="s">
        <v>3166</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1778</v>
      </c>
      <c r="B7" s="2052" t="str">
        <f>C11</f>
        <v>北京尚博地投资顾问有限公司</v>
      </c>
      <c r="C7" s="2049"/>
      <c r="D7" s="2050"/>
      <c r="E7" s="2034"/>
      <c r="F7" s="2042"/>
      <c r="G7" s="2042"/>
      <c r="H7" s="2042"/>
      <c r="I7" s="2042"/>
      <c r="J7" s="2042"/>
      <c r="K7" s="2053"/>
      <c r="L7" s="2028"/>
      <c r="M7" s="2028"/>
      <c r="N7" s="2029"/>
      <c r="O7" s="2030"/>
      <c r="P7" s="2029"/>
      <c r="Q7" s="2029"/>
      <c r="R7" s="2029"/>
    </row>
    <row r="8" spans="1:19" ht="18" customHeight="1">
      <c r="A8" s="2048" t="s">
        <v>1779</v>
      </c>
      <c r="B8" s="2054" t="s">
        <v>3167</v>
      </c>
      <c r="C8" s="2055"/>
      <c r="D8" s="3099" t="s">
        <v>1780</v>
      </c>
      <c r="E8" s="2056" t="s">
        <v>3168</v>
      </c>
      <c r="F8" s="2057"/>
      <c r="G8" s="2026"/>
      <c r="H8" s="2026"/>
      <c r="I8" s="2026"/>
      <c r="J8" s="2042"/>
      <c r="K8" s="2043"/>
      <c r="L8" s="2028"/>
      <c r="M8" s="2028"/>
      <c r="N8" s="2029"/>
      <c r="O8" s="2030"/>
      <c r="P8" s="2029"/>
      <c r="Q8" s="2029"/>
      <c r="R8" s="2029"/>
    </row>
    <row r="9" spans="1:19" ht="18" customHeight="1" thickBot="1">
      <c r="A9" s="2040" t="s">
        <v>1781</v>
      </c>
      <c r="B9" s="2058" t="s">
        <v>3168</v>
      </c>
      <c r="C9" s="2059"/>
      <c r="D9" s="3100"/>
      <c r="E9" s="2058" t="s">
        <v>70</v>
      </c>
      <c r="F9" s="2060"/>
      <c r="G9" s="2061"/>
      <c r="H9" s="2061"/>
      <c r="I9" s="2061"/>
      <c r="J9" s="2042"/>
      <c r="K9" s="2053"/>
      <c r="L9" s="2028"/>
      <c r="M9" s="2028"/>
      <c r="N9" s="2029"/>
      <c r="O9" s="2030"/>
      <c r="P9" s="2029"/>
      <c r="Q9" s="2029"/>
      <c r="R9" s="2029"/>
    </row>
    <row r="10" spans="1:19" ht="18" customHeight="1" thickTop="1">
      <c r="A10" s="2062" t="s">
        <v>1782</v>
      </c>
      <c r="B10" s="2063" t="s">
        <v>3165</v>
      </c>
      <c r="C10" s="2064"/>
      <c r="D10" s="2047"/>
      <c r="E10" s="2065" t="s">
        <v>1783</v>
      </c>
      <c r="F10" s="2066" t="s">
        <v>3192</v>
      </c>
      <c r="G10" s="2067"/>
      <c r="H10" s="2068"/>
      <c r="I10" s="2047"/>
      <c r="J10" s="2042"/>
      <c r="K10" s="2053"/>
      <c r="L10" s="2028"/>
      <c r="M10" s="2028"/>
      <c r="N10" s="2029"/>
      <c r="O10" s="2030"/>
      <c r="P10" s="2029"/>
      <c r="Q10" s="2029"/>
      <c r="R10" s="2029"/>
    </row>
    <row r="11" spans="1:19" ht="18" customHeight="1">
      <c r="A11" s="2069" t="s">
        <v>1784</v>
      </c>
      <c r="B11" s="2070" t="s">
        <v>3164</v>
      </c>
      <c r="C11" s="2071" t="str">
        <f>东!C3</f>
        <v>北京尚博地投资顾问有限公司</v>
      </c>
      <c r="D11" s="2072"/>
      <c r="E11" s="2042"/>
      <c r="F11" s="2042"/>
      <c r="G11" s="2042"/>
      <c r="H11" s="2042"/>
      <c r="I11" s="2042"/>
      <c r="J11" s="2042"/>
      <c r="K11" s="2053"/>
      <c r="L11" s="2028"/>
      <c r="M11" s="2028"/>
      <c r="N11" s="2029"/>
      <c r="O11" s="2030"/>
      <c r="P11" s="2029"/>
      <c r="Q11" s="2029"/>
      <c r="R11" s="2029"/>
    </row>
    <row r="12" spans="1:19" ht="18" customHeight="1">
      <c r="A12" s="2073" t="s">
        <v>1785</v>
      </c>
      <c r="B12" s="2070" t="s">
        <v>3163</v>
      </c>
      <c r="C12" s="2074" t="s">
        <v>1786</v>
      </c>
      <c r="D12" s="2075" t="s">
        <v>1787</v>
      </c>
      <c r="E12" s="2075" t="s">
        <v>1788</v>
      </c>
      <c r="F12" s="2075" t="s">
        <v>1789</v>
      </c>
      <c r="G12" s="2075" t="s">
        <v>1790</v>
      </c>
      <c r="H12" s="2075" t="s">
        <v>1791</v>
      </c>
      <c r="I12" s="2075" t="s">
        <v>1792</v>
      </c>
      <c r="J12" s="2042"/>
      <c r="K12" s="2053"/>
      <c r="L12" s="2028"/>
      <c r="M12" s="2028"/>
      <c r="N12" s="2029"/>
      <c r="O12" s="2030"/>
      <c r="P12" s="2029"/>
      <c r="Q12" s="2029"/>
      <c r="R12" s="2029"/>
    </row>
    <row r="13" spans="1:19" ht="18" customHeight="1">
      <c r="A13" s="2076"/>
      <c r="B13" s="2077"/>
      <c r="C13" s="2078" t="s">
        <v>1793</v>
      </c>
      <c r="D13" s="2079"/>
      <c r="E13" s="2079">
        <v>45716</v>
      </c>
      <c r="F13" s="2079"/>
      <c r="G13" s="2079"/>
      <c r="H13" s="2079"/>
      <c r="I13" s="1047">
        <f>东!I3</f>
        <v>53775</v>
      </c>
      <c r="J13" s="2042"/>
      <c r="K13" s="2053"/>
      <c r="L13" s="2028"/>
      <c r="M13" s="2028"/>
      <c r="N13" s="2029"/>
      <c r="O13" s="2030"/>
      <c r="P13" s="2029"/>
      <c r="Q13" s="2029"/>
      <c r="R13" s="2029"/>
    </row>
    <row r="14" spans="1:19" ht="18" customHeight="1">
      <c r="A14" s="2076"/>
      <c r="B14" s="2077"/>
      <c r="C14" s="2078" t="s">
        <v>1794</v>
      </c>
      <c r="D14" s="1050"/>
      <c r="E14" s="1050"/>
      <c r="F14" s="1050"/>
      <c r="G14" s="1050"/>
      <c r="H14" s="1050"/>
      <c r="I14" s="1050">
        <v>50</v>
      </c>
      <c r="J14" s="2042"/>
      <c r="K14" s="2080"/>
      <c r="L14" s="2028"/>
      <c r="M14" s="2028"/>
      <c r="N14" s="2029"/>
      <c r="O14" s="2030"/>
      <c r="P14" s="2029"/>
      <c r="Q14" s="2029"/>
      <c r="R14" s="2029"/>
    </row>
    <row r="15" spans="1:19" ht="18" customHeight="1">
      <c r="A15" s="2062"/>
      <c r="B15" s="2081"/>
      <c r="C15" s="2078" t="s">
        <v>1795</v>
      </c>
      <c r="D15" s="1049" t="str">
        <f>IF(B12="出让",IF(D13="","",ROUNDDOWN(MIN((D13-$D$3)/365,D14),2)),D14)</f>
        <v/>
      </c>
      <c r="E15" s="1049">
        <f>IF(B12="出让",IF(E13="","",ROUNDDOWN(MIN((E13-$D$3)/365,E14),2)),E14)</f>
        <v>5.81</v>
      </c>
      <c r="F15" s="1049" t="str">
        <f>IF(B12="出让",IF(F13="","",ROUNDDOWN(MIN((F13-$D$3)/365,F14),2)),F14)</f>
        <v/>
      </c>
      <c r="G15" s="1049" t="str">
        <f>IF(B12="出让",IF(G13="","",ROUNDDOWN(MIN((G13-$D$3)/365,G14),2)),G14)</f>
        <v/>
      </c>
      <c r="H15" s="1049" t="str">
        <f>IF(B12="出让",IF(H13="","",ROUNDDOWN(MIN((H13-$D$3)/365,H14),2)),H14)</f>
        <v/>
      </c>
      <c r="I15" s="1049">
        <f>IF(B12="出让",IF(I13="","",ROUNDDOWN(MIN((I13-$D$3)/365,I14),2)),I14)</f>
        <v>27.89</v>
      </c>
      <c r="J15" s="2042"/>
      <c r="K15" s="2082"/>
      <c r="L15" s="2083"/>
      <c r="M15" s="2083"/>
      <c r="N15" s="2084"/>
      <c r="O15" s="2083"/>
      <c r="P15" s="2084"/>
      <c r="Q15" s="2029"/>
      <c r="R15" s="2029"/>
    </row>
    <row r="16" spans="1:19" ht="30.75" customHeight="1">
      <c r="A16" s="2065" t="s">
        <v>1796</v>
      </c>
      <c r="B16" s="3106"/>
      <c r="C16" s="3107"/>
      <c r="D16" s="3108"/>
      <c r="E16" s="2085" t="s">
        <v>1797</v>
      </c>
      <c r="F16" s="3109"/>
      <c r="G16" s="3110"/>
      <c r="H16" s="3110"/>
      <c r="I16" s="3111"/>
      <c r="J16" s="2029"/>
      <c r="K16" s="2082"/>
      <c r="L16" s="2083"/>
      <c r="M16" s="2083"/>
      <c r="N16" s="2084"/>
      <c r="O16" s="2083"/>
      <c r="P16" s="2084"/>
      <c r="Q16" s="2029"/>
      <c r="R16" s="2029"/>
    </row>
    <row r="17" spans="1:22" ht="18" customHeight="1">
      <c r="A17" s="2086" t="s">
        <v>1798</v>
      </c>
      <c r="B17" s="2035" t="s">
        <v>1799</v>
      </c>
      <c r="C17" s="1054">
        <f>'数据-汇总表'!E3</f>
        <v>27202.3</v>
      </c>
      <c r="D17" s="2087" t="s">
        <v>1800</v>
      </c>
      <c r="E17" s="3112" t="s">
        <v>1801</v>
      </c>
      <c r="F17" s="3113"/>
      <c r="G17" s="3113"/>
      <c r="H17" s="3113"/>
      <c r="I17" s="3114"/>
      <c r="J17" s="2029"/>
      <c r="K17" s="2088"/>
      <c r="L17" s="2083"/>
      <c r="M17" s="2083"/>
      <c r="N17" s="2084"/>
      <c r="O17" s="2083"/>
      <c r="P17" s="2084"/>
      <c r="Q17" s="2029"/>
      <c r="R17" s="2029"/>
      <c r="S17" s="2029"/>
      <c r="T17" s="2029"/>
      <c r="U17" s="2029"/>
      <c r="V17" s="2029"/>
    </row>
    <row r="18" spans="1:22" ht="36" customHeight="1" thickBot="1">
      <c r="A18" s="2089" t="s">
        <v>70</v>
      </c>
      <c r="B18" s="2038" t="s">
        <v>1802</v>
      </c>
      <c r="C18" s="1444">
        <f>'数据-汇总表'!D3</f>
        <v>18455.759999999998</v>
      </c>
      <c r="D18" s="2090" t="s">
        <v>1800</v>
      </c>
      <c r="E18" s="3115" t="s">
        <v>1803</v>
      </c>
      <c r="F18" s="3116"/>
      <c r="G18" s="3116"/>
      <c r="H18" s="3116"/>
      <c r="I18" s="3117"/>
      <c r="J18" s="2029"/>
      <c r="K18" s="2088"/>
      <c r="L18" s="2083"/>
      <c r="M18" s="2083"/>
      <c r="N18" s="2084"/>
      <c r="O18" s="2083"/>
      <c r="P18" s="2084"/>
      <c r="Q18" s="2029"/>
      <c r="R18" s="2029"/>
      <c r="S18" s="2029"/>
      <c r="T18" s="2029"/>
      <c r="U18" s="2029"/>
      <c r="V18" s="2029"/>
    </row>
    <row r="19" spans="1:22" ht="37.5" customHeight="1" thickTop="1" thickBot="1">
      <c r="A19" s="373" t="s">
        <v>1804</v>
      </c>
      <c r="B19" s="352" t="s">
        <v>1805</v>
      </c>
      <c r="C19" s="2091"/>
      <c r="D19" s="2092" t="s">
        <v>1806</v>
      </c>
      <c r="E19" s="2093"/>
      <c r="F19" s="2094" t="str">
        <f>IF(AND(C19="是",E19="否"),"是否提供他项权证或相关说明","")</f>
        <v/>
      </c>
      <c r="G19" s="2095"/>
      <c r="H19" s="2042"/>
      <c r="I19" s="2042"/>
      <c r="J19" s="2042"/>
      <c r="K19" s="2053"/>
      <c r="L19" s="2028"/>
      <c r="M19" s="2028"/>
      <c r="N19" s="2084"/>
      <c r="O19" s="2083"/>
      <c r="P19" s="2084"/>
      <c r="Q19" s="2029"/>
      <c r="R19" s="2029"/>
      <c r="S19" s="2029"/>
      <c r="T19" s="2029"/>
      <c r="U19" s="2029"/>
      <c r="V19" s="2029"/>
    </row>
    <row r="20" spans="1:22" ht="18" customHeight="1">
      <c r="A20" s="2096" t="s">
        <v>1807</v>
      </c>
      <c r="B20" s="3102" t="s">
        <v>1808</v>
      </c>
      <c r="C20" s="3103"/>
      <c r="D20" s="3104" t="s">
        <v>1809</v>
      </c>
      <c r="E20" s="3105"/>
      <c r="F20" s="2097" t="s">
        <v>1810</v>
      </c>
      <c r="G20" s="2042"/>
      <c r="H20" s="2042"/>
      <c r="I20" s="2042"/>
      <c r="J20" s="2042"/>
      <c r="K20" s="3101"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4"/>
      <c r="O20" s="2083"/>
      <c r="P20" s="2084"/>
      <c r="Q20" s="2029"/>
      <c r="R20" s="2029"/>
      <c r="S20" s="2029"/>
      <c r="T20" s="2029"/>
      <c r="U20" s="2029"/>
      <c r="V20" s="2029"/>
    </row>
    <row r="21" spans="1:22" ht="24.75" customHeight="1">
      <c r="A21" s="2096"/>
      <c r="B21" s="2098" t="s">
        <v>1812</v>
      </c>
      <c r="C21" s="2099" t="s">
        <v>1813</v>
      </c>
      <c r="D21" s="2100" t="s">
        <v>1814</v>
      </c>
      <c r="E21" s="2101" t="s">
        <v>1813</v>
      </c>
      <c r="F21" s="2102"/>
      <c r="G21" s="2042"/>
      <c r="H21" s="2042"/>
      <c r="I21" s="2042"/>
      <c r="J21" s="2042"/>
      <c r="K21" s="310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4"/>
      <c r="O21" s="2083"/>
      <c r="P21" s="2084"/>
      <c r="Q21" s="2029"/>
      <c r="R21" s="2029"/>
      <c r="S21" s="2029"/>
      <c r="T21" s="2029"/>
      <c r="U21" s="2029"/>
      <c r="V21" s="2029"/>
    </row>
    <row r="22" spans="1:22" ht="24.75" customHeight="1" thickBot="1">
      <c r="A22" s="2096"/>
      <c r="B22" s="2103" t="s">
        <v>1815</v>
      </c>
      <c r="C22" s="2099" t="s">
        <v>1816</v>
      </c>
      <c r="D22" s="2026"/>
      <c r="E22" s="2026"/>
      <c r="F22" s="2104"/>
      <c r="G22" s="2042"/>
      <c r="H22" s="2042"/>
      <c r="I22" s="2042"/>
      <c r="J22" s="2042"/>
      <c r="K22" s="310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1817</v>
      </c>
      <c r="B23" s="183" t="s">
        <v>1818</v>
      </c>
      <c r="C23" s="2106"/>
      <c r="D23" s="2107" t="s">
        <v>1818</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1819</v>
      </c>
      <c r="C24" s="2111"/>
      <c r="D24" s="2105" t="s">
        <v>1819</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1820</v>
      </c>
      <c r="C25" s="2111"/>
      <c r="D25" s="2105" t="s">
        <v>1820</v>
      </c>
      <c r="E25" s="2112"/>
      <c r="F25" s="2104"/>
      <c r="G25" s="2042"/>
      <c r="H25" s="2042"/>
      <c r="I25" s="2042"/>
      <c r="J25" s="2042"/>
      <c r="K25" s="2053"/>
      <c r="L25" s="2028"/>
      <c r="M25" s="2028"/>
      <c r="N25" s="2084"/>
      <c r="O25" s="2083"/>
      <c r="P25" s="2084"/>
      <c r="Q25" s="2029"/>
      <c r="R25" s="2029"/>
      <c r="S25" s="2029"/>
      <c r="T25" s="2029"/>
      <c r="U25" s="2029"/>
      <c r="V25" s="2029"/>
    </row>
    <row r="26" spans="1:22" ht="18" customHeight="1" thickBot="1">
      <c r="A26" s="2113"/>
      <c r="B26" s="2114" t="s">
        <v>1821</v>
      </c>
      <c r="C26" s="2115"/>
      <c r="D26" s="2116" t="s">
        <v>1822</v>
      </c>
      <c r="E26" s="2117"/>
      <c r="F26" s="2118"/>
      <c r="G26" s="2061"/>
      <c r="H26" s="2061"/>
      <c r="I26" s="2061"/>
      <c r="J26" s="2042"/>
      <c r="K26" s="2053"/>
      <c r="L26" s="2028"/>
      <c r="M26" s="2028"/>
      <c r="N26" s="2084"/>
      <c r="O26" s="2083"/>
      <c r="P26" s="2084"/>
      <c r="Q26" s="2029"/>
      <c r="R26" s="2029"/>
      <c r="S26" s="2029"/>
      <c r="T26" s="2029"/>
      <c r="U26" s="2029"/>
      <c r="V26" s="2029"/>
    </row>
    <row r="27" spans="1:22" ht="18" customHeight="1" thickTop="1">
      <c r="A27" s="3089" t="s">
        <v>1823</v>
      </c>
      <c r="B27" s="2062" t="s">
        <v>1824</v>
      </c>
      <c r="C27" s="2119" t="s">
        <v>3062</v>
      </c>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89"/>
      <c r="B28" s="2035" t="s">
        <v>1825</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89"/>
      <c r="B29" s="2035" t="s">
        <v>1826</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90"/>
      <c r="B30" s="2035" t="s">
        <v>1827</v>
      </c>
      <c r="C30" s="3091"/>
      <c r="D30" s="3092"/>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93" t="s">
        <v>1828</v>
      </c>
      <c r="B31" s="2126" t="s">
        <v>3061</v>
      </c>
      <c r="C31" s="2127" t="str">
        <f>IF(B31="现房","成新及维护状况正常否",IF(B31="在建","工程状态是否正常",IF(B31="土地","是否闲置","-")))</f>
        <v>成新及维护状况正常否</v>
      </c>
      <c r="D31" s="2128"/>
      <c r="E31" s="2129"/>
      <c r="F31" s="2042"/>
      <c r="G31" s="2042"/>
      <c r="H31" s="2042"/>
      <c r="I31" s="2042"/>
      <c r="J31" s="2042"/>
      <c r="K31" s="2051"/>
      <c r="L31" s="2028"/>
      <c r="M31" s="2028"/>
      <c r="N31" s="2029"/>
      <c r="O31" s="2030"/>
      <c r="P31" s="2029"/>
      <c r="Q31" s="2029"/>
      <c r="R31" s="2029"/>
      <c r="S31" s="2029"/>
      <c r="T31" s="2029"/>
      <c r="U31" s="2029"/>
      <c r="V31" s="2029"/>
    </row>
    <row r="32" spans="1:22" ht="18" customHeight="1">
      <c r="A32" s="3094"/>
      <c r="B32" s="2126"/>
      <c r="C32" s="2127" t="str">
        <f>IF(B32="现房","成新及维护状况是否正常",IF(B32="在建","工程状态是否正常",IF(B32="土地","是否闲置","-")))</f>
        <v>-</v>
      </c>
      <c r="D32" s="2128"/>
      <c r="E32" s="2129"/>
      <c r="F32" s="2042"/>
      <c r="G32" s="2042"/>
      <c r="H32" s="2042"/>
      <c r="I32" s="2042"/>
      <c r="J32" s="2042"/>
      <c r="K32" s="2053"/>
      <c r="L32" s="2028"/>
      <c r="M32" s="2028"/>
      <c r="N32" s="2029"/>
      <c r="O32" s="2030"/>
      <c r="P32" s="2029"/>
      <c r="Q32" s="2029"/>
      <c r="R32" s="2029"/>
      <c r="S32" s="2029"/>
      <c r="T32" s="2029"/>
      <c r="U32" s="2029"/>
      <c r="V32" s="2029"/>
    </row>
    <row r="33" spans="1:22" ht="18" customHeight="1">
      <c r="A33" s="3094"/>
      <c r="B33" s="2130"/>
      <c r="C33" s="2069" t="str">
        <f>IF(B33="现房","成新及维护状况是否正常",IF(B33="在建","工程状态是否正常",IF(B33="土地","是否闲置","-")))</f>
        <v>-</v>
      </c>
      <c r="D33" s="2131"/>
      <c r="E33" s="2132"/>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1829</v>
      </c>
      <c r="B34" s="2133" t="s">
        <v>3054</v>
      </c>
      <c r="C34" s="2133" t="s">
        <v>3055</v>
      </c>
      <c r="D34" s="2133" t="s">
        <v>3056</v>
      </c>
      <c r="E34" s="2133" t="s">
        <v>3057</v>
      </c>
      <c r="F34" s="2133" t="s">
        <v>3058</v>
      </c>
      <c r="G34" s="2133" t="s">
        <v>3059</v>
      </c>
      <c r="H34" s="2133" t="s">
        <v>3060</v>
      </c>
      <c r="I34" s="2042"/>
      <c r="J34" s="2042"/>
      <c r="K34" s="1795">
        <f>COUNTIF(B34:H34,"——")</f>
        <v>0</v>
      </c>
      <c r="L34" s="2074" t="s">
        <v>1830</v>
      </c>
      <c r="M34" s="2074" t="s">
        <v>1831</v>
      </c>
      <c r="N34" s="2074" t="s">
        <v>1832</v>
      </c>
      <c r="O34" s="2074" t="s">
        <v>1833</v>
      </c>
      <c r="P34" s="2074" t="s">
        <v>1834</v>
      </c>
      <c r="Q34" s="2074" t="s">
        <v>1835</v>
      </c>
      <c r="R34" s="2074" t="s">
        <v>1836</v>
      </c>
      <c r="S34" s="3088" t="s">
        <v>1837</v>
      </c>
      <c r="T34" s="2134" t="str">
        <f>NUMBERSTRING(7-K34,1)&amp;"通"</f>
        <v>七通</v>
      </c>
      <c r="U34" s="2029"/>
      <c r="V34" s="2029"/>
    </row>
    <row r="35" spans="1:22" ht="18" customHeight="1">
      <c r="A35" s="2135"/>
      <c r="B35" s="3095" t="s">
        <v>1838</v>
      </c>
      <c r="C35" s="3095"/>
      <c r="D35" s="3095"/>
      <c r="E35" s="3095"/>
      <c r="F35" s="2136">
        <f>C10</f>
        <v>0</v>
      </c>
      <c r="G35" s="2042"/>
      <c r="H35" s="2042"/>
      <c r="I35" s="2042"/>
      <c r="J35" s="2042"/>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88"/>
      <c r="T35" s="48" t="str">
        <f>IF(T34="一通",L35,IF(T34="二通",M35,IF(T34="三通",N35,IF(T34="四通",O35,IF(T34="五通",P35,IF(T34="六通",Q35,R35))))))</f>
        <v>通路、通电、通讯、通上水、通下水、燃气、通热</v>
      </c>
      <c r="U35" s="2029"/>
      <c r="V35" s="2029"/>
    </row>
    <row r="36" spans="1:22" ht="18" customHeight="1">
      <c r="A36" s="2137"/>
      <c r="B36" s="2136" t="s">
        <v>1839</v>
      </c>
      <c r="C36" s="2136" t="s">
        <v>1840</v>
      </c>
      <c r="D36" s="2136" t="s">
        <v>1841</v>
      </c>
      <c r="E36" s="2136" t="s">
        <v>1842</v>
      </c>
      <c r="F36" s="2138"/>
      <c r="G36" s="2042"/>
      <c r="H36" s="2042"/>
      <c r="I36" s="2042"/>
      <c r="J36" s="2042"/>
      <c r="K36" s="2053"/>
      <c r="L36" s="2028"/>
      <c r="M36" s="2028"/>
      <c r="N36" s="2029"/>
      <c r="O36" s="2030"/>
      <c r="P36" s="2029"/>
      <c r="Q36" s="2029"/>
      <c r="R36" s="2029"/>
      <c r="S36" s="2029"/>
      <c r="T36" s="2029"/>
      <c r="U36" s="2029"/>
      <c r="V36" s="2029"/>
    </row>
    <row r="37" spans="1:22" ht="18" customHeight="1">
      <c r="A37" s="2139" t="s">
        <v>1843</v>
      </c>
      <c r="B37" s="2140" t="s">
        <v>269</v>
      </c>
      <c r="C37" s="2140" t="s">
        <v>269</v>
      </c>
      <c r="D37" s="2140"/>
      <c r="E37" s="2140" t="s">
        <v>442</v>
      </c>
      <c r="F37" s="2138"/>
      <c r="G37" s="2042"/>
      <c r="H37" s="2042"/>
      <c r="I37" s="2042"/>
      <c r="J37" s="2042"/>
      <c r="K37" s="2053"/>
      <c r="L37" s="2028"/>
      <c r="M37" s="2028"/>
      <c r="N37" s="2029"/>
      <c r="O37" s="2030"/>
      <c r="P37" s="2029"/>
      <c r="Q37" s="2029"/>
      <c r="R37" s="2029"/>
      <c r="S37" s="2029"/>
      <c r="T37" s="2029"/>
      <c r="U37" s="2029"/>
      <c r="V37" s="2029"/>
    </row>
    <row r="38" spans="1:22" ht="18" customHeight="1" thickBot="1">
      <c r="A38" s="2141" t="s">
        <v>1844</v>
      </c>
      <c r="B38" s="2142" t="s">
        <v>291</v>
      </c>
      <c r="C38" s="2142" t="s">
        <v>322</v>
      </c>
      <c r="D38" s="2142"/>
      <c r="E38" s="2142" t="s">
        <v>260</v>
      </c>
      <c r="F38" s="2143"/>
      <c r="G38" s="2061"/>
      <c r="H38" s="2061"/>
      <c r="I38" s="2061"/>
      <c r="J38" s="2042"/>
      <c r="K38" s="2053"/>
      <c r="L38" s="2028"/>
      <c r="M38" s="2028"/>
      <c r="N38" s="2029"/>
      <c r="O38" s="2030"/>
      <c r="P38" s="2029"/>
      <c r="Q38" s="2029"/>
      <c r="R38" s="2029"/>
      <c r="S38" s="2029"/>
      <c r="T38" s="2029"/>
      <c r="U38" s="2029"/>
      <c r="V38" s="2029"/>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1846</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9"/>
      <c r="T42" s="2029"/>
      <c r="U42" s="2029"/>
      <c r="V42" s="2029"/>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9"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4" sqref="A20:L2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1866</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东!E3</f>
        <v>18455.759999999998</v>
      </c>
      <c r="B3" s="14">
        <f>IF(C3="否",G5-AT5,G5)</f>
        <v>27202.3</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27202.3</v>
      </c>
      <c r="H5" s="16">
        <f t="shared" ref="H5:AT5" si="0">SUM(H13:H656)</f>
        <v>27202.3</v>
      </c>
      <c r="I5" s="16">
        <f t="shared" si="0"/>
        <v>27202.3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27202.3</v>
      </c>
      <c r="BA5" s="18">
        <f t="shared" si="1"/>
        <v>27202.3</v>
      </c>
      <c r="BB5" s="18">
        <f t="shared" si="1"/>
        <v>27202.3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18455.759999999998</v>
      </c>
      <c r="F6" s="16" t="s">
        <v>1</v>
      </c>
      <c r="G6" s="16" t="s">
        <v>2</v>
      </c>
      <c r="H6" s="20">
        <f>SUMIF(I$12:AB$12,"总值",I6:AB6)</f>
        <v>18455.759999999998</v>
      </c>
      <c r="I6" s="16">
        <f t="shared" ref="I6:AB6" si="2">ROUND($A$3*I5/$B$3,2)</f>
        <v>18455.759999999998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18455.759999999998</v>
      </c>
      <c r="AZ6" s="16" t="s">
        <v>3</v>
      </c>
      <c r="BA6" s="16">
        <f>ROUND($AY$6*BA5/$AZ$5,2)</f>
        <v>18455.759999999998</v>
      </c>
      <c r="BB6" s="16">
        <f>ROUND($AY$6*BB5/$AZ$5,2)</f>
        <v>18455.759999999998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3162</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3049</v>
      </c>
      <c r="E13" s="16">
        <f>IF($C$3="是",ROUND($A$3*G13/$B$3,2),ROUND($A$3*(G13-AT13)/$B$3,2))</f>
        <v>18455.759999999998</v>
      </c>
      <c r="F13" s="32"/>
      <c r="G13" s="33">
        <f>H13+AC13+AT13</f>
        <v>27202.3</v>
      </c>
      <c r="H13" s="20">
        <f>SUMIF(I$12:AB$12,"总值",I13:AB13)</f>
        <v>27202.3</v>
      </c>
      <c r="I13" s="2214">
        <f>东!L24</f>
        <v>27202.3</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18455.759999999998</v>
      </c>
      <c r="AZ13" s="16">
        <f>BA13+BL13</f>
        <v>27202.3</v>
      </c>
      <c r="BA13" s="16">
        <f>SUM(BB13:BK13)</f>
        <v>27202.3</v>
      </c>
      <c r="BB13" s="16">
        <f>IF($D13="是",I13-J13,0)</f>
        <v>27202.3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8" t="s">
        <v>0</v>
      </c>
      <c r="B1" s="3118" t="s">
        <v>4</v>
      </c>
      <c r="C1" s="3118" t="s">
        <v>5</v>
      </c>
      <c r="D1" s="3119" t="s">
        <v>53</v>
      </c>
      <c r="E1" s="3119" t="s">
        <v>54</v>
      </c>
      <c r="F1" s="3119"/>
      <c r="G1" s="3119"/>
      <c r="H1" s="3119"/>
      <c r="I1" s="3119"/>
      <c r="J1" s="3119"/>
      <c r="K1" s="3119"/>
      <c r="L1" s="3119"/>
      <c r="M1" s="3119"/>
    </row>
    <row r="2" spans="1:13" ht="27" customHeight="1">
      <c r="A2" s="3118"/>
      <c r="B2" s="3118"/>
      <c r="C2" s="3118"/>
      <c r="D2" s="3119"/>
      <c r="E2" s="3119" t="s">
        <v>37</v>
      </c>
      <c r="F2" s="3119" t="s">
        <v>38</v>
      </c>
      <c r="G2" s="3119"/>
      <c r="H2" s="3119"/>
      <c r="I2" s="3119"/>
      <c r="J2" s="3119" t="s">
        <v>39</v>
      </c>
      <c r="K2" s="3119"/>
      <c r="L2" s="3119"/>
      <c r="M2" s="3119"/>
    </row>
    <row r="3" spans="1:13" ht="28.5">
      <c r="A3" s="3118"/>
      <c r="B3" s="3118"/>
      <c r="C3" s="3118"/>
      <c r="D3" s="3119"/>
      <c r="E3" s="311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9" t="s">
        <v>55</v>
      </c>
      <c r="B9" s="3119"/>
      <c r="C9" s="311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4"/>
  <sheetViews>
    <sheetView workbookViewId="0">
      <selection activeCell="F30" sqref="F30"/>
    </sheetView>
  </sheetViews>
  <sheetFormatPr defaultRowHeight="17.25"/>
  <cols>
    <col min="1" max="1" width="1.375" style="2954" customWidth="1"/>
    <col min="2" max="4" width="13.125" style="2953" customWidth="1"/>
    <col min="5" max="7" width="11.875" style="2953" customWidth="1"/>
    <col min="8" max="8" width="13" style="2953" customWidth="1"/>
    <col min="9" max="12" width="11.875" style="2953" customWidth="1"/>
    <col min="13" max="16384" width="9" style="2954"/>
  </cols>
  <sheetData>
    <row r="1" spans="2:15" ht="9" customHeight="1" thickBot="1"/>
    <row r="2" spans="2:15" ht="36" customHeight="1">
      <c r="B2" s="2955" t="s">
        <v>3063</v>
      </c>
      <c r="C2" s="2956" t="s">
        <v>3064</v>
      </c>
      <c r="D2" s="2956" t="s">
        <v>3065</v>
      </c>
      <c r="E2" s="2956" t="s">
        <v>3066</v>
      </c>
      <c r="F2" s="2957" t="s">
        <v>3067</v>
      </c>
      <c r="G2" s="2957" t="s">
        <v>3068</v>
      </c>
      <c r="H2" s="2956" t="s">
        <v>3069</v>
      </c>
      <c r="I2" s="2958" t="s">
        <v>3070</v>
      </c>
    </row>
    <row r="3" spans="2:15" ht="69" customHeight="1" thickBot="1">
      <c r="B3" s="2959" t="s">
        <v>3071</v>
      </c>
      <c r="C3" s="2960" t="s">
        <v>3072</v>
      </c>
      <c r="D3" s="2960" t="s">
        <v>3073</v>
      </c>
      <c r="E3" s="2960">
        <v>18455.759999999998</v>
      </c>
      <c r="F3" s="2961" t="s">
        <v>3074</v>
      </c>
      <c r="G3" s="2961" t="s">
        <v>3075</v>
      </c>
      <c r="H3" s="2960" t="s">
        <v>3076</v>
      </c>
      <c r="I3" s="2962">
        <v>53775</v>
      </c>
    </row>
    <row r="4" spans="2:15" ht="36" customHeight="1" thickBot="1"/>
    <row r="5" spans="2:15" ht="36" customHeight="1">
      <c r="B5" s="3129" t="s">
        <v>3077</v>
      </c>
      <c r="C5" s="3120" t="s">
        <v>3078</v>
      </c>
      <c r="D5" s="3120" t="s">
        <v>3079</v>
      </c>
      <c r="E5" s="3120" t="s">
        <v>3080</v>
      </c>
      <c r="F5" s="3120"/>
      <c r="G5" s="3120"/>
      <c r="H5" s="3120"/>
      <c r="I5" s="3120"/>
      <c r="J5" s="3120"/>
      <c r="K5" s="3121" t="s">
        <v>3081</v>
      </c>
      <c r="L5" s="3122"/>
    </row>
    <row r="6" spans="2:15" ht="36" customHeight="1">
      <c r="B6" s="3130"/>
      <c r="C6" s="3131"/>
      <c r="D6" s="3131"/>
      <c r="E6" s="2963" t="s">
        <v>3082</v>
      </c>
      <c r="F6" s="2964" t="s">
        <v>3083</v>
      </c>
      <c r="G6" s="2964" t="s">
        <v>3084</v>
      </c>
      <c r="H6" s="2963" t="s">
        <v>3085</v>
      </c>
      <c r="I6" s="2963" t="s">
        <v>3086</v>
      </c>
      <c r="J6" s="2963" t="s">
        <v>3087</v>
      </c>
      <c r="K6" s="2963" t="s">
        <v>3088</v>
      </c>
      <c r="L6" s="2965" t="s">
        <v>3086</v>
      </c>
    </row>
    <row r="7" spans="2:15" ht="36" customHeight="1">
      <c r="B7" s="3123" t="s">
        <v>3089</v>
      </c>
      <c r="C7" s="3126" t="s">
        <v>3090</v>
      </c>
      <c r="D7" s="3126" t="s">
        <v>3091</v>
      </c>
      <c r="E7" s="2966" t="s">
        <v>3092</v>
      </c>
      <c r="F7" s="2967" t="s">
        <v>3093</v>
      </c>
      <c r="G7" s="2967" t="s">
        <v>3094</v>
      </c>
      <c r="H7" s="2966" t="s">
        <v>3095</v>
      </c>
      <c r="I7" s="2966">
        <v>986</v>
      </c>
      <c r="J7" s="2966"/>
      <c r="K7" s="2968" t="s">
        <v>3096</v>
      </c>
      <c r="L7" s="2969">
        <f>I7</f>
        <v>986</v>
      </c>
      <c r="N7" s="2970" t="s">
        <v>3097</v>
      </c>
      <c r="O7" s="2970">
        <v>2017</v>
      </c>
    </row>
    <row r="8" spans="2:15" ht="36" customHeight="1">
      <c r="B8" s="3124"/>
      <c r="C8" s="3127"/>
      <c r="D8" s="3127"/>
      <c r="E8" s="2966" t="s">
        <v>3098</v>
      </c>
      <c r="F8" s="2967" t="s">
        <v>3099</v>
      </c>
      <c r="G8" s="2967" t="s">
        <v>3100</v>
      </c>
      <c r="H8" s="2966" t="s">
        <v>3101</v>
      </c>
      <c r="I8" s="2966">
        <v>44.6</v>
      </c>
      <c r="J8" s="2966"/>
      <c r="K8" s="2968" t="s">
        <v>3102</v>
      </c>
      <c r="L8" s="2969">
        <f t="shared" ref="L8:L23" si="0">I8</f>
        <v>44.6</v>
      </c>
      <c r="N8" s="2970" t="s">
        <v>3103</v>
      </c>
      <c r="O8" s="2970">
        <v>2010</v>
      </c>
    </row>
    <row r="9" spans="2:15" ht="36" customHeight="1">
      <c r="B9" s="3124"/>
      <c r="C9" s="3127"/>
      <c r="D9" s="3127"/>
      <c r="E9" s="2966" t="s">
        <v>3104</v>
      </c>
      <c r="F9" s="2967" t="s">
        <v>3105</v>
      </c>
      <c r="G9" s="2967" t="s">
        <v>3106</v>
      </c>
      <c r="H9" s="2966" t="s">
        <v>3107</v>
      </c>
      <c r="I9" s="2966">
        <v>2335.1</v>
      </c>
      <c r="J9" s="2966" t="s">
        <v>3108</v>
      </c>
      <c r="K9" s="2968" t="s">
        <v>3109</v>
      </c>
      <c r="L9" s="2969">
        <f t="shared" si="0"/>
        <v>2335.1</v>
      </c>
      <c r="N9" s="2970" t="s">
        <v>3110</v>
      </c>
      <c r="O9" s="2970">
        <v>2010</v>
      </c>
    </row>
    <row r="10" spans="2:15" ht="36" customHeight="1">
      <c r="B10" s="3124"/>
      <c r="C10" s="3127"/>
      <c r="D10" s="3127"/>
      <c r="E10" s="2966" t="s">
        <v>3111</v>
      </c>
      <c r="F10" s="2967" t="s">
        <v>3112</v>
      </c>
      <c r="G10" s="2967" t="s">
        <v>3113</v>
      </c>
      <c r="H10" s="2966" t="s">
        <v>3107</v>
      </c>
      <c r="I10" s="2966">
        <v>2676.5</v>
      </c>
      <c r="J10" s="2966"/>
      <c r="K10" s="2968" t="s">
        <v>3114</v>
      </c>
      <c r="L10" s="2969">
        <f t="shared" si="0"/>
        <v>2676.5</v>
      </c>
      <c r="N10" s="2970" t="s">
        <v>3115</v>
      </c>
      <c r="O10" s="2970">
        <v>2011</v>
      </c>
    </row>
    <row r="11" spans="2:15" ht="36" customHeight="1">
      <c r="B11" s="3124"/>
      <c r="C11" s="3127"/>
      <c r="D11" s="3127"/>
      <c r="E11" s="2966" t="s">
        <v>3116</v>
      </c>
      <c r="F11" s="2967" t="s">
        <v>3117</v>
      </c>
      <c r="G11" s="2967" t="s">
        <v>3118</v>
      </c>
      <c r="H11" s="2966" t="s">
        <v>3119</v>
      </c>
      <c r="I11" s="2966">
        <v>2171</v>
      </c>
      <c r="J11" s="2966" t="s">
        <v>3108</v>
      </c>
      <c r="K11" s="2968" t="s">
        <v>3120</v>
      </c>
      <c r="L11" s="2969">
        <f t="shared" si="0"/>
        <v>2171</v>
      </c>
      <c r="N11" s="2970" t="s">
        <v>3110</v>
      </c>
      <c r="O11" s="2970">
        <v>2011</v>
      </c>
    </row>
    <row r="12" spans="2:15" ht="36" customHeight="1">
      <c r="B12" s="3124"/>
      <c r="C12" s="3127"/>
      <c r="D12" s="3127"/>
      <c r="E12" s="2966" t="s">
        <v>3121</v>
      </c>
      <c r="F12" s="2967" t="s">
        <v>3093</v>
      </c>
      <c r="G12" s="2967" t="s">
        <v>3094</v>
      </c>
      <c r="H12" s="2966" t="s">
        <v>3107</v>
      </c>
      <c r="I12" s="2966">
        <v>1877.4</v>
      </c>
      <c r="J12" s="2966"/>
      <c r="K12" s="2968" t="s">
        <v>3122</v>
      </c>
      <c r="L12" s="2969">
        <f t="shared" si="0"/>
        <v>1877.4</v>
      </c>
      <c r="N12" s="2970" t="s">
        <v>3123</v>
      </c>
      <c r="O12" s="2970">
        <v>2013</v>
      </c>
    </row>
    <row r="13" spans="2:15" ht="36" customHeight="1">
      <c r="B13" s="3124"/>
      <c r="C13" s="3127"/>
      <c r="D13" s="3127"/>
      <c r="E13" s="2966" t="s">
        <v>3124</v>
      </c>
      <c r="F13" s="2967" t="s">
        <v>3125</v>
      </c>
      <c r="G13" s="2967" t="s">
        <v>3126</v>
      </c>
      <c r="H13" s="2966" t="s">
        <v>3119</v>
      </c>
      <c r="I13" s="2966">
        <v>6172</v>
      </c>
      <c r="J13" s="2966"/>
      <c r="K13" s="2968" t="s">
        <v>3127</v>
      </c>
      <c r="L13" s="2969">
        <f t="shared" si="0"/>
        <v>6172</v>
      </c>
      <c r="N13" s="2970" t="s">
        <v>3128</v>
      </c>
      <c r="O13" s="2970" t="s">
        <v>3129</v>
      </c>
    </row>
    <row r="14" spans="2:15" ht="36" customHeight="1">
      <c r="B14" s="3124"/>
      <c r="C14" s="3127"/>
      <c r="D14" s="3127"/>
      <c r="E14" s="2966" t="s">
        <v>3130</v>
      </c>
      <c r="F14" s="2967" t="s">
        <v>3131</v>
      </c>
      <c r="G14" s="2967" t="s">
        <v>3132</v>
      </c>
      <c r="H14" s="2966" t="s">
        <v>3107</v>
      </c>
      <c r="I14" s="2966">
        <v>8228.7000000000007</v>
      </c>
      <c r="J14" s="2966"/>
      <c r="K14" s="2968" t="s">
        <v>3133</v>
      </c>
      <c r="L14" s="2969">
        <f t="shared" si="0"/>
        <v>8228.7000000000007</v>
      </c>
      <c r="N14" s="2970" t="s">
        <v>3128</v>
      </c>
      <c r="O14" s="2970" t="s">
        <v>3129</v>
      </c>
    </row>
    <row r="15" spans="2:15" ht="36" customHeight="1">
      <c r="B15" s="3124"/>
      <c r="C15" s="3127"/>
      <c r="D15" s="3127"/>
      <c r="E15" s="2966" t="s">
        <v>3134</v>
      </c>
      <c r="F15" s="2967" t="s">
        <v>3093</v>
      </c>
      <c r="G15" s="2967" t="s">
        <v>3094</v>
      </c>
      <c r="H15" s="2966" t="s">
        <v>3107</v>
      </c>
      <c r="I15" s="2966">
        <v>102.1</v>
      </c>
      <c r="J15" s="2966"/>
      <c r="K15" s="2968" t="s">
        <v>3135</v>
      </c>
      <c r="L15" s="2969"/>
      <c r="N15" s="2970" t="s">
        <v>70</v>
      </c>
      <c r="O15" s="2970" t="s">
        <v>70</v>
      </c>
    </row>
    <row r="16" spans="2:15" ht="36" customHeight="1">
      <c r="B16" s="3124"/>
      <c r="C16" s="3127"/>
      <c r="D16" s="3127"/>
      <c r="E16" s="2966" t="s">
        <v>3136</v>
      </c>
      <c r="F16" s="2967" t="s">
        <v>3093</v>
      </c>
      <c r="G16" s="2967" t="s">
        <v>3094</v>
      </c>
      <c r="H16" s="2966" t="s">
        <v>3107</v>
      </c>
      <c r="I16" s="2966">
        <v>42.5</v>
      </c>
      <c r="J16" s="2966"/>
      <c r="K16" s="2968" t="s">
        <v>3135</v>
      </c>
      <c r="L16" s="2969"/>
      <c r="N16" s="2970" t="s">
        <v>70</v>
      </c>
      <c r="O16" s="2970" t="s">
        <v>70</v>
      </c>
    </row>
    <row r="17" spans="2:15" ht="36" customHeight="1">
      <c r="B17" s="3124"/>
      <c r="C17" s="3127"/>
      <c r="D17" s="3127"/>
      <c r="E17" s="2966" t="s">
        <v>3137</v>
      </c>
      <c r="F17" s="2967" t="s">
        <v>3138</v>
      </c>
      <c r="G17" s="2967" t="s">
        <v>3139</v>
      </c>
      <c r="H17" s="2966" t="s">
        <v>3140</v>
      </c>
      <c r="I17" s="2966">
        <v>21</v>
      </c>
      <c r="J17" s="2966"/>
      <c r="K17" s="2968" t="s">
        <v>3141</v>
      </c>
      <c r="L17" s="2969"/>
      <c r="N17" s="2970" t="s">
        <v>70</v>
      </c>
      <c r="O17" s="2970" t="s">
        <v>70</v>
      </c>
    </row>
    <row r="18" spans="2:15" ht="36" customHeight="1">
      <c r="B18" s="3124"/>
      <c r="C18" s="3127"/>
      <c r="D18" s="3127"/>
      <c r="E18" s="2966" t="s">
        <v>3142</v>
      </c>
      <c r="F18" s="2967" t="s">
        <v>3099</v>
      </c>
      <c r="G18" s="2967" t="s">
        <v>3100</v>
      </c>
      <c r="H18" s="2966" t="s">
        <v>3140</v>
      </c>
      <c r="I18" s="2966">
        <v>132.30000000000001</v>
      </c>
      <c r="J18" s="2966"/>
      <c r="K18" s="2968" t="s">
        <v>3143</v>
      </c>
      <c r="L18" s="2969">
        <f t="shared" si="0"/>
        <v>132.30000000000001</v>
      </c>
      <c r="N18" s="2970" t="s">
        <v>3144</v>
      </c>
      <c r="O18" s="2970">
        <v>2011</v>
      </c>
    </row>
    <row r="19" spans="2:15" ht="36" customHeight="1">
      <c r="B19" s="3124"/>
      <c r="C19" s="3127"/>
      <c r="D19" s="3127"/>
      <c r="E19" s="2966" t="s">
        <v>3145</v>
      </c>
      <c r="F19" s="2967" t="s">
        <v>3099</v>
      </c>
      <c r="G19" s="2967" t="s">
        <v>3100</v>
      </c>
      <c r="H19" s="2966" t="s">
        <v>3140</v>
      </c>
      <c r="I19" s="2966">
        <v>33.299999999999997</v>
      </c>
      <c r="J19" s="2966"/>
      <c r="K19" s="2968" t="s">
        <v>3146</v>
      </c>
      <c r="L19" s="2969">
        <f t="shared" si="0"/>
        <v>33.299999999999997</v>
      </c>
      <c r="N19" s="2970" t="s">
        <v>3144</v>
      </c>
      <c r="O19" s="2970"/>
    </row>
    <row r="20" spans="2:15" ht="36" customHeight="1">
      <c r="B20" s="3124"/>
      <c r="C20" s="3127"/>
      <c r="D20" s="3127"/>
      <c r="E20" s="2966" t="s">
        <v>3147</v>
      </c>
      <c r="F20" s="2967" t="s">
        <v>3099</v>
      </c>
      <c r="G20" s="2967" t="s">
        <v>3100</v>
      </c>
      <c r="H20" s="2966" t="s">
        <v>3140</v>
      </c>
      <c r="I20" s="2966">
        <v>98.8</v>
      </c>
      <c r="J20" s="2966"/>
      <c r="K20" s="2968" t="s">
        <v>3148</v>
      </c>
      <c r="L20" s="2969">
        <f t="shared" si="0"/>
        <v>98.8</v>
      </c>
      <c r="N20" s="2970" t="s">
        <v>3144</v>
      </c>
      <c r="O20" s="2970">
        <v>2011</v>
      </c>
    </row>
    <row r="21" spans="2:15" ht="36" customHeight="1">
      <c r="B21" s="3124"/>
      <c r="C21" s="3127"/>
      <c r="D21" s="3127"/>
      <c r="E21" s="2966" t="s">
        <v>3149</v>
      </c>
      <c r="F21" s="2967" t="s">
        <v>3150</v>
      </c>
      <c r="G21" s="2967" t="s">
        <v>3151</v>
      </c>
      <c r="H21" s="2966" t="s">
        <v>3140</v>
      </c>
      <c r="I21" s="2966">
        <v>1269.3</v>
      </c>
      <c r="J21" s="2966"/>
      <c r="K21" s="2968" t="s">
        <v>3152</v>
      </c>
      <c r="L21" s="2969">
        <f t="shared" si="0"/>
        <v>1269.3</v>
      </c>
      <c r="N21" s="2970"/>
      <c r="O21" s="2970" t="s">
        <v>3153</v>
      </c>
    </row>
    <row r="22" spans="2:15" ht="36" customHeight="1">
      <c r="B22" s="3124"/>
      <c r="C22" s="3127"/>
      <c r="D22" s="3127"/>
      <c r="E22" s="2966" t="s">
        <v>3154</v>
      </c>
      <c r="F22" s="2967" t="s">
        <v>3155</v>
      </c>
      <c r="G22" s="2967" t="s">
        <v>3156</v>
      </c>
      <c r="H22" s="2966" t="s">
        <v>3140</v>
      </c>
      <c r="I22" s="2966">
        <v>1038.8</v>
      </c>
      <c r="J22" s="2966"/>
      <c r="K22" s="2968" t="s">
        <v>3157</v>
      </c>
      <c r="L22" s="2969">
        <f t="shared" si="0"/>
        <v>1038.8</v>
      </c>
      <c r="N22" s="2970"/>
      <c r="O22" s="2970">
        <v>2012</v>
      </c>
    </row>
    <row r="23" spans="2:15" ht="36" customHeight="1">
      <c r="B23" s="3125"/>
      <c r="C23" s="3128"/>
      <c r="D23" s="3128"/>
      <c r="E23" s="2966" t="s">
        <v>3158</v>
      </c>
      <c r="F23" s="2967" t="s">
        <v>3099</v>
      </c>
      <c r="G23" s="2967" t="s">
        <v>3100</v>
      </c>
      <c r="H23" s="2966" t="s">
        <v>3140</v>
      </c>
      <c r="I23" s="2966">
        <v>138.5</v>
      </c>
      <c r="J23" s="2966"/>
      <c r="K23" s="2968" t="s">
        <v>3159</v>
      </c>
      <c r="L23" s="2969">
        <f t="shared" si="0"/>
        <v>138.5</v>
      </c>
      <c r="N23" s="2970" t="s">
        <v>3160</v>
      </c>
      <c r="O23" s="2970">
        <v>2011</v>
      </c>
    </row>
    <row r="24" spans="2:15" ht="36" customHeight="1" thickBot="1">
      <c r="B24" s="2959"/>
      <c r="C24" s="2960"/>
      <c r="D24" s="2960"/>
      <c r="E24" s="2960" t="s">
        <v>3161</v>
      </c>
      <c r="F24" s="2961"/>
      <c r="G24" s="2961"/>
      <c r="H24" s="2960"/>
      <c r="I24" s="2960">
        <f>SUM(I7:I23)</f>
        <v>27367.899999999998</v>
      </c>
      <c r="J24" s="2960"/>
      <c r="K24" s="2971" t="s">
        <v>3161</v>
      </c>
      <c r="L24" s="2972">
        <f>SUM(L7:L23)</f>
        <v>27202.3</v>
      </c>
    </row>
  </sheetData>
  <mergeCells count="8">
    <mergeCell ref="E5:J5"/>
    <mergeCell ref="K5:L5"/>
    <mergeCell ref="B7:B23"/>
    <mergeCell ref="C7:C23"/>
    <mergeCell ref="D7:D23"/>
    <mergeCell ref="B5:B6"/>
    <mergeCell ref="C5:C6"/>
    <mergeCell ref="D5:D6"/>
  </mergeCells>
  <phoneticPr fontId="146"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5"/>
  <sheetViews>
    <sheetView topLeftCell="D1" workbookViewId="0">
      <selection activeCell="E11" sqref="E11"/>
    </sheetView>
  </sheetViews>
  <sheetFormatPr defaultRowHeight="17.25"/>
  <cols>
    <col min="1" max="1" width="1.375" style="2954" customWidth="1"/>
    <col min="2" max="4" width="13.5" style="2977" customWidth="1"/>
    <col min="5" max="7" width="12.625" style="2977" customWidth="1"/>
    <col min="8" max="8" width="14.625" style="2977" customWidth="1"/>
    <col min="9" max="10" width="12.625" style="2977" customWidth="1"/>
    <col min="11" max="11" width="12.625" style="2953" customWidth="1"/>
    <col min="12" max="12" width="16.875" style="2953" bestFit="1" customWidth="1"/>
    <col min="13" max="13" width="12.625" style="2953" customWidth="1"/>
    <col min="14" max="16" width="9" style="2953"/>
    <col min="17" max="16384" width="9" style="2954"/>
  </cols>
  <sheetData>
    <row r="1" spans="2:16" ht="9.75" customHeight="1" thickBot="1"/>
    <row r="2" spans="2:16" ht="36" customHeight="1">
      <c r="B2" s="2955" t="s">
        <v>3063</v>
      </c>
      <c r="C2" s="2956" t="s">
        <v>3064</v>
      </c>
      <c r="D2" s="2956" t="s">
        <v>3065</v>
      </c>
      <c r="E2" s="2956" t="s">
        <v>3066</v>
      </c>
      <c r="F2" s="2957" t="s">
        <v>3067</v>
      </c>
      <c r="G2" s="2957" t="s">
        <v>3068</v>
      </c>
      <c r="H2" s="2956" t="s">
        <v>3069</v>
      </c>
      <c r="I2" s="2958" t="s">
        <v>3070</v>
      </c>
    </row>
    <row r="3" spans="2:16" ht="66" customHeight="1" thickBot="1">
      <c r="B3" s="2978" t="s">
        <v>3193</v>
      </c>
      <c r="C3" s="2979" t="s">
        <v>3194</v>
      </c>
      <c r="D3" s="2979" t="s">
        <v>3195</v>
      </c>
      <c r="E3" s="2979">
        <v>4638.1000000000004</v>
      </c>
      <c r="F3" s="2980" t="s">
        <v>3196</v>
      </c>
      <c r="G3" s="2980" t="s">
        <v>3197</v>
      </c>
      <c r="H3" s="2979" t="s">
        <v>3198</v>
      </c>
      <c r="I3" s="2981">
        <v>58034</v>
      </c>
    </row>
    <row r="4" spans="2:16" ht="36" customHeight="1" thickBot="1"/>
    <row r="5" spans="2:16" ht="36" customHeight="1">
      <c r="B5" s="3142" t="s">
        <v>3199</v>
      </c>
      <c r="C5" s="3132" t="s">
        <v>3200</v>
      </c>
      <c r="D5" s="3132" t="s">
        <v>3201</v>
      </c>
      <c r="E5" s="3132" t="s">
        <v>3202</v>
      </c>
      <c r="F5" s="3132"/>
      <c r="G5" s="3132"/>
      <c r="H5" s="3132"/>
      <c r="I5" s="3132"/>
      <c r="J5" s="3132"/>
      <c r="K5" s="3133" t="s">
        <v>3203</v>
      </c>
      <c r="L5" s="3134"/>
      <c r="M5" s="3135"/>
    </row>
    <row r="6" spans="2:16" ht="36" customHeight="1">
      <c r="B6" s="3143"/>
      <c r="C6" s="3144"/>
      <c r="D6" s="3144"/>
      <c r="E6" s="2982" t="s">
        <v>3204</v>
      </c>
      <c r="F6" s="2983" t="s">
        <v>3205</v>
      </c>
      <c r="G6" s="2983" t="s">
        <v>3206</v>
      </c>
      <c r="H6" s="2982" t="s">
        <v>3207</v>
      </c>
      <c r="I6" s="2982" t="s">
        <v>3208</v>
      </c>
      <c r="J6" s="2982" t="s">
        <v>3209</v>
      </c>
      <c r="K6" s="2963" t="s">
        <v>3210</v>
      </c>
      <c r="L6" s="2984" t="s">
        <v>3203</v>
      </c>
      <c r="M6" s="2985" t="s">
        <v>3208</v>
      </c>
      <c r="O6" s="2953" t="s">
        <v>3211</v>
      </c>
    </row>
    <row r="7" spans="2:16" ht="36" customHeight="1">
      <c r="B7" s="3136" t="s">
        <v>3212</v>
      </c>
      <c r="C7" s="3139" t="s">
        <v>3194</v>
      </c>
      <c r="D7" s="3139" t="s">
        <v>3213</v>
      </c>
      <c r="E7" s="2986" t="s">
        <v>3214</v>
      </c>
      <c r="F7" s="2986" t="s">
        <v>3215</v>
      </c>
      <c r="G7" s="2986" t="s">
        <v>3216</v>
      </c>
      <c r="H7" s="2986" t="s">
        <v>3217</v>
      </c>
      <c r="I7" s="2986">
        <v>289.60000000000002</v>
      </c>
      <c r="J7" s="2986"/>
      <c r="K7" s="2987" t="s">
        <v>3218</v>
      </c>
      <c r="L7" s="2988" t="s">
        <v>3219</v>
      </c>
      <c r="M7" s="2989">
        <f>I7</f>
        <v>289.60000000000002</v>
      </c>
    </row>
    <row r="8" spans="2:16" ht="36" customHeight="1">
      <c r="B8" s="3137"/>
      <c r="C8" s="3140"/>
      <c r="D8" s="3140"/>
      <c r="E8" s="2986" t="s">
        <v>3220</v>
      </c>
      <c r="F8" s="2986" t="s">
        <v>3105</v>
      </c>
      <c r="G8" s="2986" t="s">
        <v>3106</v>
      </c>
      <c r="H8" s="2986" t="s">
        <v>3221</v>
      </c>
      <c r="I8" s="2986">
        <v>1284.8</v>
      </c>
      <c r="J8" s="2986"/>
      <c r="K8" s="2987" t="s">
        <v>3222</v>
      </c>
      <c r="L8" s="2988" t="s">
        <v>3223</v>
      </c>
      <c r="M8" s="2989">
        <v>0</v>
      </c>
    </row>
    <row r="9" spans="2:16" ht="36" customHeight="1">
      <c r="B9" s="3137"/>
      <c r="C9" s="3140"/>
      <c r="D9" s="3140"/>
      <c r="E9" s="2986" t="s">
        <v>3224</v>
      </c>
      <c r="F9" s="2986" t="s">
        <v>3105</v>
      </c>
      <c r="G9" s="2986" t="s">
        <v>3106</v>
      </c>
      <c r="H9" s="2986" t="s">
        <v>3221</v>
      </c>
      <c r="I9" s="2986">
        <v>1876</v>
      </c>
      <c r="J9" s="2986"/>
      <c r="K9" s="2987" t="s">
        <v>3225</v>
      </c>
      <c r="L9" s="2988" t="s">
        <v>3226</v>
      </c>
      <c r="M9" s="2989">
        <f t="shared" ref="M9:M13" si="0">I9</f>
        <v>1876</v>
      </c>
      <c r="O9" s="2953" t="s">
        <v>3227</v>
      </c>
      <c r="P9" s="2953">
        <v>2010</v>
      </c>
    </row>
    <row r="10" spans="2:16" ht="36" customHeight="1">
      <c r="B10" s="3137"/>
      <c r="C10" s="3140"/>
      <c r="D10" s="3140"/>
      <c r="E10" s="2986" t="s">
        <v>3228</v>
      </c>
      <c r="F10" s="2986" t="s">
        <v>3229</v>
      </c>
      <c r="G10" s="2986" t="s">
        <v>3230</v>
      </c>
      <c r="H10" s="2986" t="s">
        <v>3231</v>
      </c>
      <c r="I10" s="2986">
        <v>154.19999999999999</v>
      </c>
      <c r="J10" s="2986"/>
      <c r="K10" s="2987" t="s">
        <v>3232</v>
      </c>
      <c r="L10" s="2988" t="s">
        <v>3233</v>
      </c>
      <c r="M10" s="2990">
        <f t="shared" si="0"/>
        <v>154.19999999999999</v>
      </c>
      <c r="P10" s="2953">
        <v>2010</v>
      </c>
    </row>
    <row r="11" spans="2:16" ht="36" customHeight="1">
      <c r="B11" s="3137"/>
      <c r="C11" s="3140"/>
      <c r="D11" s="3140"/>
      <c r="E11" s="2986" t="s">
        <v>3234</v>
      </c>
      <c r="F11" s="2986" t="s">
        <v>3229</v>
      </c>
      <c r="G11" s="2986" t="s">
        <v>3230</v>
      </c>
      <c r="H11" s="2986" t="s">
        <v>3231</v>
      </c>
      <c r="I11" s="2986">
        <v>203.9</v>
      </c>
      <c r="J11" s="2986"/>
      <c r="K11" s="2987" t="s">
        <v>3235</v>
      </c>
      <c r="L11" s="2988" t="s">
        <v>3233</v>
      </c>
      <c r="M11" s="2990">
        <f t="shared" si="0"/>
        <v>203.9</v>
      </c>
      <c r="P11" s="2953">
        <v>2012</v>
      </c>
    </row>
    <row r="12" spans="2:16" ht="36" customHeight="1">
      <c r="B12" s="3137"/>
      <c r="C12" s="3140"/>
      <c r="D12" s="3140"/>
      <c r="E12" s="2986" t="s">
        <v>3236</v>
      </c>
      <c r="F12" s="2986" t="s">
        <v>3229</v>
      </c>
      <c r="G12" s="2986" t="s">
        <v>3230</v>
      </c>
      <c r="H12" s="2986" t="s">
        <v>3231</v>
      </c>
      <c r="I12" s="2986">
        <v>57.7</v>
      </c>
      <c r="J12" s="2986"/>
      <c r="K12" s="2987" t="s">
        <v>3222</v>
      </c>
      <c r="L12" s="2988" t="s">
        <v>3237</v>
      </c>
      <c r="M12" s="2989">
        <v>0</v>
      </c>
      <c r="P12" s="2953" t="s">
        <v>3223</v>
      </c>
    </row>
    <row r="13" spans="2:16" ht="36" customHeight="1">
      <c r="B13" s="3138"/>
      <c r="C13" s="3141"/>
      <c r="D13" s="3141"/>
      <c r="E13" s="2986" t="s">
        <v>3238</v>
      </c>
      <c r="F13" s="2986" t="s">
        <v>3229</v>
      </c>
      <c r="G13" s="2986" t="s">
        <v>3230</v>
      </c>
      <c r="H13" s="2986" t="s">
        <v>3231</v>
      </c>
      <c r="I13" s="2986">
        <v>340.8</v>
      </c>
      <c r="J13" s="2986"/>
      <c r="K13" s="2987" t="s">
        <v>3239</v>
      </c>
      <c r="L13" s="2988" t="s">
        <v>3233</v>
      </c>
      <c r="M13" s="2990">
        <f t="shared" si="0"/>
        <v>340.8</v>
      </c>
      <c r="P13" s="2953">
        <v>2013</v>
      </c>
    </row>
    <row r="14" spans="2:16" ht="36" customHeight="1" thickBot="1">
      <c r="B14" s="2978"/>
      <c r="C14" s="2979"/>
      <c r="D14" s="2979"/>
      <c r="E14" s="2979" t="s">
        <v>3240</v>
      </c>
      <c r="F14" s="2979"/>
      <c r="G14" s="2979"/>
      <c r="H14" s="2979"/>
      <c r="I14" s="2979">
        <f>SUM(I7:I13)</f>
        <v>4207</v>
      </c>
      <c r="J14" s="2979"/>
      <c r="K14" s="2979" t="s">
        <v>3240</v>
      </c>
      <c r="L14" s="2991" t="s">
        <v>3222</v>
      </c>
      <c r="M14" s="2992">
        <f>SUM(M7:M13)</f>
        <v>2864.5</v>
      </c>
    </row>
    <row r="15" spans="2:16" ht="36" customHeight="1"/>
  </sheetData>
  <mergeCells count="8">
    <mergeCell ref="E5:J5"/>
    <mergeCell ref="K5:M5"/>
    <mergeCell ref="B7:B13"/>
    <mergeCell ref="C7:C13"/>
    <mergeCell ref="D7:D13"/>
    <mergeCell ref="B5:B6"/>
    <mergeCell ref="C5:C6"/>
    <mergeCell ref="D5:D6"/>
  </mergeCells>
  <phoneticPr fontId="14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6" sqref="F6"/>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154" t="s">
        <v>1934</v>
      </c>
      <c r="B2" s="3154"/>
      <c r="C2" s="3154"/>
      <c r="D2" s="967" t="s">
        <v>1910</v>
      </c>
      <c r="E2" s="2227" t="s">
        <v>1911</v>
      </c>
      <c r="F2" s="1392"/>
      <c r="G2" s="2228"/>
      <c r="H2" s="2229"/>
      <c r="I2" s="2230" t="s">
        <v>1935</v>
      </c>
      <c r="J2" s="1392"/>
      <c r="K2" s="1392"/>
      <c r="L2" s="1392"/>
      <c r="M2" s="1392"/>
      <c r="N2" s="1427"/>
      <c r="O2" s="1392"/>
      <c r="P2" s="1392"/>
    </row>
    <row r="3" spans="1:16" ht="15.75" thickBot="1">
      <c r="A3" s="3155" t="s">
        <v>1908</v>
      </c>
      <c r="B3" s="3155"/>
      <c r="C3" s="3155"/>
      <c r="D3" s="46">
        <f>'数据-基础表'!AY6</f>
        <v>18455.759999999998</v>
      </c>
      <c r="E3" s="46">
        <f>'数据-基础表'!AZ5</f>
        <v>27202.3</v>
      </c>
      <c r="F3" s="1392"/>
      <c r="G3" s="1399"/>
      <c r="H3" s="1247" t="s">
        <v>1909</v>
      </c>
      <c r="I3" s="55">
        <f>ROUND('数据-基础表'!B3/'数据-基础表'!A3,2)</f>
        <v>1.47</v>
      </c>
      <c r="J3" s="1392"/>
      <c r="K3" s="1392"/>
      <c r="L3" s="1392"/>
      <c r="M3" s="1392"/>
      <c r="N3" s="1427"/>
      <c r="O3" s="1392"/>
      <c r="P3" s="1392"/>
    </row>
    <row r="4" spans="1:16" ht="15">
      <c r="A4" s="3156"/>
      <c r="B4" s="3157"/>
      <c r="C4" s="3158"/>
      <c r="D4" s="2231" t="s">
        <v>1910</v>
      </c>
      <c r="E4" s="2232" t="s">
        <v>1911</v>
      </c>
      <c r="F4" s="1392"/>
      <c r="G4" s="2233" t="s">
        <v>1936</v>
      </c>
      <c r="H4" s="1247" t="s">
        <v>1916</v>
      </c>
      <c r="I4" s="55">
        <f>ROUND(SUMIF('数据-基础表'!I9:AS9,"地上",'数据-基础表'!I5:AS5)/'数据-基础表'!A3,2)</f>
        <v>1.47</v>
      </c>
      <c r="J4" s="1392"/>
      <c r="K4" s="1392"/>
      <c r="L4" s="1392"/>
      <c r="M4" s="1392"/>
      <c r="N4" s="1427"/>
      <c r="O4" s="1392"/>
      <c r="P4" s="1392"/>
    </row>
    <row r="5" spans="1:16">
      <c r="A5" s="47" t="s">
        <v>1912</v>
      </c>
      <c r="B5" s="3159" t="s">
        <v>1913</v>
      </c>
      <c r="C5" s="3159"/>
      <c r="D5" s="48">
        <f>ROUND($D$3*E5/$E$3,2)</f>
        <v>0</v>
      </c>
      <c r="E5" s="49">
        <f>SUMIF('数据-基础表'!$11:$11,"住宅",'数据-基础表'!$5:$5)</f>
        <v>0</v>
      </c>
      <c r="F5" s="1392"/>
      <c r="G5" s="1399"/>
      <c r="H5" s="1247" t="s">
        <v>1909</v>
      </c>
      <c r="I5" s="55">
        <f>ROUND(E31/D31,2)</f>
        <v>1.47</v>
      </c>
      <c r="J5" s="1392"/>
      <c r="K5" s="1392"/>
      <c r="L5" s="1392"/>
      <c r="M5" s="1392"/>
      <c r="N5" s="1392"/>
      <c r="O5" s="1392"/>
      <c r="P5" s="1392"/>
    </row>
    <row r="6" spans="1:16" ht="15" thickBot="1">
      <c r="A6" s="2234"/>
      <c r="B6" s="3159" t="s">
        <v>1914</v>
      </c>
      <c r="C6" s="3159"/>
      <c r="D6" s="48">
        <f>ROUND($D$3*E6/$E$3,2)</f>
        <v>18455.759999999998</v>
      </c>
      <c r="E6" s="49">
        <f>E3-E5</f>
        <v>27202.3</v>
      </c>
      <c r="F6" s="1392"/>
      <c r="G6" s="2235" t="s">
        <v>1915</v>
      </c>
      <c r="H6" s="1399" t="s">
        <v>1916</v>
      </c>
      <c r="I6" s="939">
        <f>ROUND(F31/D31,2)</f>
        <v>1.47</v>
      </c>
      <c r="J6" s="1392"/>
      <c r="K6" s="1392"/>
      <c r="L6" s="1392"/>
      <c r="M6" s="1392"/>
      <c r="N6" s="1392"/>
      <c r="O6" s="1392"/>
      <c r="P6" s="1392"/>
    </row>
    <row r="7" spans="1:16" ht="15">
      <c r="A7" s="3151"/>
      <c r="B7" s="3152"/>
      <c r="C7" s="3153"/>
      <c r="D7" s="2231" t="s">
        <v>1910</v>
      </c>
      <c r="E7" s="2236" t="s">
        <v>1917</v>
      </c>
      <c r="F7" s="1392"/>
      <c r="G7" s="2228" t="s">
        <v>1918</v>
      </c>
      <c r="H7" s="64"/>
      <c r="I7" s="420">
        <f>ROUND(东!I24/东!E3,2)</f>
        <v>1.48</v>
      </c>
      <c r="J7" s="1392"/>
      <c r="K7" s="1392"/>
      <c r="L7" s="1392"/>
      <c r="M7" s="1392"/>
      <c r="N7" s="1392"/>
      <c r="O7" s="1392"/>
      <c r="P7" s="1392"/>
    </row>
    <row r="8" spans="1:16">
      <c r="A8" s="47" t="s">
        <v>1919</v>
      </c>
      <c r="B8" s="50" t="s">
        <v>1920</v>
      </c>
      <c r="C8" s="48" t="s">
        <v>1921</v>
      </c>
      <c r="D8" s="48">
        <f t="shared" ref="D8:D15" si="0">ROUND($D$3*E8/$E$3,2)</f>
        <v>18455.759999999998</v>
      </c>
      <c r="E8" s="51">
        <f>SUMIF('数据-基础表'!BB10:BK10,"地上",'数据-基础表'!BB5:BK5)</f>
        <v>27202.3</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18455.759999999998</v>
      </c>
      <c r="E16" s="53">
        <f>SUM(E8:E15)</f>
        <v>27202.3</v>
      </c>
      <c r="F16" s="1392"/>
      <c r="G16" s="2237"/>
      <c r="H16" s="2240" t="s">
        <v>1938</v>
      </c>
      <c r="I16" s="2241"/>
      <c r="J16" s="1392"/>
      <c r="K16" s="3148" t="s">
        <v>1938</v>
      </c>
      <c r="L16" s="3149"/>
      <c r="M16" s="3149"/>
      <c r="N16" s="3149"/>
      <c r="O16" s="3149"/>
      <c r="P16" s="3150"/>
    </row>
    <row r="17" spans="1:19" ht="15">
      <c r="A17" s="2242" t="s">
        <v>1939</v>
      </c>
      <c r="B17" s="2243" t="s">
        <v>1940</v>
      </c>
      <c r="C17" s="2244" t="s">
        <v>1941</v>
      </c>
      <c r="D17" s="2245" t="s">
        <v>1929</v>
      </c>
      <c r="E17" s="2246" t="s">
        <v>1930</v>
      </c>
      <c r="F17" s="2247"/>
      <c r="G17" s="2248"/>
      <c r="H17" s="2249" t="s">
        <v>1942</v>
      </c>
      <c r="I17" s="2250" t="s">
        <v>1927</v>
      </c>
      <c r="J17" s="1392"/>
      <c r="K17" s="3145" t="s">
        <v>1943</v>
      </c>
      <c r="L17" s="3146"/>
      <c r="M17" s="3147"/>
      <c r="N17" s="3145" t="s">
        <v>1944</v>
      </c>
      <c r="O17" s="3146"/>
      <c r="P17" s="3147"/>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974" t="s">
        <v>3169</v>
      </c>
      <c r="D19" s="48">
        <f>ROUND($D$3*E19/$E$3,2)</f>
        <v>18455.759999999998</v>
      </c>
      <c r="E19" s="56">
        <f t="shared" ref="E19:E26" si="1">SUM(F19:G19)</f>
        <v>27202.3</v>
      </c>
      <c r="F19" s="57">
        <f>'数据-基础表'!I13</f>
        <v>27202.3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18455.759999999998</v>
      </c>
      <c r="S19" s="1248">
        <f t="shared" si="5"/>
        <v>27202.3</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18455.759999999998</v>
      </c>
      <c r="E27" s="1394">
        <f>IF(SUM(E19:E26)='数据-基础表'!BA5,SUM(E19:E26),IF(F27="地上面积有误","面积有误","地下面积有误"))</f>
        <v>27202.3</v>
      </c>
      <c r="F27" s="1393">
        <f>IF(SUM(F19:F26)=E8,SUM(F19:F26),"地上面积有误")</f>
        <v>27202.3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18455.759999999998</v>
      </c>
      <c r="S27" s="1247">
        <f>IF(SUM(S19:S26)=$E$3,SUM(S19:S26),SUM(S19:S26)&amp;"误差"&amp;ROUND(SUM(S19:S26)-E3,2))</f>
        <v>27202.3</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18455.759999999998</v>
      </c>
      <c r="E31" s="729">
        <f>E27+E30</f>
        <v>27202.3</v>
      </c>
      <c r="F31" s="730">
        <f>F27+F30</f>
        <v>27202.3</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G26" sqref="G2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25" width="6.75" style="2275" customWidth="1"/>
    <col min="26" max="30" width="6.75" style="2275" hidden="1"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1964</v>
      </c>
      <c r="B2" s="1266">
        <f>项目基本情况!D3</f>
        <v>43592</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3170</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6" t="str">
        <f>'数据-汇总表'!C19</f>
        <v>工业</v>
      </c>
      <c r="B6" s="2307" t="str">
        <f>IF(A6=0,"","经营性")</f>
        <v>经营性</v>
      </c>
      <c r="C6" s="2308" t="s">
        <v>6</v>
      </c>
      <c r="D6" s="1051">
        <f>SUMIF(项目基本情况!D$12:I$12,C6,项目基本情况!D$14:I$14)</f>
        <v>50</v>
      </c>
      <c r="E6" s="1048">
        <f>IF(B6="","",SUMIF(项目基本情况!D$12:I$12,C6,项目基本情况!D$13:I$13))</f>
        <v>53775</v>
      </c>
      <c r="F6" s="72">
        <f>SUMIF(项目基本情况!D$12:I$12,C6,项目基本情况!D$15:I$15)</f>
        <v>27.89</v>
      </c>
      <c r="G6" s="73">
        <f ca="1">IF(ISERROR(ROUND(POWER(1+H6,D6-F6)*(POWER(1+H6,F6)-1)/(POWER(1+H6,D6)-1),3)),0,ROUND(POWER(1+H6,D6-F6)*(POWER(1+H6,F6)-1)/(POWER(1+H6,D6)-1),3))</f>
        <v>0.80700000000000005</v>
      </c>
      <c r="H6" s="802">
        <f ca="1">基准地价修正!G20</f>
        <v>4.8000000000000001E-2</v>
      </c>
      <c r="I6" s="802">
        <v>5.5E-2</v>
      </c>
      <c r="J6" s="74">
        <v>8.5000000000000006E-2</v>
      </c>
      <c r="K6" s="1251">
        <f>SUMIF('数据-汇总表'!C$19:C$33,A6,'数据-汇总表'!E$19:E$33)</f>
        <v>27202.3</v>
      </c>
      <c r="L6" s="803">
        <v>2500</v>
      </c>
      <c r="M6" s="75">
        <f t="shared" ref="M6:M14" si="0">ROUND(K6*L6/10000,0)</f>
        <v>6801</v>
      </c>
      <c r="N6" s="801">
        <v>0.7</v>
      </c>
      <c r="O6" s="75" t="str">
        <f>IF($N$5="成新度","——",ROUND(M6*N6,0))</f>
        <v>——</v>
      </c>
      <c r="P6" s="76" t="str">
        <f>IF($N$5="成新度","——",M6-O6)</f>
        <v>——</v>
      </c>
      <c r="Q6" s="804">
        <v>0.3</v>
      </c>
      <c r="R6" s="77">
        <f ca="1">SUMIF('数据-汇总表'!C$19:C$33,A6,'数据-汇总表'!R$19:R$27)</f>
        <v>18455.759999999998</v>
      </c>
      <c r="S6" s="54">
        <f>IF('数据-汇总表'!$I$17="按面积比例",SUMIF('数据-汇总表'!C$19:C$33,A6,'数据-汇总表'!K$19:K$33),SUMIF('数据-汇总表'!C$19:C$33,A6,'数据-汇总表'!N$19:N$33))</f>
        <v>0</v>
      </c>
      <c r="T6" s="1443">
        <f>ROUND($L$14*S6/10000,0)</f>
        <v>0</v>
      </c>
      <c r="U6" s="78">
        <f>租约台账!N2</f>
        <v>8.67</v>
      </c>
      <c r="V6" s="79">
        <v>1.4999999999999999E-2</v>
      </c>
      <c r="W6" s="79">
        <v>0.1</v>
      </c>
      <c r="X6" s="1261"/>
      <c r="Y6" s="80">
        <f>N6</f>
        <v>0.7</v>
      </c>
      <c r="Z6" s="81"/>
      <c r="AA6" s="74"/>
      <c r="AB6" s="74"/>
      <c r="AC6" s="1261"/>
      <c r="AD6" s="82"/>
      <c r="AE6" s="1262">
        <f ca="1">IF(AN6="",0,SUMIF(INDIRECT("'"&amp;AN6&amp;"'"&amp;"!E:E"),$AE$5,INDIRECT("'"&amp;AN6&amp;"'"&amp;"!F:F")))</f>
        <v>27.89</v>
      </c>
      <c r="AF6" s="1804"/>
      <c r="AG6" s="147">
        <f>IF(AF6="",0,AE6-AF6)</f>
        <v>0</v>
      </c>
      <c r="AH6" s="83"/>
      <c r="AI6" s="85">
        <v>365</v>
      </c>
      <c r="AJ6" s="86"/>
      <c r="AK6" s="87">
        <v>2.5000000000000001E-2</v>
      </c>
      <c r="AL6" s="88">
        <v>1.5E-3</v>
      </c>
      <c r="AM6" s="89">
        <v>0.02</v>
      </c>
      <c r="AN6" s="2309" t="s">
        <v>3171</v>
      </c>
      <c r="AO6" s="55">
        <f ca="1">SUMIF(INDIRECT("'"&amp;AN6&amp;"'"&amp;"!A:A"),"总价",INDIRECT("'"&amp;AN6&amp;"'"&amp;"!B:B"))</f>
        <v>97392</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2012</v>
      </c>
      <c r="B16" s="97"/>
      <c r="C16" s="1005"/>
      <c r="D16" s="2314"/>
      <c r="E16" s="97"/>
      <c r="F16" s="97"/>
      <c r="G16" s="98">
        <f ca="1">ROUND(SUMPRODUCT(G6:G13,K6:K13)/SUMPRODUCT((G6:G13&gt;0)*(K6:K13)),3)</f>
        <v>0.80700000000000005</v>
      </c>
      <c r="H16" s="99">
        <f ca="1">ROUND(SUMPRODUCT(H6:H13,K6:K13)/SUMPRODUCT((H6:H13&gt;0)*(K6:K13)),3)</f>
        <v>4.8000000000000001E-2</v>
      </c>
      <c r="I16" s="100"/>
      <c r="J16" s="100"/>
      <c r="K16" s="101">
        <f>SUM(K6:K15)</f>
        <v>27202.3</v>
      </c>
      <c r="L16" s="102">
        <f>ROUND(M16*10000/SUM(K6:K14),0)</f>
        <v>2500</v>
      </c>
      <c r="M16" s="102">
        <f>SUM(M6:M14)</f>
        <v>6801</v>
      </c>
      <c r="N16" s="103">
        <f>ROUND(SUMPRODUCT(M6:M14,N6:N14)/M16,3)</f>
        <v>0.7</v>
      </c>
      <c r="O16" s="102">
        <f>SUM(O6:O14)</f>
        <v>0</v>
      </c>
      <c r="P16" s="102">
        <f>SUM(P6:P14)</f>
        <v>0</v>
      </c>
      <c r="Q16" s="104">
        <f>ROUND(SUMPRODUCT(Q6:Q13,K6:K13)/SUMPRODUCT((Q6:Q13&gt;0)*(K6:K13)),2)</f>
        <v>0.3</v>
      </c>
      <c r="R16" s="1255">
        <f ca="1">SUM(R6:R13)</f>
        <v>18455.759999999998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2976" t="s">
        <v>3184</v>
      </c>
      <c r="N19" s="2975">
        <f>ROUND(1-(1-收益法!M65)*(2019-1980)/收益法!J65,2)</f>
        <v>0.04</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1.5</v>
      </c>
      <c r="C20" s="2277" t="s">
        <v>2017</v>
      </c>
      <c r="D20" s="2278"/>
      <c r="E20" s="2277"/>
      <c r="F20" s="2277"/>
      <c r="G20" s="2277"/>
      <c r="H20" s="2277"/>
      <c r="I20" s="2277"/>
      <c r="J20" s="2277"/>
      <c r="K20" s="168"/>
      <c r="L20" s="168"/>
      <c r="M20" s="1581"/>
      <c r="N20" s="2975">
        <v>0.4</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1.5</v>
      </c>
      <c r="C21" s="2277"/>
      <c r="D21" s="2278"/>
      <c r="E21" s="2277"/>
      <c r="F21" s="2277"/>
      <c r="G21" s="2277"/>
      <c r="H21" s="2277"/>
      <c r="I21" s="2277"/>
      <c r="J21" s="2277"/>
      <c r="K21" s="168"/>
      <c r="L21" s="168"/>
      <c r="M21" s="1581"/>
      <c r="N21" s="2975">
        <v>0.8</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1.5</v>
      </c>
      <c r="C22" s="2277"/>
      <c r="D22" s="2278"/>
      <c r="E22" s="2277"/>
      <c r="F22" s="2277"/>
      <c r="G22" s="2277"/>
      <c r="H22" s="2277"/>
      <c r="I22" s="2277"/>
      <c r="J22" s="2277"/>
      <c r="K22" s="168"/>
      <c r="L22" s="168"/>
      <c r="M22" s="1581"/>
      <c r="N22" s="2975">
        <f>(N20+N21)/2</f>
        <v>0.60000000000000009</v>
      </c>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1.5</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v>160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f>ROUND(K16*B28/10000,0)</f>
        <v>544</v>
      </c>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v>0</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0.03</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v>0</v>
      </c>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24</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t="s">
        <v>269</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v>24</v>
      </c>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6"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60" t="s">
        <v>2079</v>
      </c>
      <c r="B1" s="3161"/>
      <c r="C1" s="3161"/>
      <c r="D1" s="3161"/>
      <c r="E1" s="3161"/>
      <c r="F1" s="3161"/>
      <c r="G1" s="316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6"/>
      <c r="G2" s="2365" t="s">
        <v>2081</v>
      </c>
      <c r="H2" s="2368"/>
      <c r="I2" s="2368"/>
      <c r="J2" s="2368"/>
      <c r="K2" s="2368"/>
      <c r="L2" s="2368"/>
      <c r="M2" s="2368"/>
      <c r="N2" s="2368"/>
      <c r="O2" s="2368"/>
      <c r="P2" s="2368"/>
      <c r="Q2" s="2368"/>
      <c r="R2" s="2368"/>
    </row>
    <row r="3" spans="1:29" ht="54">
      <c r="A3" s="415" t="s">
        <v>2082</v>
      </c>
      <c r="B3" s="1268" t="s">
        <v>2083</v>
      </c>
      <c r="C3" s="2370" t="s">
        <v>2084</v>
      </c>
      <c r="D3" s="2371"/>
      <c r="E3" s="431" t="s">
        <v>2082</v>
      </c>
      <c r="F3" s="2372" t="s">
        <v>2085</v>
      </c>
      <c r="G3" s="2373" t="s">
        <v>2086</v>
      </c>
      <c r="H3" s="2368"/>
      <c r="I3" s="2368"/>
      <c r="J3" s="2368"/>
      <c r="K3" s="2368"/>
      <c r="L3" s="2368"/>
      <c r="M3" s="2368"/>
      <c r="N3" s="2368"/>
      <c r="O3" s="2368"/>
      <c r="P3" s="2368"/>
      <c r="Q3" s="2368"/>
      <c r="R3" s="2368"/>
    </row>
    <row r="4" spans="1:29" ht="41.25">
      <c r="A4" s="431"/>
      <c r="B4" s="1795" t="s">
        <v>2087</v>
      </c>
      <c r="C4" s="2374" t="s">
        <v>2088</v>
      </c>
      <c r="D4" s="2371"/>
      <c r="E4" s="2375"/>
      <c r="F4" s="42" t="s">
        <v>2089</v>
      </c>
      <c r="G4" s="2376" t="s">
        <v>2090</v>
      </c>
      <c r="H4" s="2368"/>
      <c r="I4" s="2368"/>
      <c r="J4" s="2368"/>
      <c r="K4" s="2368"/>
      <c r="L4" s="2368"/>
      <c r="M4" s="2368"/>
      <c r="N4" s="2368"/>
      <c r="O4" s="2368"/>
      <c r="P4" s="2368"/>
      <c r="Q4" s="2368"/>
      <c r="R4" s="2368"/>
    </row>
    <row r="5" spans="1:29" ht="41.25">
      <c r="A5" s="431"/>
      <c r="B5" s="1795" t="s">
        <v>2091</v>
      </c>
      <c r="C5" s="2374" t="s">
        <v>2092</v>
      </c>
      <c r="D5" s="2371"/>
      <c r="E5" s="2375"/>
      <c r="F5" s="1795" t="s">
        <v>2093</v>
      </c>
      <c r="G5" s="2376" t="s">
        <v>2094</v>
      </c>
      <c r="H5" s="2368"/>
      <c r="I5" s="2368"/>
      <c r="J5" s="2368"/>
      <c r="K5" s="2368"/>
      <c r="L5" s="2368"/>
      <c r="M5" s="2368"/>
      <c r="N5" s="2368"/>
      <c r="O5" s="2368"/>
      <c r="P5" s="2368"/>
      <c r="Q5" s="2368"/>
      <c r="R5" s="2368"/>
    </row>
    <row r="6" spans="1:29" ht="54">
      <c r="A6" s="431"/>
      <c r="B6" s="1795" t="s">
        <v>2095</v>
      </c>
      <c r="C6" s="2376" t="s">
        <v>2090</v>
      </c>
      <c r="D6" s="2371"/>
      <c r="E6" s="2375"/>
      <c r="F6" s="1795" t="s">
        <v>2096</v>
      </c>
      <c r="G6" s="2376" t="s">
        <v>2097</v>
      </c>
      <c r="H6" s="2368"/>
      <c r="I6" s="2368"/>
      <c r="J6" s="2368"/>
      <c r="K6" s="2368"/>
      <c r="L6" s="2368"/>
      <c r="M6" s="2368"/>
      <c r="N6" s="2368"/>
      <c r="O6" s="2368"/>
      <c r="P6" s="2368"/>
      <c r="Q6" s="2368"/>
      <c r="R6" s="2368"/>
    </row>
    <row r="7" spans="1:29" ht="41.25" thickBot="1">
      <c r="A7" s="431"/>
      <c r="B7" s="1795" t="s">
        <v>2093</v>
      </c>
      <c r="C7" s="2376" t="s">
        <v>2094</v>
      </c>
      <c r="D7" s="2377"/>
      <c r="E7" s="2378"/>
      <c r="F7" s="2379" t="s">
        <v>2098</v>
      </c>
      <c r="G7" s="2380" t="s">
        <v>2099</v>
      </c>
      <c r="H7" s="2368"/>
      <c r="I7" s="2368"/>
      <c r="J7" s="2368"/>
      <c r="K7" s="2368"/>
      <c r="L7" s="2368"/>
      <c r="M7" s="2368"/>
      <c r="N7" s="2368"/>
      <c r="O7" s="2368"/>
      <c r="P7" s="2368"/>
      <c r="Q7" s="2368"/>
      <c r="R7" s="2368"/>
    </row>
    <row r="8" spans="1:29" ht="27">
      <c r="A8" s="431"/>
      <c r="B8" s="1795" t="s">
        <v>2096</v>
      </c>
      <c r="C8" s="2376" t="s">
        <v>2097</v>
      </c>
      <c r="D8" s="2377"/>
      <c r="E8" s="2377"/>
      <c r="F8" s="1133"/>
      <c r="G8" s="1133"/>
      <c r="H8" s="2368"/>
      <c r="I8" s="2368"/>
      <c r="J8" s="2368"/>
      <c r="K8" s="2368"/>
      <c r="L8" s="2368"/>
      <c r="M8" s="2368"/>
      <c r="N8" s="2368"/>
      <c r="O8" s="2368"/>
      <c r="P8" s="2368"/>
      <c r="Q8" s="2368"/>
      <c r="R8" s="2368"/>
    </row>
    <row r="9" spans="1:29" ht="27">
      <c r="A9" s="431"/>
      <c r="B9" s="1795" t="s">
        <v>2100</v>
      </c>
      <c r="C9" s="2374" t="s">
        <v>2101</v>
      </c>
      <c r="D9" s="2371"/>
      <c r="E9" s="2377"/>
      <c r="F9" s="1133"/>
      <c r="G9" s="1133"/>
      <c r="H9" s="2368"/>
      <c r="I9" s="2368"/>
      <c r="J9" s="2368"/>
      <c r="K9" s="2368"/>
      <c r="L9" s="2368"/>
      <c r="M9" s="2368"/>
      <c r="N9" s="2368"/>
      <c r="O9" s="2368"/>
      <c r="P9" s="2368"/>
      <c r="Q9" s="2368"/>
      <c r="R9" s="2368"/>
    </row>
    <row r="10" spans="1:29" s="117" customFormat="1" ht="15.75" thickBot="1">
      <c r="A10" s="2381"/>
      <c r="B10" s="2382" t="s">
        <v>2102</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2103</v>
      </c>
      <c r="B13" s="2388"/>
      <c r="C13" s="2388"/>
      <c r="D13" s="2395"/>
      <c r="E13" s="2388"/>
      <c r="F13" s="2388"/>
      <c r="G13" s="2388"/>
    </row>
    <row r="14" spans="1:29" ht="15.75" thickBot="1">
      <c r="A14" s="2399"/>
      <c r="B14" s="2400"/>
      <c r="C14" s="2401" t="s">
        <v>2104</v>
      </c>
      <c r="D14" s="2371"/>
      <c r="E14" s="2402"/>
      <c r="F14" s="2402"/>
      <c r="G14" s="2365" t="s">
        <v>2105</v>
      </c>
    </row>
    <row r="15" spans="1:29" ht="57">
      <c r="A15" s="68" t="s">
        <v>2106</v>
      </c>
      <c r="B15" s="1267" t="s">
        <v>2083</v>
      </c>
      <c r="C15" s="2403" t="str">
        <f>C3</f>
        <v>估价对象周边居住用地比例、居住小区规模和社区发展完善程度，综合评价居住社区成熟度一般</v>
      </c>
      <c r="D15" s="2371"/>
      <c r="E15" s="2404" t="s">
        <v>2107</v>
      </c>
      <c r="F15" s="1267" t="s">
        <v>2108</v>
      </c>
      <c r="G15" s="135" t="str">
        <f>G3</f>
        <v>估价对象位于XX开发区，园区建设成熟度XX，产业集聚程度XX</v>
      </c>
    </row>
    <row r="16" spans="1:29" ht="42.75">
      <c r="A16" s="645"/>
      <c r="B16" s="2405" t="s">
        <v>2087</v>
      </c>
      <c r="C16" s="2406" t="str">
        <f>C4</f>
        <v>估价对象位于XX商圈，周边商业氛围成熟，人流量大，商业繁华度好</v>
      </c>
      <c r="D16" s="2371"/>
      <c r="E16" s="2407"/>
      <c r="F16" s="2408" t="s">
        <v>2089</v>
      </c>
      <c r="G16" s="136" t="str">
        <f>G4</f>
        <v>估价对象周边道路状况、公共交通通达情况、停车便捷程度，综合评价交通便捷度较好</v>
      </c>
    </row>
    <row r="17" spans="1:18" ht="42.75">
      <c r="A17" s="645"/>
      <c r="B17" s="2405" t="s">
        <v>2091</v>
      </c>
      <c r="C17" s="2406" t="str">
        <f>C5</f>
        <v>估价对象位于XX商圈，周边办公楼项目较多，入驻率高，办公集聚程度较好</v>
      </c>
      <c r="D17" s="2377"/>
      <c r="E17" s="2407"/>
      <c r="F17" s="2408" t="s">
        <v>2109</v>
      </c>
      <c r="G17" s="1569"/>
    </row>
    <row r="18" spans="1:18" ht="57">
      <c r="A18" s="645"/>
      <c r="B18" s="2408" t="s">
        <v>2095</v>
      </c>
      <c r="C18" s="136" t="str">
        <f>C6</f>
        <v>估价对象周边道路状况、公共交通通达情况、停车便捷程度，综合评价交通便捷度较好</v>
      </c>
      <c r="D18" s="2377"/>
      <c r="E18" s="2407"/>
      <c r="F18" s="2408" t="s">
        <v>2098</v>
      </c>
      <c r="G18" s="136" t="str">
        <f>G7</f>
        <v>该园区内是否有污染型企业，绿化情况，卫生条件，整体环境状况判断</v>
      </c>
    </row>
    <row r="19" spans="1:18" ht="28.5">
      <c r="A19" s="645"/>
      <c r="B19" s="2408" t="s">
        <v>2110</v>
      </c>
      <c r="C19" s="1569"/>
      <c r="D19" s="2371"/>
      <c r="E19" s="2407"/>
      <c r="F19" s="1795" t="s">
        <v>2093</v>
      </c>
      <c r="G19" s="136" t="str">
        <f>G5</f>
        <v>估价对象所在区域公共配套设施齐备情况</v>
      </c>
    </row>
    <row r="20" spans="1:18" ht="28.5">
      <c r="A20" s="645"/>
      <c r="B20" s="2408" t="s">
        <v>2111</v>
      </c>
      <c r="C20" s="2406" t="str">
        <f>C9</f>
        <v>区域自然环境：；人文环境；综合评价环境状况一般</v>
      </c>
      <c r="D20" s="2377"/>
      <c r="E20" s="2407"/>
      <c r="F20" s="1795" t="s">
        <v>2112</v>
      </c>
      <c r="G20" s="136" t="str">
        <f>G6</f>
        <v>估价对象所在区域基础设施水平</v>
      </c>
    </row>
    <row r="21" spans="1:18" ht="28.5">
      <c r="A21" s="645"/>
      <c r="B21" s="1795" t="s">
        <v>2093</v>
      </c>
      <c r="C21" s="136" t="str">
        <f>C7</f>
        <v>估价对象所在区域公共配套设施齐备情况</v>
      </c>
      <c r="D21" s="2371"/>
      <c r="E21" s="2407"/>
      <c r="F21" s="2408" t="s">
        <v>2113</v>
      </c>
      <c r="G21" s="2409"/>
    </row>
    <row r="22" spans="1:18" ht="13.5" customHeight="1">
      <c r="A22" s="645"/>
      <c r="B22" s="1795" t="s">
        <v>2096</v>
      </c>
      <c r="C22" s="136" t="str">
        <f>C8</f>
        <v>估价对象所在区域基础设施水平</v>
      </c>
      <c r="D22" s="2371"/>
      <c r="E22" s="2407"/>
      <c r="F22" s="2408" t="s">
        <v>2102</v>
      </c>
      <c r="G22" s="1569"/>
    </row>
    <row r="23" spans="1:18" s="2368" customFormat="1" ht="15.75" thickBot="1">
      <c r="A23" s="645"/>
      <c r="B23" s="2408" t="s">
        <v>2113</v>
      </c>
      <c r="C23" s="2409"/>
      <c r="D23" s="2396"/>
      <c r="E23" s="2410"/>
      <c r="F23" s="2411" t="s">
        <v>2114</v>
      </c>
      <c r="G23" s="2412"/>
      <c r="H23" s="2396"/>
      <c r="I23" s="2397"/>
      <c r="J23" s="2396"/>
      <c r="K23" s="2396"/>
      <c r="L23" s="2397"/>
      <c r="M23" s="2396"/>
      <c r="N23" s="2396"/>
      <c r="O23" s="2397"/>
      <c r="P23" s="2396"/>
      <c r="Q23" s="2396"/>
      <c r="R23" s="2398"/>
    </row>
    <row r="24" spans="1:18" s="2368" customFormat="1" ht="15.75" thickBot="1">
      <c r="A24" s="2413"/>
      <c r="B24" s="2411" t="s">
        <v>2115</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60"/>
  <sheetViews>
    <sheetView topLeftCell="I43" workbookViewId="0">
      <selection activeCell="E58" sqref="E58"/>
    </sheetView>
  </sheetViews>
  <sheetFormatPr defaultRowHeight="16.5"/>
  <cols>
    <col min="1" max="1" width="4" style="2994" customWidth="1"/>
    <col min="2" max="2" width="27.125" style="2994" customWidth="1"/>
    <col min="3" max="3" width="14.125" style="2994" customWidth="1"/>
    <col min="4" max="4" width="8.5" style="2994" customWidth="1"/>
    <col min="5" max="5" width="10.5" style="2994" customWidth="1"/>
    <col min="6" max="6" width="11.5" style="2994" customWidth="1"/>
    <col min="7" max="7" width="9.125" style="3024" customWidth="1"/>
    <col min="8" max="8" width="18" style="3025" customWidth="1"/>
    <col min="9" max="9" width="32.5" style="2995" customWidth="1"/>
    <col min="10" max="10" width="9" style="2995"/>
    <col min="11" max="11" width="11" style="2995" customWidth="1"/>
    <col min="12" max="12" width="13.375" style="2995" customWidth="1"/>
    <col min="13" max="13" width="12.125" style="3037" bestFit="1" customWidth="1"/>
    <col min="14" max="14" width="12.125" style="2995" bestFit="1" customWidth="1"/>
    <col min="15" max="178" width="9" style="2995"/>
    <col min="179" max="179" width="4" style="2995" customWidth="1"/>
    <col min="180" max="181" width="8" style="2995" customWidth="1"/>
    <col min="182" max="182" width="12.875" style="2995" customWidth="1"/>
    <col min="183" max="183" width="30.125" style="2995" customWidth="1"/>
    <col min="184" max="184" width="9.375" style="2995" customWidth="1"/>
    <col min="185" max="185" width="8.5" style="2995" customWidth="1"/>
    <col min="186" max="186" width="8" style="2995" customWidth="1"/>
    <col min="187" max="187" width="7.5" style="2995" customWidth="1"/>
    <col min="188" max="188" width="10.5" style="2995" customWidth="1"/>
    <col min="189" max="189" width="11.5" style="2995" customWidth="1"/>
    <col min="190" max="190" width="12.25" style="2995" customWidth="1"/>
    <col min="191" max="191" width="12.375" style="2995" customWidth="1"/>
    <col min="192" max="192" width="12.5" style="2995" customWidth="1"/>
    <col min="193" max="193" width="12.25" style="2995" customWidth="1"/>
    <col min="194" max="194" width="13.5" style="2995" customWidth="1"/>
    <col min="195" max="195" width="12.125" style="2995" customWidth="1"/>
    <col min="196" max="196" width="15.75" style="2995" customWidth="1"/>
    <col min="197" max="224" width="0" style="2995" hidden="1" customWidth="1"/>
    <col min="225" max="225" width="12.5" style="2995" customWidth="1"/>
    <col min="226" max="226" width="10" style="2995" customWidth="1"/>
    <col min="227" max="227" width="10.5" style="2995" customWidth="1"/>
    <col min="228" max="228" width="11.625" style="2995" customWidth="1"/>
    <col min="229" max="229" width="11.25" style="2995" customWidth="1"/>
    <col min="230" max="230" width="10" style="2995" customWidth="1"/>
    <col min="231" max="236" width="10.125" style="2995" customWidth="1"/>
    <col min="237" max="237" width="11.5" style="2995" customWidth="1"/>
    <col min="238" max="242" width="12" style="2995" customWidth="1"/>
    <col min="243" max="243" width="10.625" style="2995" customWidth="1"/>
    <col min="244" max="244" width="11" style="2995" bestFit="1" customWidth="1"/>
    <col min="245" max="245" width="9.875" style="2995" bestFit="1" customWidth="1"/>
    <col min="246" max="246" width="9" style="2995"/>
    <col min="247" max="247" width="10.125" style="2995" customWidth="1"/>
    <col min="248" max="248" width="9" style="2995"/>
    <col min="249" max="249" width="9.875" style="2995" bestFit="1" customWidth="1"/>
    <col min="250" max="251" width="9" style="2995"/>
    <col min="252" max="252" width="10.75" style="2995" customWidth="1"/>
    <col min="253" max="253" width="9.875" style="2995" bestFit="1" customWidth="1"/>
    <col min="254" max="255" width="9" style="2995"/>
    <col min="256" max="256" width="9.875" style="2995" customWidth="1"/>
    <col min="257" max="259" width="9" style="2995"/>
    <col min="260" max="260" width="10.25" style="2995" customWidth="1"/>
    <col min="261" max="261" width="11" style="2995" bestFit="1" customWidth="1"/>
    <col min="262" max="434" width="9" style="2995"/>
    <col min="435" max="435" width="4" style="2995" customWidth="1"/>
    <col min="436" max="437" width="8" style="2995" customWidth="1"/>
    <col min="438" max="438" width="12.875" style="2995" customWidth="1"/>
    <col min="439" max="439" width="30.125" style="2995" customWidth="1"/>
    <col min="440" max="440" width="9.375" style="2995" customWidth="1"/>
    <col min="441" max="441" width="8.5" style="2995" customWidth="1"/>
    <col min="442" max="442" width="8" style="2995" customWidth="1"/>
    <col min="443" max="443" width="7.5" style="2995" customWidth="1"/>
    <col min="444" max="444" width="10.5" style="2995" customWidth="1"/>
    <col min="445" max="445" width="11.5" style="2995" customWidth="1"/>
    <col min="446" max="446" width="12.25" style="2995" customWidth="1"/>
    <col min="447" max="447" width="12.375" style="2995" customWidth="1"/>
    <col min="448" max="448" width="12.5" style="2995" customWidth="1"/>
    <col min="449" max="449" width="12.25" style="2995" customWidth="1"/>
    <col min="450" max="450" width="13.5" style="2995" customWidth="1"/>
    <col min="451" max="451" width="12.125" style="2995" customWidth="1"/>
    <col min="452" max="452" width="15.75" style="2995" customWidth="1"/>
    <col min="453" max="480" width="0" style="2995" hidden="1" customWidth="1"/>
    <col min="481" max="481" width="12.5" style="2995" customWidth="1"/>
    <col min="482" max="482" width="10" style="2995" customWidth="1"/>
    <col min="483" max="483" width="10.5" style="2995" customWidth="1"/>
    <col min="484" max="484" width="11.625" style="2995" customWidth="1"/>
    <col min="485" max="485" width="11.25" style="2995" customWidth="1"/>
    <col min="486" max="486" width="10" style="2995" customWidth="1"/>
    <col min="487" max="492" width="10.125" style="2995" customWidth="1"/>
    <col min="493" max="493" width="11.5" style="2995" customWidth="1"/>
    <col min="494" max="498" width="12" style="2995" customWidth="1"/>
    <col min="499" max="499" width="10.625" style="2995" customWidth="1"/>
    <col min="500" max="500" width="11" style="2995" bestFit="1" customWidth="1"/>
    <col min="501" max="501" width="9.875" style="2995" bestFit="1" customWidth="1"/>
    <col min="502" max="502" width="9" style="2995"/>
    <col min="503" max="503" width="10.125" style="2995" customWidth="1"/>
    <col min="504" max="504" width="9" style="2995"/>
    <col min="505" max="505" width="9.875" style="2995" bestFit="1" customWidth="1"/>
    <col min="506" max="507" width="9" style="2995"/>
    <col min="508" max="508" width="10.75" style="2995" customWidth="1"/>
    <col min="509" max="509" width="9.875" style="2995" bestFit="1" customWidth="1"/>
    <col min="510" max="511" width="9" style="2995"/>
    <col min="512" max="512" width="9.875" style="2995" customWidth="1"/>
    <col min="513" max="515" width="9" style="2995"/>
    <col min="516" max="516" width="10.25" style="2995" customWidth="1"/>
    <col min="517" max="517" width="11" style="2995" bestFit="1" customWidth="1"/>
    <col min="518" max="690" width="9" style="2995"/>
    <col min="691" max="691" width="4" style="2995" customWidth="1"/>
    <col min="692" max="693" width="8" style="2995" customWidth="1"/>
    <col min="694" max="694" width="12.875" style="2995" customWidth="1"/>
    <col min="695" max="695" width="30.125" style="2995" customWidth="1"/>
    <col min="696" max="696" width="9.375" style="2995" customWidth="1"/>
    <col min="697" max="697" width="8.5" style="2995" customWidth="1"/>
    <col min="698" max="698" width="8" style="2995" customWidth="1"/>
    <col min="699" max="699" width="7.5" style="2995" customWidth="1"/>
    <col min="700" max="700" width="10.5" style="2995" customWidth="1"/>
    <col min="701" max="701" width="11.5" style="2995" customWidth="1"/>
    <col min="702" max="702" width="12.25" style="2995" customWidth="1"/>
    <col min="703" max="703" width="12.375" style="2995" customWidth="1"/>
    <col min="704" max="704" width="12.5" style="2995" customWidth="1"/>
    <col min="705" max="705" width="12.25" style="2995" customWidth="1"/>
    <col min="706" max="706" width="13.5" style="2995" customWidth="1"/>
    <col min="707" max="707" width="12.125" style="2995" customWidth="1"/>
    <col min="708" max="708" width="15.75" style="2995" customWidth="1"/>
    <col min="709" max="736" width="0" style="2995" hidden="1" customWidth="1"/>
    <col min="737" max="737" width="12.5" style="2995" customWidth="1"/>
    <col min="738" max="738" width="10" style="2995" customWidth="1"/>
    <col min="739" max="739" width="10.5" style="2995" customWidth="1"/>
    <col min="740" max="740" width="11.625" style="2995" customWidth="1"/>
    <col min="741" max="741" width="11.25" style="2995" customWidth="1"/>
    <col min="742" max="742" width="10" style="2995" customWidth="1"/>
    <col min="743" max="748" width="10.125" style="2995" customWidth="1"/>
    <col min="749" max="749" width="11.5" style="2995" customWidth="1"/>
    <col min="750" max="754" width="12" style="2995" customWidth="1"/>
    <col min="755" max="755" width="10.625" style="2995" customWidth="1"/>
    <col min="756" max="756" width="11" style="2995" bestFit="1" customWidth="1"/>
    <col min="757" max="757" width="9.875" style="2995" bestFit="1" customWidth="1"/>
    <col min="758" max="758" width="9" style="2995"/>
    <col min="759" max="759" width="10.125" style="2995" customWidth="1"/>
    <col min="760" max="760" width="9" style="2995"/>
    <col min="761" max="761" width="9.875" style="2995" bestFit="1" customWidth="1"/>
    <col min="762" max="763" width="9" style="2995"/>
    <col min="764" max="764" width="10.75" style="2995" customWidth="1"/>
    <col min="765" max="765" width="9.875" style="2995" bestFit="1" customWidth="1"/>
    <col min="766" max="767" width="9" style="2995"/>
    <col min="768" max="768" width="9.875" style="2995" customWidth="1"/>
    <col min="769" max="771" width="9" style="2995"/>
    <col min="772" max="772" width="10.25" style="2995" customWidth="1"/>
    <col min="773" max="773" width="11" style="2995" bestFit="1" customWidth="1"/>
    <col min="774" max="946" width="9" style="2995"/>
    <col min="947" max="947" width="4" style="2995" customWidth="1"/>
    <col min="948" max="949" width="8" style="2995" customWidth="1"/>
    <col min="950" max="950" width="12.875" style="2995" customWidth="1"/>
    <col min="951" max="951" width="30.125" style="2995" customWidth="1"/>
    <col min="952" max="952" width="9.375" style="2995" customWidth="1"/>
    <col min="953" max="953" width="8.5" style="2995" customWidth="1"/>
    <col min="954" max="954" width="8" style="2995" customWidth="1"/>
    <col min="955" max="955" width="7.5" style="2995" customWidth="1"/>
    <col min="956" max="956" width="10.5" style="2995" customWidth="1"/>
    <col min="957" max="957" width="11.5" style="2995" customWidth="1"/>
    <col min="958" max="958" width="12.25" style="2995" customWidth="1"/>
    <col min="959" max="959" width="12.375" style="2995" customWidth="1"/>
    <col min="960" max="960" width="12.5" style="2995" customWidth="1"/>
    <col min="961" max="961" width="12.25" style="2995" customWidth="1"/>
    <col min="962" max="962" width="13.5" style="2995" customWidth="1"/>
    <col min="963" max="963" width="12.125" style="2995" customWidth="1"/>
    <col min="964" max="964" width="15.75" style="2995" customWidth="1"/>
    <col min="965" max="992" width="0" style="2995" hidden="1" customWidth="1"/>
    <col min="993" max="993" width="12.5" style="2995" customWidth="1"/>
    <col min="994" max="994" width="10" style="2995" customWidth="1"/>
    <col min="995" max="995" width="10.5" style="2995" customWidth="1"/>
    <col min="996" max="996" width="11.625" style="2995" customWidth="1"/>
    <col min="997" max="997" width="11.25" style="2995" customWidth="1"/>
    <col min="998" max="998" width="10" style="2995" customWidth="1"/>
    <col min="999" max="1004" width="10.125" style="2995" customWidth="1"/>
    <col min="1005" max="1005" width="11.5" style="2995" customWidth="1"/>
    <col min="1006" max="1010" width="12" style="2995" customWidth="1"/>
    <col min="1011" max="1011" width="10.625" style="2995" customWidth="1"/>
    <col min="1012" max="1012" width="11" style="2995" bestFit="1" customWidth="1"/>
    <col min="1013" max="1013" width="9.875" style="2995" bestFit="1" customWidth="1"/>
    <col min="1014" max="1014" width="9" style="2995"/>
    <col min="1015" max="1015" width="10.125" style="2995" customWidth="1"/>
    <col min="1016" max="1016" width="9" style="2995"/>
    <col min="1017" max="1017" width="9.875" style="2995" bestFit="1" customWidth="1"/>
    <col min="1018" max="1019" width="9" style="2995"/>
    <col min="1020" max="1020" width="10.75" style="2995" customWidth="1"/>
    <col min="1021" max="1021" width="9.875" style="2995" bestFit="1" customWidth="1"/>
    <col min="1022" max="1023" width="9" style="2995"/>
    <col min="1024" max="1024" width="9.875" style="2995" customWidth="1"/>
    <col min="1025" max="1027" width="9" style="2995"/>
    <col min="1028" max="1028" width="10.25" style="2995" customWidth="1"/>
    <col min="1029" max="1029" width="11" style="2995" bestFit="1" customWidth="1"/>
    <col min="1030" max="1202" width="9" style="2995"/>
    <col min="1203" max="1203" width="4" style="2995" customWidth="1"/>
    <col min="1204" max="1205" width="8" style="2995" customWidth="1"/>
    <col min="1206" max="1206" width="12.875" style="2995" customWidth="1"/>
    <col min="1207" max="1207" width="30.125" style="2995" customWidth="1"/>
    <col min="1208" max="1208" width="9.375" style="2995" customWidth="1"/>
    <col min="1209" max="1209" width="8.5" style="2995" customWidth="1"/>
    <col min="1210" max="1210" width="8" style="2995" customWidth="1"/>
    <col min="1211" max="1211" width="7.5" style="2995" customWidth="1"/>
    <col min="1212" max="1212" width="10.5" style="2995" customWidth="1"/>
    <col min="1213" max="1213" width="11.5" style="2995" customWidth="1"/>
    <col min="1214" max="1214" width="12.25" style="2995" customWidth="1"/>
    <col min="1215" max="1215" width="12.375" style="2995" customWidth="1"/>
    <col min="1216" max="1216" width="12.5" style="2995" customWidth="1"/>
    <col min="1217" max="1217" width="12.25" style="2995" customWidth="1"/>
    <col min="1218" max="1218" width="13.5" style="2995" customWidth="1"/>
    <col min="1219" max="1219" width="12.125" style="2995" customWidth="1"/>
    <col min="1220" max="1220" width="15.75" style="2995" customWidth="1"/>
    <col min="1221" max="1248" width="0" style="2995" hidden="1" customWidth="1"/>
    <col min="1249" max="1249" width="12.5" style="2995" customWidth="1"/>
    <col min="1250" max="1250" width="10" style="2995" customWidth="1"/>
    <col min="1251" max="1251" width="10.5" style="2995" customWidth="1"/>
    <col min="1252" max="1252" width="11.625" style="2995" customWidth="1"/>
    <col min="1253" max="1253" width="11.25" style="2995" customWidth="1"/>
    <col min="1254" max="1254" width="10" style="2995" customWidth="1"/>
    <col min="1255" max="1260" width="10.125" style="2995" customWidth="1"/>
    <col min="1261" max="1261" width="11.5" style="2995" customWidth="1"/>
    <col min="1262" max="1266" width="12" style="2995" customWidth="1"/>
    <col min="1267" max="1267" width="10.625" style="2995" customWidth="1"/>
    <col min="1268" max="1268" width="11" style="2995" bestFit="1" customWidth="1"/>
    <col min="1269" max="1269" width="9.875" style="2995" bestFit="1" customWidth="1"/>
    <col min="1270" max="1270" width="9" style="2995"/>
    <col min="1271" max="1271" width="10.125" style="2995" customWidth="1"/>
    <col min="1272" max="1272" width="9" style="2995"/>
    <col min="1273" max="1273" width="9.875" style="2995" bestFit="1" customWidth="1"/>
    <col min="1274" max="1275" width="9" style="2995"/>
    <col min="1276" max="1276" width="10.75" style="2995" customWidth="1"/>
    <col min="1277" max="1277" width="9.875" style="2995" bestFit="1" customWidth="1"/>
    <col min="1278" max="1279" width="9" style="2995"/>
    <col min="1280" max="1280" width="9.875" style="2995" customWidth="1"/>
    <col min="1281" max="1283" width="9" style="2995"/>
    <col min="1284" max="1284" width="10.25" style="2995" customWidth="1"/>
    <col min="1285" max="1285" width="11" style="2995" bestFit="1" customWidth="1"/>
    <col min="1286" max="1458" width="9" style="2995"/>
    <col min="1459" max="1459" width="4" style="2995" customWidth="1"/>
    <col min="1460" max="1461" width="8" style="2995" customWidth="1"/>
    <col min="1462" max="1462" width="12.875" style="2995" customWidth="1"/>
    <col min="1463" max="1463" width="30.125" style="2995" customWidth="1"/>
    <col min="1464" max="1464" width="9.375" style="2995" customWidth="1"/>
    <col min="1465" max="1465" width="8.5" style="2995" customWidth="1"/>
    <col min="1466" max="1466" width="8" style="2995" customWidth="1"/>
    <col min="1467" max="1467" width="7.5" style="2995" customWidth="1"/>
    <col min="1468" max="1468" width="10.5" style="2995" customWidth="1"/>
    <col min="1469" max="1469" width="11.5" style="2995" customWidth="1"/>
    <col min="1470" max="1470" width="12.25" style="2995" customWidth="1"/>
    <col min="1471" max="1471" width="12.375" style="2995" customWidth="1"/>
    <col min="1472" max="1472" width="12.5" style="2995" customWidth="1"/>
    <col min="1473" max="1473" width="12.25" style="2995" customWidth="1"/>
    <col min="1474" max="1474" width="13.5" style="2995" customWidth="1"/>
    <col min="1475" max="1475" width="12.125" style="2995" customWidth="1"/>
    <col min="1476" max="1476" width="15.75" style="2995" customWidth="1"/>
    <col min="1477" max="1504" width="0" style="2995" hidden="1" customWidth="1"/>
    <col min="1505" max="1505" width="12.5" style="2995" customWidth="1"/>
    <col min="1506" max="1506" width="10" style="2995" customWidth="1"/>
    <col min="1507" max="1507" width="10.5" style="2995" customWidth="1"/>
    <col min="1508" max="1508" width="11.625" style="2995" customWidth="1"/>
    <col min="1509" max="1509" width="11.25" style="2995" customWidth="1"/>
    <col min="1510" max="1510" width="10" style="2995" customWidth="1"/>
    <col min="1511" max="1516" width="10.125" style="2995" customWidth="1"/>
    <col min="1517" max="1517" width="11.5" style="2995" customWidth="1"/>
    <col min="1518" max="1522" width="12" style="2995" customWidth="1"/>
    <col min="1523" max="1523" width="10.625" style="2995" customWidth="1"/>
    <col min="1524" max="1524" width="11" style="2995" bestFit="1" customWidth="1"/>
    <col min="1525" max="1525" width="9.875" style="2995" bestFit="1" customWidth="1"/>
    <col min="1526" max="1526" width="9" style="2995"/>
    <col min="1527" max="1527" width="10.125" style="2995" customWidth="1"/>
    <col min="1528" max="1528" width="9" style="2995"/>
    <col min="1529" max="1529" width="9.875" style="2995" bestFit="1" customWidth="1"/>
    <col min="1530" max="1531" width="9" style="2995"/>
    <col min="1532" max="1532" width="10.75" style="2995" customWidth="1"/>
    <col min="1533" max="1533" width="9.875" style="2995" bestFit="1" customWidth="1"/>
    <col min="1534" max="1535" width="9" style="2995"/>
    <col min="1536" max="1536" width="9.875" style="2995" customWidth="1"/>
    <col min="1537" max="1539" width="9" style="2995"/>
    <col min="1540" max="1540" width="10.25" style="2995" customWidth="1"/>
    <col min="1541" max="1541" width="11" style="2995" bestFit="1" customWidth="1"/>
    <col min="1542" max="1714" width="9" style="2995"/>
    <col min="1715" max="1715" width="4" style="2995" customWidth="1"/>
    <col min="1716" max="1717" width="8" style="2995" customWidth="1"/>
    <col min="1718" max="1718" width="12.875" style="2995" customWidth="1"/>
    <col min="1719" max="1719" width="30.125" style="2995" customWidth="1"/>
    <col min="1720" max="1720" width="9.375" style="2995" customWidth="1"/>
    <col min="1721" max="1721" width="8.5" style="2995" customWidth="1"/>
    <col min="1722" max="1722" width="8" style="2995" customWidth="1"/>
    <col min="1723" max="1723" width="7.5" style="2995" customWidth="1"/>
    <col min="1724" max="1724" width="10.5" style="2995" customWidth="1"/>
    <col min="1725" max="1725" width="11.5" style="2995" customWidth="1"/>
    <col min="1726" max="1726" width="12.25" style="2995" customWidth="1"/>
    <col min="1727" max="1727" width="12.375" style="2995" customWidth="1"/>
    <col min="1728" max="1728" width="12.5" style="2995" customWidth="1"/>
    <col min="1729" max="1729" width="12.25" style="2995" customWidth="1"/>
    <col min="1730" max="1730" width="13.5" style="2995" customWidth="1"/>
    <col min="1731" max="1731" width="12.125" style="2995" customWidth="1"/>
    <col min="1732" max="1732" width="15.75" style="2995" customWidth="1"/>
    <col min="1733" max="1760" width="0" style="2995" hidden="1" customWidth="1"/>
    <col min="1761" max="1761" width="12.5" style="2995" customWidth="1"/>
    <col min="1762" max="1762" width="10" style="2995" customWidth="1"/>
    <col min="1763" max="1763" width="10.5" style="2995" customWidth="1"/>
    <col min="1764" max="1764" width="11.625" style="2995" customWidth="1"/>
    <col min="1765" max="1765" width="11.25" style="2995" customWidth="1"/>
    <col min="1766" max="1766" width="10" style="2995" customWidth="1"/>
    <col min="1767" max="1772" width="10.125" style="2995" customWidth="1"/>
    <col min="1773" max="1773" width="11.5" style="2995" customWidth="1"/>
    <col min="1774" max="1778" width="12" style="2995" customWidth="1"/>
    <col min="1779" max="1779" width="10.625" style="2995" customWidth="1"/>
    <col min="1780" max="1780" width="11" style="2995" bestFit="1" customWidth="1"/>
    <col min="1781" max="1781" width="9.875" style="2995" bestFit="1" customWidth="1"/>
    <col min="1782" max="1782" width="9" style="2995"/>
    <col min="1783" max="1783" width="10.125" style="2995" customWidth="1"/>
    <col min="1784" max="1784" width="9" style="2995"/>
    <col min="1785" max="1785" width="9.875" style="2995" bestFit="1" customWidth="1"/>
    <col min="1786" max="1787" width="9" style="2995"/>
    <col min="1788" max="1788" width="10.75" style="2995" customWidth="1"/>
    <col min="1789" max="1789" width="9.875" style="2995" bestFit="1" customWidth="1"/>
    <col min="1790" max="1791" width="9" style="2995"/>
    <col min="1792" max="1792" width="9.875" style="2995" customWidth="1"/>
    <col min="1793" max="1795" width="9" style="2995"/>
    <col min="1796" max="1796" width="10.25" style="2995" customWidth="1"/>
    <col min="1797" max="1797" width="11" style="2995" bestFit="1" customWidth="1"/>
    <col min="1798" max="1970" width="9" style="2995"/>
    <col min="1971" max="1971" width="4" style="2995" customWidth="1"/>
    <col min="1972" max="1973" width="8" style="2995" customWidth="1"/>
    <col min="1974" max="1974" width="12.875" style="2995" customWidth="1"/>
    <col min="1975" max="1975" width="30.125" style="2995" customWidth="1"/>
    <col min="1976" max="1976" width="9.375" style="2995" customWidth="1"/>
    <col min="1977" max="1977" width="8.5" style="2995" customWidth="1"/>
    <col min="1978" max="1978" width="8" style="2995" customWidth="1"/>
    <col min="1979" max="1979" width="7.5" style="2995" customWidth="1"/>
    <col min="1980" max="1980" width="10.5" style="2995" customWidth="1"/>
    <col min="1981" max="1981" width="11.5" style="2995" customWidth="1"/>
    <col min="1982" max="1982" width="12.25" style="2995" customWidth="1"/>
    <col min="1983" max="1983" width="12.375" style="2995" customWidth="1"/>
    <col min="1984" max="1984" width="12.5" style="2995" customWidth="1"/>
    <col min="1985" max="1985" width="12.25" style="2995" customWidth="1"/>
    <col min="1986" max="1986" width="13.5" style="2995" customWidth="1"/>
    <col min="1987" max="1987" width="12.125" style="2995" customWidth="1"/>
    <col min="1988" max="1988" width="15.75" style="2995" customWidth="1"/>
    <col min="1989" max="2016" width="0" style="2995" hidden="1" customWidth="1"/>
    <col min="2017" max="2017" width="12.5" style="2995" customWidth="1"/>
    <col min="2018" max="2018" width="10" style="2995" customWidth="1"/>
    <col min="2019" max="2019" width="10.5" style="2995" customWidth="1"/>
    <col min="2020" max="2020" width="11.625" style="2995" customWidth="1"/>
    <col min="2021" max="2021" width="11.25" style="2995" customWidth="1"/>
    <col min="2022" max="2022" width="10" style="2995" customWidth="1"/>
    <col min="2023" max="2028" width="10.125" style="2995" customWidth="1"/>
    <col min="2029" max="2029" width="11.5" style="2995" customWidth="1"/>
    <col min="2030" max="2034" width="12" style="2995" customWidth="1"/>
    <col min="2035" max="2035" width="10.625" style="2995" customWidth="1"/>
    <col min="2036" max="2036" width="11" style="2995" bestFit="1" customWidth="1"/>
    <col min="2037" max="2037" width="9.875" style="2995" bestFit="1" customWidth="1"/>
    <col min="2038" max="2038" width="9" style="2995"/>
    <col min="2039" max="2039" width="10.125" style="2995" customWidth="1"/>
    <col min="2040" max="2040" width="9" style="2995"/>
    <col min="2041" max="2041" width="9.875" style="2995" bestFit="1" customWidth="1"/>
    <col min="2042" max="2043" width="9" style="2995"/>
    <col min="2044" max="2044" width="10.75" style="2995" customWidth="1"/>
    <col min="2045" max="2045" width="9.875" style="2995" bestFit="1" customWidth="1"/>
    <col min="2046" max="2047" width="9" style="2995"/>
    <col min="2048" max="2048" width="9.875" style="2995" customWidth="1"/>
    <col min="2049" max="2051" width="9" style="2995"/>
    <col min="2052" max="2052" width="10.25" style="2995" customWidth="1"/>
    <col min="2053" max="2053" width="11" style="2995" bestFit="1" customWidth="1"/>
    <col min="2054" max="2226" width="9" style="2995"/>
    <col min="2227" max="2227" width="4" style="2995" customWidth="1"/>
    <col min="2228" max="2229" width="8" style="2995" customWidth="1"/>
    <col min="2230" max="2230" width="12.875" style="2995" customWidth="1"/>
    <col min="2231" max="2231" width="30.125" style="2995" customWidth="1"/>
    <col min="2232" max="2232" width="9.375" style="2995" customWidth="1"/>
    <col min="2233" max="2233" width="8.5" style="2995" customWidth="1"/>
    <col min="2234" max="2234" width="8" style="2995" customWidth="1"/>
    <col min="2235" max="2235" width="7.5" style="2995" customWidth="1"/>
    <col min="2236" max="2236" width="10.5" style="2995" customWidth="1"/>
    <col min="2237" max="2237" width="11.5" style="2995" customWidth="1"/>
    <col min="2238" max="2238" width="12.25" style="2995" customWidth="1"/>
    <col min="2239" max="2239" width="12.375" style="2995" customWidth="1"/>
    <col min="2240" max="2240" width="12.5" style="2995" customWidth="1"/>
    <col min="2241" max="2241" width="12.25" style="2995" customWidth="1"/>
    <col min="2242" max="2242" width="13.5" style="2995" customWidth="1"/>
    <col min="2243" max="2243" width="12.125" style="2995" customWidth="1"/>
    <col min="2244" max="2244" width="15.75" style="2995" customWidth="1"/>
    <col min="2245" max="2272" width="0" style="2995" hidden="1" customWidth="1"/>
    <col min="2273" max="2273" width="12.5" style="2995" customWidth="1"/>
    <col min="2274" max="2274" width="10" style="2995" customWidth="1"/>
    <col min="2275" max="2275" width="10.5" style="2995" customWidth="1"/>
    <col min="2276" max="2276" width="11.625" style="2995" customWidth="1"/>
    <col min="2277" max="2277" width="11.25" style="2995" customWidth="1"/>
    <col min="2278" max="2278" width="10" style="2995" customWidth="1"/>
    <col min="2279" max="2284" width="10.125" style="2995" customWidth="1"/>
    <col min="2285" max="2285" width="11.5" style="2995" customWidth="1"/>
    <col min="2286" max="2290" width="12" style="2995" customWidth="1"/>
    <col min="2291" max="2291" width="10.625" style="2995" customWidth="1"/>
    <col min="2292" max="2292" width="11" style="2995" bestFit="1" customWidth="1"/>
    <col min="2293" max="2293" width="9.875" style="2995" bestFit="1" customWidth="1"/>
    <col min="2294" max="2294" width="9" style="2995"/>
    <col min="2295" max="2295" width="10.125" style="2995" customWidth="1"/>
    <col min="2296" max="2296" width="9" style="2995"/>
    <col min="2297" max="2297" width="9.875" style="2995" bestFit="1" customWidth="1"/>
    <col min="2298" max="2299" width="9" style="2995"/>
    <col min="2300" max="2300" width="10.75" style="2995" customWidth="1"/>
    <col min="2301" max="2301" width="9.875" style="2995" bestFit="1" customWidth="1"/>
    <col min="2302" max="2303" width="9" style="2995"/>
    <col min="2304" max="2304" width="9.875" style="2995" customWidth="1"/>
    <col min="2305" max="2307" width="9" style="2995"/>
    <col min="2308" max="2308" width="10.25" style="2995" customWidth="1"/>
    <col min="2309" max="2309" width="11" style="2995" bestFit="1" customWidth="1"/>
    <col min="2310" max="2482" width="9" style="2995"/>
    <col min="2483" max="2483" width="4" style="2995" customWidth="1"/>
    <col min="2484" max="2485" width="8" style="2995" customWidth="1"/>
    <col min="2486" max="2486" width="12.875" style="2995" customWidth="1"/>
    <col min="2487" max="2487" width="30.125" style="2995" customWidth="1"/>
    <col min="2488" max="2488" width="9.375" style="2995" customWidth="1"/>
    <col min="2489" max="2489" width="8.5" style="2995" customWidth="1"/>
    <col min="2490" max="2490" width="8" style="2995" customWidth="1"/>
    <col min="2491" max="2491" width="7.5" style="2995" customWidth="1"/>
    <col min="2492" max="2492" width="10.5" style="2995" customWidth="1"/>
    <col min="2493" max="2493" width="11.5" style="2995" customWidth="1"/>
    <col min="2494" max="2494" width="12.25" style="2995" customWidth="1"/>
    <col min="2495" max="2495" width="12.375" style="2995" customWidth="1"/>
    <col min="2496" max="2496" width="12.5" style="2995" customWidth="1"/>
    <col min="2497" max="2497" width="12.25" style="2995" customWidth="1"/>
    <col min="2498" max="2498" width="13.5" style="2995" customWidth="1"/>
    <col min="2499" max="2499" width="12.125" style="2995" customWidth="1"/>
    <col min="2500" max="2500" width="15.75" style="2995" customWidth="1"/>
    <col min="2501" max="2528" width="0" style="2995" hidden="1" customWidth="1"/>
    <col min="2529" max="2529" width="12.5" style="2995" customWidth="1"/>
    <col min="2530" max="2530" width="10" style="2995" customWidth="1"/>
    <col min="2531" max="2531" width="10.5" style="2995" customWidth="1"/>
    <col min="2532" max="2532" width="11.625" style="2995" customWidth="1"/>
    <col min="2533" max="2533" width="11.25" style="2995" customWidth="1"/>
    <col min="2534" max="2534" width="10" style="2995" customWidth="1"/>
    <col min="2535" max="2540" width="10.125" style="2995" customWidth="1"/>
    <col min="2541" max="2541" width="11.5" style="2995" customWidth="1"/>
    <col min="2542" max="2546" width="12" style="2995" customWidth="1"/>
    <col min="2547" max="2547" width="10.625" style="2995" customWidth="1"/>
    <col min="2548" max="2548" width="11" style="2995" bestFit="1" customWidth="1"/>
    <col min="2549" max="2549" width="9.875" style="2995" bestFit="1" customWidth="1"/>
    <col min="2550" max="2550" width="9" style="2995"/>
    <col min="2551" max="2551" width="10.125" style="2995" customWidth="1"/>
    <col min="2552" max="2552" width="9" style="2995"/>
    <col min="2553" max="2553" width="9.875" style="2995" bestFit="1" customWidth="1"/>
    <col min="2554" max="2555" width="9" style="2995"/>
    <col min="2556" max="2556" width="10.75" style="2995" customWidth="1"/>
    <col min="2557" max="2557" width="9.875" style="2995" bestFit="1" customWidth="1"/>
    <col min="2558" max="2559" width="9" style="2995"/>
    <col min="2560" max="2560" width="9.875" style="2995" customWidth="1"/>
    <col min="2561" max="2563" width="9" style="2995"/>
    <col min="2564" max="2564" width="10.25" style="2995" customWidth="1"/>
    <col min="2565" max="2565" width="11" style="2995" bestFit="1" customWidth="1"/>
    <col min="2566" max="2738" width="9" style="2995"/>
    <col min="2739" max="2739" width="4" style="2995" customWidth="1"/>
    <col min="2740" max="2741" width="8" style="2995" customWidth="1"/>
    <col min="2742" max="2742" width="12.875" style="2995" customWidth="1"/>
    <col min="2743" max="2743" width="30.125" style="2995" customWidth="1"/>
    <col min="2744" max="2744" width="9.375" style="2995" customWidth="1"/>
    <col min="2745" max="2745" width="8.5" style="2995" customWidth="1"/>
    <col min="2746" max="2746" width="8" style="2995" customWidth="1"/>
    <col min="2747" max="2747" width="7.5" style="2995" customWidth="1"/>
    <col min="2748" max="2748" width="10.5" style="2995" customWidth="1"/>
    <col min="2749" max="2749" width="11.5" style="2995" customWidth="1"/>
    <col min="2750" max="2750" width="12.25" style="2995" customWidth="1"/>
    <col min="2751" max="2751" width="12.375" style="2995" customWidth="1"/>
    <col min="2752" max="2752" width="12.5" style="2995" customWidth="1"/>
    <col min="2753" max="2753" width="12.25" style="2995" customWidth="1"/>
    <col min="2754" max="2754" width="13.5" style="2995" customWidth="1"/>
    <col min="2755" max="2755" width="12.125" style="2995" customWidth="1"/>
    <col min="2756" max="2756" width="15.75" style="2995" customWidth="1"/>
    <col min="2757" max="2784" width="0" style="2995" hidden="1" customWidth="1"/>
    <col min="2785" max="2785" width="12.5" style="2995" customWidth="1"/>
    <col min="2786" max="2786" width="10" style="2995" customWidth="1"/>
    <col min="2787" max="2787" width="10.5" style="2995" customWidth="1"/>
    <col min="2788" max="2788" width="11.625" style="2995" customWidth="1"/>
    <col min="2789" max="2789" width="11.25" style="2995" customWidth="1"/>
    <col min="2790" max="2790" width="10" style="2995" customWidth="1"/>
    <col min="2791" max="2796" width="10.125" style="2995" customWidth="1"/>
    <col min="2797" max="2797" width="11.5" style="2995" customWidth="1"/>
    <col min="2798" max="2802" width="12" style="2995" customWidth="1"/>
    <col min="2803" max="2803" width="10.625" style="2995" customWidth="1"/>
    <col min="2804" max="2804" width="11" style="2995" bestFit="1" customWidth="1"/>
    <col min="2805" max="2805" width="9.875" style="2995" bestFit="1" customWidth="1"/>
    <col min="2806" max="2806" width="9" style="2995"/>
    <col min="2807" max="2807" width="10.125" style="2995" customWidth="1"/>
    <col min="2808" max="2808" width="9" style="2995"/>
    <col min="2809" max="2809" width="9.875" style="2995" bestFit="1" customWidth="1"/>
    <col min="2810" max="2811" width="9" style="2995"/>
    <col min="2812" max="2812" width="10.75" style="2995" customWidth="1"/>
    <col min="2813" max="2813" width="9.875" style="2995" bestFit="1" customWidth="1"/>
    <col min="2814" max="2815" width="9" style="2995"/>
    <col min="2816" max="2816" width="9.875" style="2995" customWidth="1"/>
    <col min="2817" max="2819" width="9" style="2995"/>
    <col min="2820" max="2820" width="10.25" style="2995" customWidth="1"/>
    <col min="2821" max="2821" width="11" style="2995" bestFit="1" customWidth="1"/>
    <col min="2822" max="2994" width="9" style="2995"/>
    <col min="2995" max="2995" width="4" style="2995" customWidth="1"/>
    <col min="2996" max="2997" width="8" style="2995" customWidth="1"/>
    <col min="2998" max="2998" width="12.875" style="2995" customWidth="1"/>
    <col min="2999" max="2999" width="30.125" style="2995" customWidth="1"/>
    <col min="3000" max="3000" width="9.375" style="2995" customWidth="1"/>
    <col min="3001" max="3001" width="8.5" style="2995" customWidth="1"/>
    <col min="3002" max="3002" width="8" style="2995" customWidth="1"/>
    <col min="3003" max="3003" width="7.5" style="2995" customWidth="1"/>
    <col min="3004" max="3004" width="10.5" style="2995" customWidth="1"/>
    <col min="3005" max="3005" width="11.5" style="2995" customWidth="1"/>
    <col min="3006" max="3006" width="12.25" style="2995" customWidth="1"/>
    <col min="3007" max="3007" width="12.375" style="2995" customWidth="1"/>
    <col min="3008" max="3008" width="12.5" style="2995" customWidth="1"/>
    <col min="3009" max="3009" width="12.25" style="2995" customWidth="1"/>
    <col min="3010" max="3010" width="13.5" style="2995" customWidth="1"/>
    <col min="3011" max="3011" width="12.125" style="2995" customWidth="1"/>
    <col min="3012" max="3012" width="15.75" style="2995" customWidth="1"/>
    <col min="3013" max="3040" width="0" style="2995" hidden="1" customWidth="1"/>
    <col min="3041" max="3041" width="12.5" style="2995" customWidth="1"/>
    <col min="3042" max="3042" width="10" style="2995" customWidth="1"/>
    <col min="3043" max="3043" width="10.5" style="2995" customWidth="1"/>
    <col min="3044" max="3044" width="11.625" style="2995" customWidth="1"/>
    <col min="3045" max="3045" width="11.25" style="2995" customWidth="1"/>
    <col min="3046" max="3046" width="10" style="2995" customWidth="1"/>
    <col min="3047" max="3052" width="10.125" style="2995" customWidth="1"/>
    <col min="3053" max="3053" width="11.5" style="2995" customWidth="1"/>
    <col min="3054" max="3058" width="12" style="2995" customWidth="1"/>
    <col min="3059" max="3059" width="10.625" style="2995" customWidth="1"/>
    <col min="3060" max="3060" width="11" style="2995" bestFit="1" customWidth="1"/>
    <col min="3061" max="3061" width="9.875" style="2995" bestFit="1" customWidth="1"/>
    <col min="3062" max="3062" width="9" style="2995"/>
    <col min="3063" max="3063" width="10.125" style="2995" customWidth="1"/>
    <col min="3064" max="3064" width="9" style="2995"/>
    <col min="3065" max="3065" width="9.875" style="2995" bestFit="1" customWidth="1"/>
    <col min="3066" max="3067" width="9" style="2995"/>
    <col min="3068" max="3068" width="10.75" style="2995" customWidth="1"/>
    <col min="3069" max="3069" width="9.875" style="2995" bestFit="1" customWidth="1"/>
    <col min="3070" max="3071" width="9" style="2995"/>
    <col min="3072" max="3072" width="9.875" style="2995" customWidth="1"/>
    <col min="3073" max="3075" width="9" style="2995"/>
    <col min="3076" max="3076" width="10.25" style="2995" customWidth="1"/>
    <col min="3077" max="3077" width="11" style="2995" bestFit="1" customWidth="1"/>
    <col min="3078" max="3250" width="9" style="2995"/>
    <col min="3251" max="3251" width="4" style="2995" customWidth="1"/>
    <col min="3252" max="3253" width="8" style="2995" customWidth="1"/>
    <col min="3254" max="3254" width="12.875" style="2995" customWidth="1"/>
    <col min="3255" max="3255" width="30.125" style="2995" customWidth="1"/>
    <col min="3256" max="3256" width="9.375" style="2995" customWidth="1"/>
    <col min="3257" max="3257" width="8.5" style="2995" customWidth="1"/>
    <col min="3258" max="3258" width="8" style="2995" customWidth="1"/>
    <col min="3259" max="3259" width="7.5" style="2995" customWidth="1"/>
    <col min="3260" max="3260" width="10.5" style="2995" customWidth="1"/>
    <col min="3261" max="3261" width="11.5" style="2995" customWidth="1"/>
    <col min="3262" max="3262" width="12.25" style="2995" customWidth="1"/>
    <col min="3263" max="3263" width="12.375" style="2995" customWidth="1"/>
    <col min="3264" max="3264" width="12.5" style="2995" customWidth="1"/>
    <col min="3265" max="3265" width="12.25" style="2995" customWidth="1"/>
    <col min="3266" max="3266" width="13.5" style="2995" customWidth="1"/>
    <col min="3267" max="3267" width="12.125" style="2995" customWidth="1"/>
    <col min="3268" max="3268" width="15.75" style="2995" customWidth="1"/>
    <col min="3269" max="3296" width="0" style="2995" hidden="1" customWidth="1"/>
    <col min="3297" max="3297" width="12.5" style="2995" customWidth="1"/>
    <col min="3298" max="3298" width="10" style="2995" customWidth="1"/>
    <col min="3299" max="3299" width="10.5" style="2995" customWidth="1"/>
    <col min="3300" max="3300" width="11.625" style="2995" customWidth="1"/>
    <col min="3301" max="3301" width="11.25" style="2995" customWidth="1"/>
    <col min="3302" max="3302" width="10" style="2995" customWidth="1"/>
    <col min="3303" max="3308" width="10.125" style="2995" customWidth="1"/>
    <col min="3309" max="3309" width="11.5" style="2995" customWidth="1"/>
    <col min="3310" max="3314" width="12" style="2995" customWidth="1"/>
    <col min="3315" max="3315" width="10.625" style="2995" customWidth="1"/>
    <col min="3316" max="3316" width="11" style="2995" bestFit="1" customWidth="1"/>
    <col min="3317" max="3317" width="9.875" style="2995" bestFit="1" customWidth="1"/>
    <col min="3318" max="3318" width="9" style="2995"/>
    <col min="3319" max="3319" width="10.125" style="2995" customWidth="1"/>
    <col min="3320" max="3320" width="9" style="2995"/>
    <col min="3321" max="3321" width="9.875" style="2995" bestFit="1" customWidth="1"/>
    <col min="3322" max="3323" width="9" style="2995"/>
    <col min="3324" max="3324" width="10.75" style="2995" customWidth="1"/>
    <col min="3325" max="3325" width="9.875" style="2995" bestFit="1" customWidth="1"/>
    <col min="3326" max="3327" width="9" style="2995"/>
    <col min="3328" max="3328" width="9.875" style="2995" customWidth="1"/>
    <col min="3329" max="3331" width="9" style="2995"/>
    <col min="3332" max="3332" width="10.25" style="2995" customWidth="1"/>
    <col min="3333" max="3333" width="11" style="2995" bestFit="1" customWidth="1"/>
    <col min="3334" max="3506" width="9" style="2995"/>
    <col min="3507" max="3507" width="4" style="2995" customWidth="1"/>
    <col min="3508" max="3509" width="8" style="2995" customWidth="1"/>
    <col min="3510" max="3510" width="12.875" style="2995" customWidth="1"/>
    <col min="3511" max="3511" width="30.125" style="2995" customWidth="1"/>
    <col min="3512" max="3512" width="9.375" style="2995" customWidth="1"/>
    <col min="3513" max="3513" width="8.5" style="2995" customWidth="1"/>
    <col min="3514" max="3514" width="8" style="2995" customWidth="1"/>
    <col min="3515" max="3515" width="7.5" style="2995" customWidth="1"/>
    <col min="3516" max="3516" width="10.5" style="2995" customWidth="1"/>
    <col min="3517" max="3517" width="11.5" style="2995" customWidth="1"/>
    <col min="3518" max="3518" width="12.25" style="2995" customWidth="1"/>
    <col min="3519" max="3519" width="12.375" style="2995" customWidth="1"/>
    <col min="3520" max="3520" width="12.5" style="2995" customWidth="1"/>
    <col min="3521" max="3521" width="12.25" style="2995" customWidth="1"/>
    <col min="3522" max="3522" width="13.5" style="2995" customWidth="1"/>
    <col min="3523" max="3523" width="12.125" style="2995" customWidth="1"/>
    <col min="3524" max="3524" width="15.75" style="2995" customWidth="1"/>
    <col min="3525" max="3552" width="0" style="2995" hidden="1" customWidth="1"/>
    <col min="3553" max="3553" width="12.5" style="2995" customWidth="1"/>
    <col min="3554" max="3554" width="10" style="2995" customWidth="1"/>
    <col min="3555" max="3555" width="10.5" style="2995" customWidth="1"/>
    <col min="3556" max="3556" width="11.625" style="2995" customWidth="1"/>
    <col min="3557" max="3557" width="11.25" style="2995" customWidth="1"/>
    <col min="3558" max="3558" width="10" style="2995" customWidth="1"/>
    <col min="3559" max="3564" width="10.125" style="2995" customWidth="1"/>
    <col min="3565" max="3565" width="11.5" style="2995" customWidth="1"/>
    <col min="3566" max="3570" width="12" style="2995" customWidth="1"/>
    <col min="3571" max="3571" width="10.625" style="2995" customWidth="1"/>
    <col min="3572" max="3572" width="11" style="2995" bestFit="1" customWidth="1"/>
    <col min="3573" max="3573" width="9.875" style="2995" bestFit="1" customWidth="1"/>
    <col min="3574" max="3574" width="9" style="2995"/>
    <col min="3575" max="3575" width="10.125" style="2995" customWidth="1"/>
    <col min="3576" max="3576" width="9" style="2995"/>
    <col min="3577" max="3577" width="9.875" style="2995" bestFit="1" customWidth="1"/>
    <col min="3578" max="3579" width="9" style="2995"/>
    <col min="3580" max="3580" width="10.75" style="2995" customWidth="1"/>
    <col min="3581" max="3581" width="9.875" style="2995" bestFit="1" customWidth="1"/>
    <col min="3582" max="3583" width="9" style="2995"/>
    <col min="3584" max="3584" width="9.875" style="2995" customWidth="1"/>
    <col min="3585" max="3587" width="9" style="2995"/>
    <col min="3588" max="3588" width="10.25" style="2995" customWidth="1"/>
    <col min="3589" max="3589" width="11" style="2995" bestFit="1" customWidth="1"/>
    <col min="3590" max="3762" width="9" style="2995"/>
    <col min="3763" max="3763" width="4" style="2995" customWidth="1"/>
    <col min="3764" max="3765" width="8" style="2995" customWidth="1"/>
    <col min="3766" max="3766" width="12.875" style="2995" customWidth="1"/>
    <col min="3767" max="3767" width="30.125" style="2995" customWidth="1"/>
    <col min="3768" max="3768" width="9.375" style="2995" customWidth="1"/>
    <col min="3769" max="3769" width="8.5" style="2995" customWidth="1"/>
    <col min="3770" max="3770" width="8" style="2995" customWidth="1"/>
    <col min="3771" max="3771" width="7.5" style="2995" customWidth="1"/>
    <col min="3772" max="3772" width="10.5" style="2995" customWidth="1"/>
    <col min="3773" max="3773" width="11.5" style="2995" customWidth="1"/>
    <col min="3774" max="3774" width="12.25" style="2995" customWidth="1"/>
    <col min="3775" max="3775" width="12.375" style="2995" customWidth="1"/>
    <col min="3776" max="3776" width="12.5" style="2995" customWidth="1"/>
    <col min="3777" max="3777" width="12.25" style="2995" customWidth="1"/>
    <col min="3778" max="3778" width="13.5" style="2995" customWidth="1"/>
    <col min="3779" max="3779" width="12.125" style="2995" customWidth="1"/>
    <col min="3780" max="3780" width="15.75" style="2995" customWidth="1"/>
    <col min="3781" max="3808" width="0" style="2995" hidden="1" customWidth="1"/>
    <col min="3809" max="3809" width="12.5" style="2995" customWidth="1"/>
    <col min="3810" max="3810" width="10" style="2995" customWidth="1"/>
    <col min="3811" max="3811" width="10.5" style="2995" customWidth="1"/>
    <col min="3812" max="3812" width="11.625" style="2995" customWidth="1"/>
    <col min="3813" max="3813" width="11.25" style="2995" customWidth="1"/>
    <col min="3814" max="3814" width="10" style="2995" customWidth="1"/>
    <col min="3815" max="3820" width="10.125" style="2995" customWidth="1"/>
    <col min="3821" max="3821" width="11.5" style="2995" customWidth="1"/>
    <col min="3822" max="3826" width="12" style="2995" customWidth="1"/>
    <col min="3827" max="3827" width="10.625" style="2995" customWidth="1"/>
    <col min="3828" max="3828" width="11" style="2995" bestFit="1" customWidth="1"/>
    <col min="3829" max="3829" width="9.875" style="2995" bestFit="1" customWidth="1"/>
    <col min="3830" max="3830" width="9" style="2995"/>
    <col min="3831" max="3831" width="10.125" style="2995" customWidth="1"/>
    <col min="3832" max="3832" width="9" style="2995"/>
    <col min="3833" max="3833" width="9.875" style="2995" bestFit="1" customWidth="1"/>
    <col min="3834" max="3835" width="9" style="2995"/>
    <col min="3836" max="3836" width="10.75" style="2995" customWidth="1"/>
    <col min="3837" max="3837" width="9.875" style="2995" bestFit="1" customWidth="1"/>
    <col min="3838" max="3839" width="9" style="2995"/>
    <col min="3840" max="3840" width="9.875" style="2995" customWidth="1"/>
    <col min="3841" max="3843" width="9" style="2995"/>
    <col min="3844" max="3844" width="10.25" style="2995" customWidth="1"/>
    <col min="3845" max="3845" width="11" style="2995" bestFit="1" customWidth="1"/>
    <col min="3846" max="4018" width="9" style="2995"/>
    <col min="4019" max="4019" width="4" style="2995" customWidth="1"/>
    <col min="4020" max="4021" width="8" style="2995" customWidth="1"/>
    <col min="4022" max="4022" width="12.875" style="2995" customWidth="1"/>
    <col min="4023" max="4023" width="30.125" style="2995" customWidth="1"/>
    <col min="4024" max="4024" width="9.375" style="2995" customWidth="1"/>
    <col min="4025" max="4025" width="8.5" style="2995" customWidth="1"/>
    <col min="4026" max="4026" width="8" style="2995" customWidth="1"/>
    <col min="4027" max="4027" width="7.5" style="2995" customWidth="1"/>
    <col min="4028" max="4028" width="10.5" style="2995" customWidth="1"/>
    <col min="4029" max="4029" width="11.5" style="2995" customWidth="1"/>
    <col min="4030" max="4030" width="12.25" style="2995" customWidth="1"/>
    <col min="4031" max="4031" width="12.375" style="2995" customWidth="1"/>
    <col min="4032" max="4032" width="12.5" style="2995" customWidth="1"/>
    <col min="4033" max="4033" width="12.25" style="2995" customWidth="1"/>
    <col min="4034" max="4034" width="13.5" style="2995" customWidth="1"/>
    <col min="4035" max="4035" width="12.125" style="2995" customWidth="1"/>
    <col min="4036" max="4036" width="15.75" style="2995" customWidth="1"/>
    <col min="4037" max="4064" width="0" style="2995" hidden="1" customWidth="1"/>
    <col min="4065" max="4065" width="12.5" style="2995" customWidth="1"/>
    <col min="4066" max="4066" width="10" style="2995" customWidth="1"/>
    <col min="4067" max="4067" width="10.5" style="2995" customWidth="1"/>
    <col min="4068" max="4068" width="11.625" style="2995" customWidth="1"/>
    <col min="4069" max="4069" width="11.25" style="2995" customWidth="1"/>
    <col min="4070" max="4070" width="10" style="2995" customWidth="1"/>
    <col min="4071" max="4076" width="10.125" style="2995" customWidth="1"/>
    <col min="4077" max="4077" width="11.5" style="2995" customWidth="1"/>
    <col min="4078" max="4082" width="12" style="2995" customWidth="1"/>
    <col min="4083" max="4083" width="10.625" style="2995" customWidth="1"/>
    <col min="4084" max="4084" width="11" style="2995" bestFit="1" customWidth="1"/>
    <col min="4085" max="4085" width="9.875" style="2995" bestFit="1" customWidth="1"/>
    <col min="4086" max="4086" width="9" style="2995"/>
    <col min="4087" max="4087" width="10.125" style="2995" customWidth="1"/>
    <col min="4088" max="4088" width="9" style="2995"/>
    <col min="4089" max="4089" width="9.875" style="2995" bestFit="1" customWidth="1"/>
    <col min="4090" max="4091" width="9" style="2995"/>
    <col min="4092" max="4092" width="10.75" style="2995" customWidth="1"/>
    <col min="4093" max="4093" width="9.875" style="2995" bestFit="1" customWidth="1"/>
    <col min="4094" max="4095" width="9" style="2995"/>
    <col min="4096" max="4096" width="9.875" style="2995" customWidth="1"/>
    <col min="4097" max="4099" width="9" style="2995"/>
    <col min="4100" max="4100" width="10.25" style="2995" customWidth="1"/>
    <col min="4101" max="4101" width="11" style="2995" bestFit="1" customWidth="1"/>
    <col min="4102" max="4274" width="9" style="2995"/>
    <col min="4275" max="4275" width="4" style="2995" customWidth="1"/>
    <col min="4276" max="4277" width="8" style="2995" customWidth="1"/>
    <col min="4278" max="4278" width="12.875" style="2995" customWidth="1"/>
    <col min="4279" max="4279" width="30.125" style="2995" customWidth="1"/>
    <col min="4280" max="4280" width="9.375" style="2995" customWidth="1"/>
    <col min="4281" max="4281" width="8.5" style="2995" customWidth="1"/>
    <col min="4282" max="4282" width="8" style="2995" customWidth="1"/>
    <col min="4283" max="4283" width="7.5" style="2995" customWidth="1"/>
    <col min="4284" max="4284" width="10.5" style="2995" customWidth="1"/>
    <col min="4285" max="4285" width="11.5" style="2995" customWidth="1"/>
    <col min="4286" max="4286" width="12.25" style="2995" customWidth="1"/>
    <col min="4287" max="4287" width="12.375" style="2995" customWidth="1"/>
    <col min="4288" max="4288" width="12.5" style="2995" customWidth="1"/>
    <col min="4289" max="4289" width="12.25" style="2995" customWidth="1"/>
    <col min="4290" max="4290" width="13.5" style="2995" customWidth="1"/>
    <col min="4291" max="4291" width="12.125" style="2995" customWidth="1"/>
    <col min="4292" max="4292" width="15.75" style="2995" customWidth="1"/>
    <col min="4293" max="4320" width="0" style="2995" hidden="1" customWidth="1"/>
    <col min="4321" max="4321" width="12.5" style="2995" customWidth="1"/>
    <col min="4322" max="4322" width="10" style="2995" customWidth="1"/>
    <col min="4323" max="4323" width="10.5" style="2995" customWidth="1"/>
    <col min="4324" max="4324" width="11.625" style="2995" customWidth="1"/>
    <col min="4325" max="4325" width="11.25" style="2995" customWidth="1"/>
    <col min="4326" max="4326" width="10" style="2995" customWidth="1"/>
    <col min="4327" max="4332" width="10.125" style="2995" customWidth="1"/>
    <col min="4333" max="4333" width="11.5" style="2995" customWidth="1"/>
    <col min="4334" max="4338" width="12" style="2995" customWidth="1"/>
    <col min="4339" max="4339" width="10.625" style="2995" customWidth="1"/>
    <col min="4340" max="4340" width="11" style="2995" bestFit="1" customWidth="1"/>
    <col min="4341" max="4341" width="9.875" style="2995" bestFit="1" customWidth="1"/>
    <col min="4342" max="4342" width="9" style="2995"/>
    <col min="4343" max="4343" width="10.125" style="2995" customWidth="1"/>
    <col min="4344" max="4344" width="9" style="2995"/>
    <col min="4345" max="4345" width="9.875" style="2995" bestFit="1" customWidth="1"/>
    <col min="4346" max="4347" width="9" style="2995"/>
    <col min="4348" max="4348" width="10.75" style="2995" customWidth="1"/>
    <col min="4349" max="4349" width="9.875" style="2995" bestFit="1" customWidth="1"/>
    <col min="4350" max="4351" width="9" style="2995"/>
    <col min="4352" max="4352" width="9.875" style="2995" customWidth="1"/>
    <col min="4353" max="4355" width="9" style="2995"/>
    <col min="4356" max="4356" width="10.25" style="2995" customWidth="1"/>
    <col min="4357" max="4357" width="11" style="2995" bestFit="1" customWidth="1"/>
    <col min="4358" max="4530" width="9" style="2995"/>
    <col min="4531" max="4531" width="4" style="2995" customWidth="1"/>
    <col min="4532" max="4533" width="8" style="2995" customWidth="1"/>
    <col min="4534" max="4534" width="12.875" style="2995" customWidth="1"/>
    <col min="4535" max="4535" width="30.125" style="2995" customWidth="1"/>
    <col min="4536" max="4536" width="9.375" style="2995" customWidth="1"/>
    <col min="4537" max="4537" width="8.5" style="2995" customWidth="1"/>
    <col min="4538" max="4538" width="8" style="2995" customWidth="1"/>
    <col min="4539" max="4539" width="7.5" style="2995" customWidth="1"/>
    <col min="4540" max="4540" width="10.5" style="2995" customWidth="1"/>
    <col min="4541" max="4541" width="11.5" style="2995" customWidth="1"/>
    <col min="4542" max="4542" width="12.25" style="2995" customWidth="1"/>
    <col min="4543" max="4543" width="12.375" style="2995" customWidth="1"/>
    <col min="4544" max="4544" width="12.5" style="2995" customWidth="1"/>
    <col min="4545" max="4545" width="12.25" style="2995" customWidth="1"/>
    <col min="4546" max="4546" width="13.5" style="2995" customWidth="1"/>
    <col min="4547" max="4547" width="12.125" style="2995" customWidth="1"/>
    <col min="4548" max="4548" width="15.75" style="2995" customWidth="1"/>
    <col min="4549" max="4576" width="0" style="2995" hidden="1" customWidth="1"/>
    <col min="4577" max="4577" width="12.5" style="2995" customWidth="1"/>
    <col min="4578" max="4578" width="10" style="2995" customWidth="1"/>
    <col min="4579" max="4579" width="10.5" style="2995" customWidth="1"/>
    <col min="4580" max="4580" width="11.625" style="2995" customWidth="1"/>
    <col min="4581" max="4581" width="11.25" style="2995" customWidth="1"/>
    <col min="4582" max="4582" width="10" style="2995" customWidth="1"/>
    <col min="4583" max="4588" width="10.125" style="2995" customWidth="1"/>
    <col min="4589" max="4589" width="11.5" style="2995" customWidth="1"/>
    <col min="4590" max="4594" width="12" style="2995" customWidth="1"/>
    <col min="4595" max="4595" width="10.625" style="2995" customWidth="1"/>
    <col min="4596" max="4596" width="11" style="2995" bestFit="1" customWidth="1"/>
    <col min="4597" max="4597" width="9.875" style="2995" bestFit="1" customWidth="1"/>
    <col min="4598" max="4598" width="9" style="2995"/>
    <col min="4599" max="4599" width="10.125" style="2995" customWidth="1"/>
    <col min="4600" max="4600" width="9" style="2995"/>
    <col min="4601" max="4601" width="9.875" style="2995" bestFit="1" customWidth="1"/>
    <col min="4602" max="4603" width="9" style="2995"/>
    <col min="4604" max="4604" width="10.75" style="2995" customWidth="1"/>
    <col min="4605" max="4605" width="9.875" style="2995" bestFit="1" customWidth="1"/>
    <col min="4606" max="4607" width="9" style="2995"/>
    <col min="4608" max="4608" width="9.875" style="2995" customWidth="1"/>
    <col min="4609" max="4611" width="9" style="2995"/>
    <col min="4612" max="4612" width="10.25" style="2995" customWidth="1"/>
    <col min="4613" max="4613" width="11" style="2995" bestFit="1" customWidth="1"/>
    <col min="4614" max="4786" width="9" style="2995"/>
    <col min="4787" max="4787" width="4" style="2995" customWidth="1"/>
    <col min="4788" max="4789" width="8" style="2995" customWidth="1"/>
    <col min="4790" max="4790" width="12.875" style="2995" customWidth="1"/>
    <col min="4791" max="4791" width="30.125" style="2995" customWidth="1"/>
    <col min="4792" max="4792" width="9.375" style="2995" customWidth="1"/>
    <col min="4793" max="4793" width="8.5" style="2995" customWidth="1"/>
    <col min="4794" max="4794" width="8" style="2995" customWidth="1"/>
    <col min="4795" max="4795" width="7.5" style="2995" customWidth="1"/>
    <col min="4796" max="4796" width="10.5" style="2995" customWidth="1"/>
    <col min="4797" max="4797" width="11.5" style="2995" customWidth="1"/>
    <col min="4798" max="4798" width="12.25" style="2995" customWidth="1"/>
    <col min="4799" max="4799" width="12.375" style="2995" customWidth="1"/>
    <col min="4800" max="4800" width="12.5" style="2995" customWidth="1"/>
    <col min="4801" max="4801" width="12.25" style="2995" customWidth="1"/>
    <col min="4802" max="4802" width="13.5" style="2995" customWidth="1"/>
    <col min="4803" max="4803" width="12.125" style="2995" customWidth="1"/>
    <col min="4804" max="4804" width="15.75" style="2995" customWidth="1"/>
    <col min="4805" max="4832" width="0" style="2995" hidden="1" customWidth="1"/>
    <col min="4833" max="4833" width="12.5" style="2995" customWidth="1"/>
    <col min="4834" max="4834" width="10" style="2995" customWidth="1"/>
    <col min="4835" max="4835" width="10.5" style="2995" customWidth="1"/>
    <col min="4836" max="4836" width="11.625" style="2995" customWidth="1"/>
    <col min="4837" max="4837" width="11.25" style="2995" customWidth="1"/>
    <col min="4838" max="4838" width="10" style="2995" customWidth="1"/>
    <col min="4839" max="4844" width="10.125" style="2995" customWidth="1"/>
    <col min="4845" max="4845" width="11.5" style="2995" customWidth="1"/>
    <col min="4846" max="4850" width="12" style="2995" customWidth="1"/>
    <col min="4851" max="4851" width="10.625" style="2995" customWidth="1"/>
    <col min="4852" max="4852" width="11" style="2995" bestFit="1" customWidth="1"/>
    <col min="4853" max="4853" width="9.875" style="2995" bestFit="1" customWidth="1"/>
    <col min="4854" max="4854" width="9" style="2995"/>
    <col min="4855" max="4855" width="10.125" style="2995" customWidth="1"/>
    <col min="4856" max="4856" width="9" style="2995"/>
    <col min="4857" max="4857" width="9.875" style="2995" bestFit="1" customWidth="1"/>
    <col min="4858" max="4859" width="9" style="2995"/>
    <col min="4860" max="4860" width="10.75" style="2995" customWidth="1"/>
    <col min="4861" max="4861" width="9.875" style="2995" bestFit="1" customWidth="1"/>
    <col min="4862" max="4863" width="9" style="2995"/>
    <col min="4864" max="4864" width="9.875" style="2995" customWidth="1"/>
    <col min="4865" max="4867" width="9" style="2995"/>
    <col min="4868" max="4868" width="10.25" style="2995" customWidth="1"/>
    <col min="4869" max="4869" width="11" style="2995" bestFit="1" customWidth="1"/>
    <col min="4870" max="5042" width="9" style="2995"/>
    <col min="5043" max="5043" width="4" style="2995" customWidth="1"/>
    <col min="5044" max="5045" width="8" style="2995" customWidth="1"/>
    <col min="5046" max="5046" width="12.875" style="2995" customWidth="1"/>
    <col min="5047" max="5047" width="30.125" style="2995" customWidth="1"/>
    <col min="5048" max="5048" width="9.375" style="2995" customWidth="1"/>
    <col min="5049" max="5049" width="8.5" style="2995" customWidth="1"/>
    <col min="5050" max="5050" width="8" style="2995" customWidth="1"/>
    <col min="5051" max="5051" width="7.5" style="2995" customWidth="1"/>
    <col min="5052" max="5052" width="10.5" style="2995" customWidth="1"/>
    <col min="5053" max="5053" width="11.5" style="2995" customWidth="1"/>
    <col min="5054" max="5054" width="12.25" style="2995" customWidth="1"/>
    <col min="5055" max="5055" width="12.375" style="2995" customWidth="1"/>
    <col min="5056" max="5056" width="12.5" style="2995" customWidth="1"/>
    <col min="5057" max="5057" width="12.25" style="2995" customWidth="1"/>
    <col min="5058" max="5058" width="13.5" style="2995" customWidth="1"/>
    <col min="5059" max="5059" width="12.125" style="2995" customWidth="1"/>
    <col min="5060" max="5060" width="15.75" style="2995" customWidth="1"/>
    <col min="5061" max="5088" width="0" style="2995" hidden="1" customWidth="1"/>
    <col min="5089" max="5089" width="12.5" style="2995" customWidth="1"/>
    <col min="5090" max="5090" width="10" style="2995" customWidth="1"/>
    <col min="5091" max="5091" width="10.5" style="2995" customWidth="1"/>
    <col min="5092" max="5092" width="11.625" style="2995" customWidth="1"/>
    <col min="5093" max="5093" width="11.25" style="2995" customWidth="1"/>
    <col min="5094" max="5094" width="10" style="2995" customWidth="1"/>
    <col min="5095" max="5100" width="10.125" style="2995" customWidth="1"/>
    <col min="5101" max="5101" width="11.5" style="2995" customWidth="1"/>
    <col min="5102" max="5106" width="12" style="2995" customWidth="1"/>
    <col min="5107" max="5107" width="10.625" style="2995" customWidth="1"/>
    <col min="5108" max="5108" width="11" style="2995" bestFit="1" customWidth="1"/>
    <col min="5109" max="5109" width="9.875" style="2995" bestFit="1" customWidth="1"/>
    <col min="5110" max="5110" width="9" style="2995"/>
    <col min="5111" max="5111" width="10.125" style="2995" customWidth="1"/>
    <col min="5112" max="5112" width="9" style="2995"/>
    <col min="5113" max="5113" width="9.875" style="2995" bestFit="1" customWidth="1"/>
    <col min="5114" max="5115" width="9" style="2995"/>
    <col min="5116" max="5116" width="10.75" style="2995" customWidth="1"/>
    <col min="5117" max="5117" width="9.875" style="2995" bestFit="1" customWidth="1"/>
    <col min="5118" max="5119" width="9" style="2995"/>
    <col min="5120" max="5120" width="9.875" style="2995" customWidth="1"/>
    <col min="5121" max="5123" width="9" style="2995"/>
    <col min="5124" max="5124" width="10.25" style="2995" customWidth="1"/>
    <col min="5125" max="5125" width="11" style="2995" bestFit="1" customWidth="1"/>
    <col min="5126" max="5298" width="9" style="2995"/>
    <col min="5299" max="5299" width="4" style="2995" customWidth="1"/>
    <col min="5300" max="5301" width="8" style="2995" customWidth="1"/>
    <col min="5302" max="5302" width="12.875" style="2995" customWidth="1"/>
    <col min="5303" max="5303" width="30.125" style="2995" customWidth="1"/>
    <col min="5304" max="5304" width="9.375" style="2995" customWidth="1"/>
    <col min="5305" max="5305" width="8.5" style="2995" customWidth="1"/>
    <col min="5306" max="5306" width="8" style="2995" customWidth="1"/>
    <col min="5307" max="5307" width="7.5" style="2995" customWidth="1"/>
    <col min="5308" max="5308" width="10.5" style="2995" customWidth="1"/>
    <col min="5309" max="5309" width="11.5" style="2995" customWidth="1"/>
    <col min="5310" max="5310" width="12.25" style="2995" customWidth="1"/>
    <col min="5311" max="5311" width="12.375" style="2995" customWidth="1"/>
    <col min="5312" max="5312" width="12.5" style="2995" customWidth="1"/>
    <col min="5313" max="5313" width="12.25" style="2995" customWidth="1"/>
    <col min="5314" max="5314" width="13.5" style="2995" customWidth="1"/>
    <col min="5315" max="5315" width="12.125" style="2995" customWidth="1"/>
    <col min="5316" max="5316" width="15.75" style="2995" customWidth="1"/>
    <col min="5317" max="5344" width="0" style="2995" hidden="1" customWidth="1"/>
    <col min="5345" max="5345" width="12.5" style="2995" customWidth="1"/>
    <col min="5346" max="5346" width="10" style="2995" customWidth="1"/>
    <col min="5347" max="5347" width="10.5" style="2995" customWidth="1"/>
    <col min="5348" max="5348" width="11.625" style="2995" customWidth="1"/>
    <col min="5349" max="5349" width="11.25" style="2995" customWidth="1"/>
    <col min="5350" max="5350" width="10" style="2995" customWidth="1"/>
    <col min="5351" max="5356" width="10.125" style="2995" customWidth="1"/>
    <col min="5357" max="5357" width="11.5" style="2995" customWidth="1"/>
    <col min="5358" max="5362" width="12" style="2995" customWidth="1"/>
    <col min="5363" max="5363" width="10.625" style="2995" customWidth="1"/>
    <col min="5364" max="5364" width="11" style="2995" bestFit="1" customWidth="1"/>
    <col min="5365" max="5365" width="9.875" style="2995" bestFit="1" customWidth="1"/>
    <col min="5366" max="5366" width="9" style="2995"/>
    <col min="5367" max="5367" width="10.125" style="2995" customWidth="1"/>
    <col min="5368" max="5368" width="9" style="2995"/>
    <col min="5369" max="5369" width="9.875" style="2995" bestFit="1" customWidth="1"/>
    <col min="5370" max="5371" width="9" style="2995"/>
    <col min="5372" max="5372" width="10.75" style="2995" customWidth="1"/>
    <col min="5373" max="5373" width="9.875" style="2995" bestFit="1" customWidth="1"/>
    <col min="5374" max="5375" width="9" style="2995"/>
    <col min="5376" max="5376" width="9.875" style="2995" customWidth="1"/>
    <col min="5377" max="5379" width="9" style="2995"/>
    <col min="5380" max="5380" width="10.25" style="2995" customWidth="1"/>
    <col min="5381" max="5381" width="11" style="2995" bestFit="1" customWidth="1"/>
    <col min="5382" max="5554" width="9" style="2995"/>
    <col min="5555" max="5555" width="4" style="2995" customWidth="1"/>
    <col min="5556" max="5557" width="8" style="2995" customWidth="1"/>
    <col min="5558" max="5558" width="12.875" style="2995" customWidth="1"/>
    <col min="5559" max="5559" width="30.125" style="2995" customWidth="1"/>
    <col min="5560" max="5560" width="9.375" style="2995" customWidth="1"/>
    <col min="5561" max="5561" width="8.5" style="2995" customWidth="1"/>
    <col min="5562" max="5562" width="8" style="2995" customWidth="1"/>
    <col min="5563" max="5563" width="7.5" style="2995" customWidth="1"/>
    <col min="5564" max="5564" width="10.5" style="2995" customWidth="1"/>
    <col min="5565" max="5565" width="11.5" style="2995" customWidth="1"/>
    <col min="5566" max="5566" width="12.25" style="2995" customWidth="1"/>
    <col min="5567" max="5567" width="12.375" style="2995" customWidth="1"/>
    <col min="5568" max="5568" width="12.5" style="2995" customWidth="1"/>
    <col min="5569" max="5569" width="12.25" style="2995" customWidth="1"/>
    <col min="5570" max="5570" width="13.5" style="2995" customWidth="1"/>
    <col min="5571" max="5571" width="12.125" style="2995" customWidth="1"/>
    <col min="5572" max="5572" width="15.75" style="2995" customWidth="1"/>
    <col min="5573" max="5600" width="0" style="2995" hidden="1" customWidth="1"/>
    <col min="5601" max="5601" width="12.5" style="2995" customWidth="1"/>
    <col min="5602" max="5602" width="10" style="2995" customWidth="1"/>
    <col min="5603" max="5603" width="10.5" style="2995" customWidth="1"/>
    <col min="5604" max="5604" width="11.625" style="2995" customWidth="1"/>
    <col min="5605" max="5605" width="11.25" style="2995" customWidth="1"/>
    <col min="5606" max="5606" width="10" style="2995" customWidth="1"/>
    <col min="5607" max="5612" width="10.125" style="2995" customWidth="1"/>
    <col min="5613" max="5613" width="11.5" style="2995" customWidth="1"/>
    <col min="5614" max="5618" width="12" style="2995" customWidth="1"/>
    <col min="5619" max="5619" width="10.625" style="2995" customWidth="1"/>
    <col min="5620" max="5620" width="11" style="2995" bestFit="1" customWidth="1"/>
    <col min="5621" max="5621" width="9.875" style="2995" bestFit="1" customWidth="1"/>
    <col min="5622" max="5622" width="9" style="2995"/>
    <col min="5623" max="5623" width="10.125" style="2995" customWidth="1"/>
    <col min="5624" max="5624" width="9" style="2995"/>
    <col min="5625" max="5625" width="9.875" style="2995" bestFit="1" customWidth="1"/>
    <col min="5626" max="5627" width="9" style="2995"/>
    <col min="5628" max="5628" width="10.75" style="2995" customWidth="1"/>
    <col min="5629" max="5629" width="9.875" style="2995" bestFit="1" customWidth="1"/>
    <col min="5630" max="5631" width="9" style="2995"/>
    <col min="5632" max="5632" width="9.875" style="2995" customWidth="1"/>
    <col min="5633" max="5635" width="9" style="2995"/>
    <col min="5636" max="5636" width="10.25" style="2995" customWidth="1"/>
    <col min="5637" max="5637" width="11" style="2995" bestFit="1" customWidth="1"/>
    <col min="5638" max="5810" width="9" style="2995"/>
    <col min="5811" max="5811" width="4" style="2995" customWidth="1"/>
    <col min="5812" max="5813" width="8" style="2995" customWidth="1"/>
    <col min="5814" max="5814" width="12.875" style="2995" customWidth="1"/>
    <col min="5815" max="5815" width="30.125" style="2995" customWidth="1"/>
    <col min="5816" max="5816" width="9.375" style="2995" customWidth="1"/>
    <col min="5817" max="5817" width="8.5" style="2995" customWidth="1"/>
    <col min="5818" max="5818" width="8" style="2995" customWidth="1"/>
    <col min="5819" max="5819" width="7.5" style="2995" customWidth="1"/>
    <col min="5820" max="5820" width="10.5" style="2995" customWidth="1"/>
    <col min="5821" max="5821" width="11.5" style="2995" customWidth="1"/>
    <col min="5822" max="5822" width="12.25" style="2995" customWidth="1"/>
    <col min="5823" max="5823" width="12.375" style="2995" customWidth="1"/>
    <col min="5824" max="5824" width="12.5" style="2995" customWidth="1"/>
    <col min="5825" max="5825" width="12.25" style="2995" customWidth="1"/>
    <col min="5826" max="5826" width="13.5" style="2995" customWidth="1"/>
    <col min="5827" max="5827" width="12.125" style="2995" customWidth="1"/>
    <col min="5828" max="5828" width="15.75" style="2995" customWidth="1"/>
    <col min="5829" max="5856" width="0" style="2995" hidden="1" customWidth="1"/>
    <col min="5857" max="5857" width="12.5" style="2995" customWidth="1"/>
    <col min="5858" max="5858" width="10" style="2995" customWidth="1"/>
    <col min="5859" max="5859" width="10.5" style="2995" customWidth="1"/>
    <col min="5860" max="5860" width="11.625" style="2995" customWidth="1"/>
    <col min="5861" max="5861" width="11.25" style="2995" customWidth="1"/>
    <col min="5862" max="5862" width="10" style="2995" customWidth="1"/>
    <col min="5863" max="5868" width="10.125" style="2995" customWidth="1"/>
    <col min="5869" max="5869" width="11.5" style="2995" customWidth="1"/>
    <col min="5870" max="5874" width="12" style="2995" customWidth="1"/>
    <col min="5875" max="5875" width="10.625" style="2995" customWidth="1"/>
    <col min="5876" max="5876" width="11" style="2995" bestFit="1" customWidth="1"/>
    <col min="5877" max="5877" width="9.875" style="2995" bestFit="1" customWidth="1"/>
    <col min="5878" max="5878" width="9" style="2995"/>
    <col min="5879" max="5879" width="10.125" style="2995" customWidth="1"/>
    <col min="5880" max="5880" width="9" style="2995"/>
    <col min="5881" max="5881" width="9.875" style="2995" bestFit="1" customWidth="1"/>
    <col min="5882" max="5883" width="9" style="2995"/>
    <col min="5884" max="5884" width="10.75" style="2995" customWidth="1"/>
    <col min="5885" max="5885" width="9.875" style="2995" bestFit="1" customWidth="1"/>
    <col min="5886" max="5887" width="9" style="2995"/>
    <col min="5888" max="5888" width="9.875" style="2995" customWidth="1"/>
    <col min="5889" max="5891" width="9" style="2995"/>
    <col min="5892" max="5892" width="10.25" style="2995" customWidth="1"/>
    <col min="5893" max="5893" width="11" style="2995" bestFit="1" customWidth="1"/>
    <col min="5894" max="6066" width="9" style="2995"/>
    <col min="6067" max="6067" width="4" style="2995" customWidth="1"/>
    <col min="6068" max="6069" width="8" style="2995" customWidth="1"/>
    <col min="6070" max="6070" width="12.875" style="2995" customWidth="1"/>
    <col min="6071" max="6071" width="30.125" style="2995" customWidth="1"/>
    <col min="6072" max="6072" width="9.375" style="2995" customWidth="1"/>
    <col min="6073" max="6073" width="8.5" style="2995" customWidth="1"/>
    <col min="6074" max="6074" width="8" style="2995" customWidth="1"/>
    <col min="6075" max="6075" width="7.5" style="2995" customWidth="1"/>
    <col min="6076" max="6076" width="10.5" style="2995" customWidth="1"/>
    <col min="6077" max="6077" width="11.5" style="2995" customWidth="1"/>
    <col min="6078" max="6078" width="12.25" style="2995" customWidth="1"/>
    <col min="6079" max="6079" width="12.375" style="2995" customWidth="1"/>
    <col min="6080" max="6080" width="12.5" style="2995" customWidth="1"/>
    <col min="6081" max="6081" width="12.25" style="2995" customWidth="1"/>
    <col min="6082" max="6082" width="13.5" style="2995" customWidth="1"/>
    <col min="6083" max="6083" width="12.125" style="2995" customWidth="1"/>
    <col min="6084" max="6084" width="15.75" style="2995" customWidth="1"/>
    <col min="6085" max="6112" width="0" style="2995" hidden="1" customWidth="1"/>
    <col min="6113" max="6113" width="12.5" style="2995" customWidth="1"/>
    <col min="6114" max="6114" width="10" style="2995" customWidth="1"/>
    <col min="6115" max="6115" width="10.5" style="2995" customWidth="1"/>
    <col min="6116" max="6116" width="11.625" style="2995" customWidth="1"/>
    <col min="6117" max="6117" width="11.25" style="2995" customWidth="1"/>
    <col min="6118" max="6118" width="10" style="2995" customWidth="1"/>
    <col min="6119" max="6124" width="10.125" style="2995" customWidth="1"/>
    <col min="6125" max="6125" width="11.5" style="2995" customWidth="1"/>
    <col min="6126" max="6130" width="12" style="2995" customWidth="1"/>
    <col min="6131" max="6131" width="10.625" style="2995" customWidth="1"/>
    <col min="6132" max="6132" width="11" style="2995" bestFit="1" customWidth="1"/>
    <col min="6133" max="6133" width="9.875" style="2995" bestFit="1" customWidth="1"/>
    <col min="6134" max="6134" width="9" style="2995"/>
    <col min="6135" max="6135" width="10.125" style="2995" customWidth="1"/>
    <col min="6136" max="6136" width="9" style="2995"/>
    <col min="6137" max="6137" width="9.875" style="2995" bestFit="1" customWidth="1"/>
    <col min="6138" max="6139" width="9" style="2995"/>
    <col min="6140" max="6140" width="10.75" style="2995" customWidth="1"/>
    <col min="6141" max="6141" width="9.875" style="2995" bestFit="1" customWidth="1"/>
    <col min="6142" max="6143" width="9" style="2995"/>
    <col min="6144" max="6144" width="9.875" style="2995" customWidth="1"/>
    <col min="6145" max="6147" width="9" style="2995"/>
    <col min="6148" max="6148" width="10.25" style="2995" customWidth="1"/>
    <col min="6149" max="6149" width="11" style="2995" bestFit="1" customWidth="1"/>
    <col min="6150" max="6322" width="9" style="2995"/>
    <col min="6323" max="6323" width="4" style="2995" customWidth="1"/>
    <col min="6324" max="6325" width="8" style="2995" customWidth="1"/>
    <col min="6326" max="6326" width="12.875" style="2995" customWidth="1"/>
    <col min="6327" max="6327" width="30.125" style="2995" customWidth="1"/>
    <col min="6328" max="6328" width="9.375" style="2995" customWidth="1"/>
    <col min="6329" max="6329" width="8.5" style="2995" customWidth="1"/>
    <col min="6330" max="6330" width="8" style="2995" customWidth="1"/>
    <col min="6331" max="6331" width="7.5" style="2995" customWidth="1"/>
    <col min="6332" max="6332" width="10.5" style="2995" customWidth="1"/>
    <col min="6333" max="6333" width="11.5" style="2995" customWidth="1"/>
    <col min="6334" max="6334" width="12.25" style="2995" customWidth="1"/>
    <col min="6335" max="6335" width="12.375" style="2995" customWidth="1"/>
    <col min="6336" max="6336" width="12.5" style="2995" customWidth="1"/>
    <col min="6337" max="6337" width="12.25" style="2995" customWidth="1"/>
    <col min="6338" max="6338" width="13.5" style="2995" customWidth="1"/>
    <col min="6339" max="6339" width="12.125" style="2995" customWidth="1"/>
    <col min="6340" max="6340" width="15.75" style="2995" customWidth="1"/>
    <col min="6341" max="6368" width="0" style="2995" hidden="1" customWidth="1"/>
    <col min="6369" max="6369" width="12.5" style="2995" customWidth="1"/>
    <col min="6370" max="6370" width="10" style="2995" customWidth="1"/>
    <col min="6371" max="6371" width="10.5" style="2995" customWidth="1"/>
    <col min="6372" max="6372" width="11.625" style="2995" customWidth="1"/>
    <col min="6373" max="6373" width="11.25" style="2995" customWidth="1"/>
    <col min="6374" max="6374" width="10" style="2995" customWidth="1"/>
    <col min="6375" max="6380" width="10.125" style="2995" customWidth="1"/>
    <col min="6381" max="6381" width="11.5" style="2995" customWidth="1"/>
    <col min="6382" max="6386" width="12" style="2995" customWidth="1"/>
    <col min="6387" max="6387" width="10.625" style="2995" customWidth="1"/>
    <col min="6388" max="6388" width="11" style="2995" bestFit="1" customWidth="1"/>
    <col min="6389" max="6389" width="9.875" style="2995" bestFit="1" customWidth="1"/>
    <col min="6390" max="6390" width="9" style="2995"/>
    <col min="6391" max="6391" width="10.125" style="2995" customWidth="1"/>
    <col min="6392" max="6392" width="9" style="2995"/>
    <col min="6393" max="6393" width="9.875" style="2995" bestFit="1" customWidth="1"/>
    <col min="6394" max="6395" width="9" style="2995"/>
    <col min="6396" max="6396" width="10.75" style="2995" customWidth="1"/>
    <col min="6397" max="6397" width="9.875" style="2995" bestFit="1" customWidth="1"/>
    <col min="6398" max="6399" width="9" style="2995"/>
    <col min="6400" max="6400" width="9.875" style="2995" customWidth="1"/>
    <col min="6401" max="6403" width="9" style="2995"/>
    <col min="6404" max="6404" width="10.25" style="2995" customWidth="1"/>
    <col min="6405" max="6405" width="11" style="2995" bestFit="1" customWidth="1"/>
    <col min="6406" max="6578" width="9" style="2995"/>
    <col min="6579" max="6579" width="4" style="2995" customWidth="1"/>
    <col min="6580" max="6581" width="8" style="2995" customWidth="1"/>
    <col min="6582" max="6582" width="12.875" style="2995" customWidth="1"/>
    <col min="6583" max="6583" width="30.125" style="2995" customWidth="1"/>
    <col min="6584" max="6584" width="9.375" style="2995" customWidth="1"/>
    <col min="6585" max="6585" width="8.5" style="2995" customWidth="1"/>
    <col min="6586" max="6586" width="8" style="2995" customWidth="1"/>
    <col min="6587" max="6587" width="7.5" style="2995" customWidth="1"/>
    <col min="6588" max="6588" width="10.5" style="2995" customWidth="1"/>
    <col min="6589" max="6589" width="11.5" style="2995" customWidth="1"/>
    <col min="6590" max="6590" width="12.25" style="2995" customWidth="1"/>
    <col min="6591" max="6591" width="12.375" style="2995" customWidth="1"/>
    <col min="6592" max="6592" width="12.5" style="2995" customWidth="1"/>
    <col min="6593" max="6593" width="12.25" style="2995" customWidth="1"/>
    <col min="6594" max="6594" width="13.5" style="2995" customWidth="1"/>
    <col min="6595" max="6595" width="12.125" style="2995" customWidth="1"/>
    <col min="6596" max="6596" width="15.75" style="2995" customWidth="1"/>
    <col min="6597" max="6624" width="0" style="2995" hidden="1" customWidth="1"/>
    <col min="6625" max="6625" width="12.5" style="2995" customWidth="1"/>
    <col min="6626" max="6626" width="10" style="2995" customWidth="1"/>
    <col min="6627" max="6627" width="10.5" style="2995" customWidth="1"/>
    <col min="6628" max="6628" width="11.625" style="2995" customWidth="1"/>
    <col min="6629" max="6629" width="11.25" style="2995" customWidth="1"/>
    <col min="6630" max="6630" width="10" style="2995" customWidth="1"/>
    <col min="6631" max="6636" width="10.125" style="2995" customWidth="1"/>
    <col min="6637" max="6637" width="11.5" style="2995" customWidth="1"/>
    <col min="6638" max="6642" width="12" style="2995" customWidth="1"/>
    <col min="6643" max="6643" width="10.625" style="2995" customWidth="1"/>
    <col min="6644" max="6644" width="11" style="2995" bestFit="1" customWidth="1"/>
    <col min="6645" max="6645" width="9.875" style="2995" bestFit="1" customWidth="1"/>
    <col min="6646" max="6646" width="9" style="2995"/>
    <col min="6647" max="6647" width="10.125" style="2995" customWidth="1"/>
    <col min="6648" max="6648" width="9" style="2995"/>
    <col min="6649" max="6649" width="9.875" style="2995" bestFit="1" customWidth="1"/>
    <col min="6650" max="6651" width="9" style="2995"/>
    <col min="6652" max="6652" width="10.75" style="2995" customWidth="1"/>
    <col min="6653" max="6653" width="9.875" style="2995" bestFit="1" customWidth="1"/>
    <col min="6654" max="6655" width="9" style="2995"/>
    <col min="6656" max="6656" width="9.875" style="2995" customWidth="1"/>
    <col min="6657" max="6659" width="9" style="2995"/>
    <col min="6660" max="6660" width="10.25" style="2995" customWidth="1"/>
    <col min="6661" max="6661" width="11" style="2995" bestFit="1" customWidth="1"/>
    <col min="6662" max="6834" width="9" style="2995"/>
    <col min="6835" max="6835" width="4" style="2995" customWidth="1"/>
    <col min="6836" max="6837" width="8" style="2995" customWidth="1"/>
    <col min="6838" max="6838" width="12.875" style="2995" customWidth="1"/>
    <col min="6839" max="6839" width="30.125" style="2995" customWidth="1"/>
    <col min="6840" max="6840" width="9.375" style="2995" customWidth="1"/>
    <col min="6841" max="6841" width="8.5" style="2995" customWidth="1"/>
    <col min="6842" max="6842" width="8" style="2995" customWidth="1"/>
    <col min="6843" max="6843" width="7.5" style="2995" customWidth="1"/>
    <col min="6844" max="6844" width="10.5" style="2995" customWidth="1"/>
    <col min="6845" max="6845" width="11.5" style="2995" customWidth="1"/>
    <col min="6846" max="6846" width="12.25" style="2995" customWidth="1"/>
    <col min="6847" max="6847" width="12.375" style="2995" customWidth="1"/>
    <col min="6848" max="6848" width="12.5" style="2995" customWidth="1"/>
    <col min="6849" max="6849" width="12.25" style="2995" customWidth="1"/>
    <col min="6850" max="6850" width="13.5" style="2995" customWidth="1"/>
    <col min="6851" max="6851" width="12.125" style="2995" customWidth="1"/>
    <col min="6852" max="6852" width="15.75" style="2995" customWidth="1"/>
    <col min="6853" max="6880" width="0" style="2995" hidden="1" customWidth="1"/>
    <col min="6881" max="6881" width="12.5" style="2995" customWidth="1"/>
    <col min="6882" max="6882" width="10" style="2995" customWidth="1"/>
    <col min="6883" max="6883" width="10.5" style="2995" customWidth="1"/>
    <col min="6884" max="6884" width="11.625" style="2995" customWidth="1"/>
    <col min="6885" max="6885" width="11.25" style="2995" customWidth="1"/>
    <col min="6886" max="6886" width="10" style="2995" customWidth="1"/>
    <col min="6887" max="6892" width="10.125" style="2995" customWidth="1"/>
    <col min="6893" max="6893" width="11.5" style="2995" customWidth="1"/>
    <col min="6894" max="6898" width="12" style="2995" customWidth="1"/>
    <col min="6899" max="6899" width="10.625" style="2995" customWidth="1"/>
    <col min="6900" max="6900" width="11" style="2995" bestFit="1" customWidth="1"/>
    <col min="6901" max="6901" width="9.875" style="2995" bestFit="1" customWidth="1"/>
    <col min="6902" max="6902" width="9" style="2995"/>
    <col min="6903" max="6903" width="10.125" style="2995" customWidth="1"/>
    <col min="6904" max="6904" width="9" style="2995"/>
    <col min="6905" max="6905" width="9.875" style="2995" bestFit="1" customWidth="1"/>
    <col min="6906" max="6907" width="9" style="2995"/>
    <col min="6908" max="6908" width="10.75" style="2995" customWidth="1"/>
    <col min="6909" max="6909" width="9.875" style="2995" bestFit="1" customWidth="1"/>
    <col min="6910" max="6911" width="9" style="2995"/>
    <col min="6912" max="6912" width="9.875" style="2995" customWidth="1"/>
    <col min="6913" max="6915" width="9" style="2995"/>
    <col min="6916" max="6916" width="10.25" style="2995" customWidth="1"/>
    <col min="6917" max="6917" width="11" style="2995" bestFit="1" customWidth="1"/>
    <col min="6918" max="7090" width="9" style="2995"/>
    <col min="7091" max="7091" width="4" style="2995" customWidth="1"/>
    <col min="7092" max="7093" width="8" style="2995" customWidth="1"/>
    <col min="7094" max="7094" width="12.875" style="2995" customWidth="1"/>
    <col min="7095" max="7095" width="30.125" style="2995" customWidth="1"/>
    <col min="7096" max="7096" width="9.375" style="2995" customWidth="1"/>
    <col min="7097" max="7097" width="8.5" style="2995" customWidth="1"/>
    <col min="7098" max="7098" width="8" style="2995" customWidth="1"/>
    <col min="7099" max="7099" width="7.5" style="2995" customWidth="1"/>
    <col min="7100" max="7100" width="10.5" style="2995" customWidth="1"/>
    <col min="7101" max="7101" width="11.5" style="2995" customWidth="1"/>
    <col min="7102" max="7102" width="12.25" style="2995" customWidth="1"/>
    <col min="7103" max="7103" width="12.375" style="2995" customWidth="1"/>
    <col min="7104" max="7104" width="12.5" style="2995" customWidth="1"/>
    <col min="7105" max="7105" width="12.25" style="2995" customWidth="1"/>
    <col min="7106" max="7106" width="13.5" style="2995" customWidth="1"/>
    <col min="7107" max="7107" width="12.125" style="2995" customWidth="1"/>
    <col min="7108" max="7108" width="15.75" style="2995" customWidth="1"/>
    <col min="7109" max="7136" width="0" style="2995" hidden="1" customWidth="1"/>
    <col min="7137" max="7137" width="12.5" style="2995" customWidth="1"/>
    <col min="7138" max="7138" width="10" style="2995" customWidth="1"/>
    <col min="7139" max="7139" width="10.5" style="2995" customWidth="1"/>
    <col min="7140" max="7140" width="11.625" style="2995" customWidth="1"/>
    <col min="7141" max="7141" width="11.25" style="2995" customWidth="1"/>
    <col min="7142" max="7142" width="10" style="2995" customWidth="1"/>
    <col min="7143" max="7148" width="10.125" style="2995" customWidth="1"/>
    <col min="7149" max="7149" width="11.5" style="2995" customWidth="1"/>
    <col min="7150" max="7154" width="12" style="2995" customWidth="1"/>
    <col min="7155" max="7155" width="10.625" style="2995" customWidth="1"/>
    <col min="7156" max="7156" width="11" style="2995" bestFit="1" customWidth="1"/>
    <col min="7157" max="7157" width="9.875" style="2995" bestFit="1" customWidth="1"/>
    <col min="7158" max="7158" width="9" style="2995"/>
    <col min="7159" max="7159" width="10.125" style="2995" customWidth="1"/>
    <col min="7160" max="7160" width="9" style="2995"/>
    <col min="7161" max="7161" width="9.875" style="2995" bestFit="1" customWidth="1"/>
    <col min="7162" max="7163" width="9" style="2995"/>
    <col min="7164" max="7164" width="10.75" style="2995" customWidth="1"/>
    <col min="7165" max="7165" width="9.875" style="2995" bestFit="1" customWidth="1"/>
    <col min="7166" max="7167" width="9" style="2995"/>
    <col min="7168" max="7168" width="9.875" style="2995" customWidth="1"/>
    <col min="7169" max="7171" width="9" style="2995"/>
    <col min="7172" max="7172" width="10.25" style="2995" customWidth="1"/>
    <col min="7173" max="7173" width="11" style="2995" bestFit="1" customWidth="1"/>
    <col min="7174" max="7346" width="9" style="2995"/>
    <col min="7347" max="7347" width="4" style="2995" customWidth="1"/>
    <col min="7348" max="7349" width="8" style="2995" customWidth="1"/>
    <col min="7350" max="7350" width="12.875" style="2995" customWidth="1"/>
    <col min="7351" max="7351" width="30.125" style="2995" customWidth="1"/>
    <col min="7352" max="7352" width="9.375" style="2995" customWidth="1"/>
    <col min="7353" max="7353" width="8.5" style="2995" customWidth="1"/>
    <col min="7354" max="7354" width="8" style="2995" customWidth="1"/>
    <col min="7355" max="7355" width="7.5" style="2995" customWidth="1"/>
    <col min="7356" max="7356" width="10.5" style="2995" customWidth="1"/>
    <col min="7357" max="7357" width="11.5" style="2995" customWidth="1"/>
    <col min="7358" max="7358" width="12.25" style="2995" customWidth="1"/>
    <col min="7359" max="7359" width="12.375" style="2995" customWidth="1"/>
    <col min="7360" max="7360" width="12.5" style="2995" customWidth="1"/>
    <col min="7361" max="7361" width="12.25" style="2995" customWidth="1"/>
    <col min="7362" max="7362" width="13.5" style="2995" customWidth="1"/>
    <col min="7363" max="7363" width="12.125" style="2995" customWidth="1"/>
    <col min="7364" max="7364" width="15.75" style="2995" customWidth="1"/>
    <col min="7365" max="7392" width="0" style="2995" hidden="1" customWidth="1"/>
    <col min="7393" max="7393" width="12.5" style="2995" customWidth="1"/>
    <col min="7394" max="7394" width="10" style="2995" customWidth="1"/>
    <col min="7395" max="7395" width="10.5" style="2995" customWidth="1"/>
    <col min="7396" max="7396" width="11.625" style="2995" customWidth="1"/>
    <col min="7397" max="7397" width="11.25" style="2995" customWidth="1"/>
    <col min="7398" max="7398" width="10" style="2995" customWidth="1"/>
    <col min="7399" max="7404" width="10.125" style="2995" customWidth="1"/>
    <col min="7405" max="7405" width="11.5" style="2995" customWidth="1"/>
    <col min="7406" max="7410" width="12" style="2995" customWidth="1"/>
    <col min="7411" max="7411" width="10.625" style="2995" customWidth="1"/>
    <col min="7412" max="7412" width="11" style="2995" bestFit="1" customWidth="1"/>
    <col min="7413" max="7413" width="9.875" style="2995" bestFit="1" customWidth="1"/>
    <col min="7414" max="7414" width="9" style="2995"/>
    <col min="7415" max="7415" width="10.125" style="2995" customWidth="1"/>
    <col min="7416" max="7416" width="9" style="2995"/>
    <col min="7417" max="7417" width="9.875" style="2995" bestFit="1" customWidth="1"/>
    <col min="7418" max="7419" width="9" style="2995"/>
    <col min="7420" max="7420" width="10.75" style="2995" customWidth="1"/>
    <col min="7421" max="7421" width="9.875" style="2995" bestFit="1" customWidth="1"/>
    <col min="7422" max="7423" width="9" style="2995"/>
    <col min="7424" max="7424" width="9.875" style="2995" customWidth="1"/>
    <col min="7425" max="7427" width="9" style="2995"/>
    <col min="7428" max="7428" width="10.25" style="2995" customWidth="1"/>
    <col min="7429" max="7429" width="11" style="2995" bestFit="1" customWidth="1"/>
    <col min="7430" max="7602" width="9" style="2995"/>
    <col min="7603" max="7603" width="4" style="2995" customWidth="1"/>
    <col min="7604" max="7605" width="8" style="2995" customWidth="1"/>
    <col min="7606" max="7606" width="12.875" style="2995" customWidth="1"/>
    <col min="7607" max="7607" width="30.125" style="2995" customWidth="1"/>
    <col min="7608" max="7608" width="9.375" style="2995" customWidth="1"/>
    <col min="7609" max="7609" width="8.5" style="2995" customWidth="1"/>
    <col min="7610" max="7610" width="8" style="2995" customWidth="1"/>
    <col min="7611" max="7611" width="7.5" style="2995" customWidth="1"/>
    <col min="7612" max="7612" width="10.5" style="2995" customWidth="1"/>
    <col min="7613" max="7613" width="11.5" style="2995" customWidth="1"/>
    <col min="7614" max="7614" width="12.25" style="2995" customWidth="1"/>
    <col min="7615" max="7615" width="12.375" style="2995" customWidth="1"/>
    <col min="7616" max="7616" width="12.5" style="2995" customWidth="1"/>
    <col min="7617" max="7617" width="12.25" style="2995" customWidth="1"/>
    <col min="7618" max="7618" width="13.5" style="2995" customWidth="1"/>
    <col min="7619" max="7619" width="12.125" style="2995" customWidth="1"/>
    <col min="7620" max="7620" width="15.75" style="2995" customWidth="1"/>
    <col min="7621" max="7648" width="0" style="2995" hidden="1" customWidth="1"/>
    <col min="7649" max="7649" width="12.5" style="2995" customWidth="1"/>
    <col min="7650" max="7650" width="10" style="2995" customWidth="1"/>
    <col min="7651" max="7651" width="10.5" style="2995" customWidth="1"/>
    <col min="7652" max="7652" width="11.625" style="2995" customWidth="1"/>
    <col min="7653" max="7653" width="11.25" style="2995" customWidth="1"/>
    <col min="7654" max="7654" width="10" style="2995" customWidth="1"/>
    <col min="7655" max="7660" width="10.125" style="2995" customWidth="1"/>
    <col min="7661" max="7661" width="11.5" style="2995" customWidth="1"/>
    <col min="7662" max="7666" width="12" style="2995" customWidth="1"/>
    <col min="7667" max="7667" width="10.625" style="2995" customWidth="1"/>
    <col min="7668" max="7668" width="11" style="2995" bestFit="1" customWidth="1"/>
    <col min="7669" max="7669" width="9.875" style="2995" bestFit="1" customWidth="1"/>
    <col min="7670" max="7670" width="9" style="2995"/>
    <col min="7671" max="7671" width="10.125" style="2995" customWidth="1"/>
    <col min="7672" max="7672" width="9" style="2995"/>
    <col min="7673" max="7673" width="9.875" style="2995" bestFit="1" customWidth="1"/>
    <col min="7674" max="7675" width="9" style="2995"/>
    <col min="7676" max="7676" width="10.75" style="2995" customWidth="1"/>
    <col min="7677" max="7677" width="9.875" style="2995" bestFit="1" customWidth="1"/>
    <col min="7678" max="7679" width="9" style="2995"/>
    <col min="7680" max="7680" width="9.875" style="2995" customWidth="1"/>
    <col min="7681" max="7683" width="9" style="2995"/>
    <col min="7684" max="7684" width="10.25" style="2995" customWidth="1"/>
    <col min="7685" max="7685" width="11" style="2995" bestFit="1" customWidth="1"/>
    <col min="7686" max="7858" width="9" style="2995"/>
    <col min="7859" max="7859" width="4" style="2995" customWidth="1"/>
    <col min="7860" max="7861" width="8" style="2995" customWidth="1"/>
    <col min="7862" max="7862" width="12.875" style="2995" customWidth="1"/>
    <col min="7863" max="7863" width="30.125" style="2995" customWidth="1"/>
    <col min="7864" max="7864" width="9.375" style="2995" customWidth="1"/>
    <col min="7865" max="7865" width="8.5" style="2995" customWidth="1"/>
    <col min="7866" max="7866" width="8" style="2995" customWidth="1"/>
    <col min="7867" max="7867" width="7.5" style="2995" customWidth="1"/>
    <col min="7868" max="7868" width="10.5" style="2995" customWidth="1"/>
    <col min="7869" max="7869" width="11.5" style="2995" customWidth="1"/>
    <col min="7870" max="7870" width="12.25" style="2995" customWidth="1"/>
    <col min="7871" max="7871" width="12.375" style="2995" customWidth="1"/>
    <col min="7872" max="7872" width="12.5" style="2995" customWidth="1"/>
    <col min="7873" max="7873" width="12.25" style="2995" customWidth="1"/>
    <col min="7874" max="7874" width="13.5" style="2995" customWidth="1"/>
    <col min="7875" max="7875" width="12.125" style="2995" customWidth="1"/>
    <col min="7876" max="7876" width="15.75" style="2995" customWidth="1"/>
    <col min="7877" max="7904" width="0" style="2995" hidden="1" customWidth="1"/>
    <col min="7905" max="7905" width="12.5" style="2995" customWidth="1"/>
    <col min="7906" max="7906" width="10" style="2995" customWidth="1"/>
    <col min="7907" max="7907" width="10.5" style="2995" customWidth="1"/>
    <col min="7908" max="7908" width="11.625" style="2995" customWidth="1"/>
    <col min="7909" max="7909" width="11.25" style="2995" customWidth="1"/>
    <col min="7910" max="7910" width="10" style="2995" customWidth="1"/>
    <col min="7911" max="7916" width="10.125" style="2995" customWidth="1"/>
    <col min="7917" max="7917" width="11.5" style="2995" customWidth="1"/>
    <col min="7918" max="7922" width="12" style="2995" customWidth="1"/>
    <col min="7923" max="7923" width="10.625" style="2995" customWidth="1"/>
    <col min="7924" max="7924" width="11" style="2995" bestFit="1" customWidth="1"/>
    <col min="7925" max="7925" width="9.875" style="2995" bestFit="1" customWidth="1"/>
    <col min="7926" max="7926" width="9" style="2995"/>
    <col min="7927" max="7927" width="10.125" style="2995" customWidth="1"/>
    <col min="7928" max="7928" width="9" style="2995"/>
    <col min="7929" max="7929" width="9.875" style="2995" bestFit="1" customWidth="1"/>
    <col min="7930" max="7931" width="9" style="2995"/>
    <col min="7932" max="7932" width="10.75" style="2995" customWidth="1"/>
    <col min="7933" max="7933" width="9.875" style="2995" bestFit="1" customWidth="1"/>
    <col min="7934" max="7935" width="9" style="2995"/>
    <col min="7936" max="7936" width="9.875" style="2995" customWidth="1"/>
    <col min="7937" max="7939" width="9" style="2995"/>
    <col min="7940" max="7940" width="10.25" style="2995" customWidth="1"/>
    <col min="7941" max="7941" width="11" style="2995" bestFit="1" customWidth="1"/>
    <col min="7942" max="8114" width="9" style="2995"/>
    <col min="8115" max="8115" width="4" style="2995" customWidth="1"/>
    <col min="8116" max="8117" width="8" style="2995" customWidth="1"/>
    <col min="8118" max="8118" width="12.875" style="2995" customWidth="1"/>
    <col min="8119" max="8119" width="30.125" style="2995" customWidth="1"/>
    <col min="8120" max="8120" width="9.375" style="2995" customWidth="1"/>
    <col min="8121" max="8121" width="8.5" style="2995" customWidth="1"/>
    <col min="8122" max="8122" width="8" style="2995" customWidth="1"/>
    <col min="8123" max="8123" width="7.5" style="2995" customWidth="1"/>
    <col min="8124" max="8124" width="10.5" style="2995" customWidth="1"/>
    <col min="8125" max="8125" width="11.5" style="2995" customWidth="1"/>
    <col min="8126" max="8126" width="12.25" style="2995" customWidth="1"/>
    <col min="8127" max="8127" width="12.375" style="2995" customWidth="1"/>
    <col min="8128" max="8128" width="12.5" style="2995" customWidth="1"/>
    <col min="8129" max="8129" width="12.25" style="2995" customWidth="1"/>
    <col min="8130" max="8130" width="13.5" style="2995" customWidth="1"/>
    <col min="8131" max="8131" width="12.125" style="2995" customWidth="1"/>
    <col min="8132" max="8132" width="15.75" style="2995" customWidth="1"/>
    <col min="8133" max="8160" width="0" style="2995" hidden="1" customWidth="1"/>
    <col min="8161" max="8161" width="12.5" style="2995" customWidth="1"/>
    <col min="8162" max="8162" width="10" style="2995" customWidth="1"/>
    <col min="8163" max="8163" width="10.5" style="2995" customWidth="1"/>
    <col min="8164" max="8164" width="11.625" style="2995" customWidth="1"/>
    <col min="8165" max="8165" width="11.25" style="2995" customWidth="1"/>
    <col min="8166" max="8166" width="10" style="2995" customWidth="1"/>
    <col min="8167" max="8172" width="10.125" style="2995" customWidth="1"/>
    <col min="8173" max="8173" width="11.5" style="2995" customWidth="1"/>
    <col min="8174" max="8178" width="12" style="2995" customWidth="1"/>
    <col min="8179" max="8179" width="10.625" style="2995" customWidth="1"/>
    <col min="8180" max="8180" width="11" style="2995" bestFit="1" customWidth="1"/>
    <col min="8181" max="8181" width="9.875" style="2995" bestFit="1" customWidth="1"/>
    <col min="8182" max="8182" width="9" style="2995"/>
    <col min="8183" max="8183" width="10.125" style="2995" customWidth="1"/>
    <col min="8184" max="8184" width="9" style="2995"/>
    <col min="8185" max="8185" width="9.875" style="2995" bestFit="1" customWidth="1"/>
    <col min="8186" max="8187" width="9" style="2995"/>
    <col min="8188" max="8188" width="10.75" style="2995" customWidth="1"/>
    <col min="8189" max="8189" width="9.875" style="2995" bestFit="1" customWidth="1"/>
    <col min="8190" max="8191" width="9" style="2995"/>
    <col min="8192" max="8192" width="9.875" style="2995" customWidth="1"/>
    <col min="8193" max="8195" width="9" style="2995"/>
    <col min="8196" max="8196" width="10.25" style="2995" customWidth="1"/>
    <col min="8197" max="8197" width="11" style="2995" bestFit="1" customWidth="1"/>
    <col min="8198" max="8370" width="9" style="2995"/>
    <col min="8371" max="8371" width="4" style="2995" customWidth="1"/>
    <col min="8372" max="8373" width="8" style="2995" customWidth="1"/>
    <col min="8374" max="8374" width="12.875" style="2995" customWidth="1"/>
    <col min="8375" max="8375" width="30.125" style="2995" customWidth="1"/>
    <col min="8376" max="8376" width="9.375" style="2995" customWidth="1"/>
    <col min="8377" max="8377" width="8.5" style="2995" customWidth="1"/>
    <col min="8378" max="8378" width="8" style="2995" customWidth="1"/>
    <col min="8379" max="8379" width="7.5" style="2995" customWidth="1"/>
    <col min="8380" max="8380" width="10.5" style="2995" customWidth="1"/>
    <col min="8381" max="8381" width="11.5" style="2995" customWidth="1"/>
    <col min="8382" max="8382" width="12.25" style="2995" customWidth="1"/>
    <col min="8383" max="8383" width="12.375" style="2995" customWidth="1"/>
    <col min="8384" max="8384" width="12.5" style="2995" customWidth="1"/>
    <col min="8385" max="8385" width="12.25" style="2995" customWidth="1"/>
    <col min="8386" max="8386" width="13.5" style="2995" customWidth="1"/>
    <col min="8387" max="8387" width="12.125" style="2995" customWidth="1"/>
    <col min="8388" max="8388" width="15.75" style="2995" customWidth="1"/>
    <col min="8389" max="8416" width="0" style="2995" hidden="1" customWidth="1"/>
    <col min="8417" max="8417" width="12.5" style="2995" customWidth="1"/>
    <col min="8418" max="8418" width="10" style="2995" customWidth="1"/>
    <col min="8419" max="8419" width="10.5" style="2995" customWidth="1"/>
    <col min="8420" max="8420" width="11.625" style="2995" customWidth="1"/>
    <col min="8421" max="8421" width="11.25" style="2995" customWidth="1"/>
    <col min="8422" max="8422" width="10" style="2995" customWidth="1"/>
    <col min="8423" max="8428" width="10.125" style="2995" customWidth="1"/>
    <col min="8429" max="8429" width="11.5" style="2995" customWidth="1"/>
    <col min="8430" max="8434" width="12" style="2995" customWidth="1"/>
    <col min="8435" max="8435" width="10.625" style="2995" customWidth="1"/>
    <col min="8436" max="8436" width="11" style="2995" bestFit="1" customWidth="1"/>
    <col min="8437" max="8437" width="9.875" style="2995" bestFit="1" customWidth="1"/>
    <col min="8438" max="8438" width="9" style="2995"/>
    <col min="8439" max="8439" width="10.125" style="2995" customWidth="1"/>
    <col min="8440" max="8440" width="9" style="2995"/>
    <col min="8441" max="8441" width="9.875" style="2995" bestFit="1" customWidth="1"/>
    <col min="8442" max="8443" width="9" style="2995"/>
    <col min="8444" max="8444" width="10.75" style="2995" customWidth="1"/>
    <col min="8445" max="8445" width="9.875" style="2995" bestFit="1" customWidth="1"/>
    <col min="8446" max="8447" width="9" style="2995"/>
    <col min="8448" max="8448" width="9.875" style="2995" customWidth="1"/>
    <col min="8449" max="8451" width="9" style="2995"/>
    <col min="8452" max="8452" width="10.25" style="2995" customWidth="1"/>
    <col min="8453" max="8453" width="11" style="2995" bestFit="1" customWidth="1"/>
    <col min="8454" max="8626" width="9" style="2995"/>
    <col min="8627" max="8627" width="4" style="2995" customWidth="1"/>
    <col min="8628" max="8629" width="8" style="2995" customWidth="1"/>
    <col min="8630" max="8630" width="12.875" style="2995" customWidth="1"/>
    <col min="8631" max="8631" width="30.125" style="2995" customWidth="1"/>
    <col min="8632" max="8632" width="9.375" style="2995" customWidth="1"/>
    <col min="8633" max="8633" width="8.5" style="2995" customWidth="1"/>
    <col min="8634" max="8634" width="8" style="2995" customWidth="1"/>
    <col min="8635" max="8635" width="7.5" style="2995" customWidth="1"/>
    <col min="8636" max="8636" width="10.5" style="2995" customWidth="1"/>
    <col min="8637" max="8637" width="11.5" style="2995" customWidth="1"/>
    <col min="8638" max="8638" width="12.25" style="2995" customWidth="1"/>
    <col min="8639" max="8639" width="12.375" style="2995" customWidth="1"/>
    <col min="8640" max="8640" width="12.5" style="2995" customWidth="1"/>
    <col min="8641" max="8641" width="12.25" style="2995" customWidth="1"/>
    <col min="8642" max="8642" width="13.5" style="2995" customWidth="1"/>
    <col min="8643" max="8643" width="12.125" style="2995" customWidth="1"/>
    <col min="8644" max="8644" width="15.75" style="2995" customWidth="1"/>
    <col min="8645" max="8672" width="0" style="2995" hidden="1" customWidth="1"/>
    <col min="8673" max="8673" width="12.5" style="2995" customWidth="1"/>
    <col min="8674" max="8674" width="10" style="2995" customWidth="1"/>
    <col min="8675" max="8675" width="10.5" style="2995" customWidth="1"/>
    <col min="8676" max="8676" width="11.625" style="2995" customWidth="1"/>
    <col min="8677" max="8677" width="11.25" style="2995" customWidth="1"/>
    <col min="8678" max="8678" width="10" style="2995" customWidth="1"/>
    <col min="8679" max="8684" width="10.125" style="2995" customWidth="1"/>
    <col min="8685" max="8685" width="11.5" style="2995" customWidth="1"/>
    <col min="8686" max="8690" width="12" style="2995" customWidth="1"/>
    <col min="8691" max="8691" width="10.625" style="2995" customWidth="1"/>
    <col min="8692" max="8692" width="11" style="2995" bestFit="1" customWidth="1"/>
    <col min="8693" max="8693" width="9.875" style="2995" bestFit="1" customWidth="1"/>
    <col min="8694" max="8694" width="9" style="2995"/>
    <col min="8695" max="8695" width="10.125" style="2995" customWidth="1"/>
    <col min="8696" max="8696" width="9" style="2995"/>
    <col min="8697" max="8697" width="9.875" style="2995" bestFit="1" customWidth="1"/>
    <col min="8698" max="8699" width="9" style="2995"/>
    <col min="8700" max="8700" width="10.75" style="2995" customWidth="1"/>
    <col min="8701" max="8701" width="9.875" style="2995" bestFit="1" customWidth="1"/>
    <col min="8702" max="8703" width="9" style="2995"/>
    <col min="8704" max="8704" width="9.875" style="2995" customWidth="1"/>
    <col min="8705" max="8707" width="9" style="2995"/>
    <col min="8708" max="8708" width="10.25" style="2995" customWidth="1"/>
    <col min="8709" max="8709" width="11" style="2995" bestFit="1" customWidth="1"/>
    <col min="8710" max="8882" width="9" style="2995"/>
    <col min="8883" max="8883" width="4" style="2995" customWidth="1"/>
    <col min="8884" max="8885" width="8" style="2995" customWidth="1"/>
    <col min="8886" max="8886" width="12.875" style="2995" customWidth="1"/>
    <col min="8887" max="8887" width="30.125" style="2995" customWidth="1"/>
    <col min="8888" max="8888" width="9.375" style="2995" customWidth="1"/>
    <col min="8889" max="8889" width="8.5" style="2995" customWidth="1"/>
    <col min="8890" max="8890" width="8" style="2995" customWidth="1"/>
    <col min="8891" max="8891" width="7.5" style="2995" customWidth="1"/>
    <col min="8892" max="8892" width="10.5" style="2995" customWidth="1"/>
    <col min="8893" max="8893" width="11.5" style="2995" customWidth="1"/>
    <col min="8894" max="8894" width="12.25" style="2995" customWidth="1"/>
    <col min="8895" max="8895" width="12.375" style="2995" customWidth="1"/>
    <col min="8896" max="8896" width="12.5" style="2995" customWidth="1"/>
    <col min="8897" max="8897" width="12.25" style="2995" customWidth="1"/>
    <col min="8898" max="8898" width="13.5" style="2995" customWidth="1"/>
    <col min="8899" max="8899" width="12.125" style="2995" customWidth="1"/>
    <col min="8900" max="8900" width="15.75" style="2995" customWidth="1"/>
    <col min="8901" max="8928" width="0" style="2995" hidden="1" customWidth="1"/>
    <col min="8929" max="8929" width="12.5" style="2995" customWidth="1"/>
    <col min="8930" max="8930" width="10" style="2995" customWidth="1"/>
    <col min="8931" max="8931" width="10.5" style="2995" customWidth="1"/>
    <col min="8932" max="8932" width="11.625" style="2995" customWidth="1"/>
    <col min="8933" max="8933" width="11.25" style="2995" customWidth="1"/>
    <col min="8934" max="8934" width="10" style="2995" customWidth="1"/>
    <col min="8935" max="8940" width="10.125" style="2995" customWidth="1"/>
    <col min="8941" max="8941" width="11.5" style="2995" customWidth="1"/>
    <col min="8942" max="8946" width="12" style="2995" customWidth="1"/>
    <col min="8947" max="8947" width="10.625" style="2995" customWidth="1"/>
    <col min="8948" max="8948" width="11" style="2995" bestFit="1" customWidth="1"/>
    <col min="8949" max="8949" width="9.875" style="2995" bestFit="1" customWidth="1"/>
    <col min="8950" max="8950" width="9" style="2995"/>
    <col min="8951" max="8951" width="10.125" style="2995" customWidth="1"/>
    <col min="8952" max="8952" width="9" style="2995"/>
    <col min="8953" max="8953" width="9.875" style="2995" bestFit="1" customWidth="1"/>
    <col min="8954" max="8955" width="9" style="2995"/>
    <col min="8956" max="8956" width="10.75" style="2995" customWidth="1"/>
    <col min="8957" max="8957" width="9.875" style="2995" bestFit="1" customWidth="1"/>
    <col min="8958" max="8959" width="9" style="2995"/>
    <col min="8960" max="8960" width="9.875" style="2995" customWidth="1"/>
    <col min="8961" max="8963" width="9" style="2995"/>
    <col min="8964" max="8964" width="10.25" style="2995" customWidth="1"/>
    <col min="8965" max="8965" width="11" style="2995" bestFit="1" customWidth="1"/>
    <col min="8966" max="9138" width="9" style="2995"/>
    <col min="9139" max="9139" width="4" style="2995" customWidth="1"/>
    <col min="9140" max="9141" width="8" style="2995" customWidth="1"/>
    <col min="9142" max="9142" width="12.875" style="2995" customWidth="1"/>
    <col min="9143" max="9143" width="30.125" style="2995" customWidth="1"/>
    <col min="9144" max="9144" width="9.375" style="2995" customWidth="1"/>
    <col min="9145" max="9145" width="8.5" style="2995" customWidth="1"/>
    <col min="9146" max="9146" width="8" style="2995" customWidth="1"/>
    <col min="9147" max="9147" width="7.5" style="2995" customWidth="1"/>
    <col min="9148" max="9148" width="10.5" style="2995" customWidth="1"/>
    <col min="9149" max="9149" width="11.5" style="2995" customWidth="1"/>
    <col min="9150" max="9150" width="12.25" style="2995" customWidth="1"/>
    <col min="9151" max="9151" width="12.375" style="2995" customWidth="1"/>
    <col min="9152" max="9152" width="12.5" style="2995" customWidth="1"/>
    <col min="9153" max="9153" width="12.25" style="2995" customWidth="1"/>
    <col min="9154" max="9154" width="13.5" style="2995" customWidth="1"/>
    <col min="9155" max="9155" width="12.125" style="2995" customWidth="1"/>
    <col min="9156" max="9156" width="15.75" style="2995" customWidth="1"/>
    <col min="9157" max="9184" width="0" style="2995" hidden="1" customWidth="1"/>
    <col min="9185" max="9185" width="12.5" style="2995" customWidth="1"/>
    <col min="9186" max="9186" width="10" style="2995" customWidth="1"/>
    <col min="9187" max="9187" width="10.5" style="2995" customWidth="1"/>
    <col min="9188" max="9188" width="11.625" style="2995" customWidth="1"/>
    <col min="9189" max="9189" width="11.25" style="2995" customWidth="1"/>
    <col min="9190" max="9190" width="10" style="2995" customWidth="1"/>
    <col min="9191" max="9196" width="10.125" style="2995" customWidth="1"/>
    <col min="9197" max="9197" width="11.5" style="2995" customWidth="1"/>
    <col min="9198" max="9202" width="12" style="2995" customWidth="1"/>
    <col min="9203" max="9203" width="10.625" style="2995" customWidth="1"/>
    <col min="9204" max="9204" width="11" style="2995" bestFit="1" customWidth="1"/>
    <col min="9205" max="9205" width="9.875" style="2995" bestFit="1" customWidth="1"/>
    <col min="9206" max="9206" width="9" style="2995"/>
    <col min="9207" max="9207" width="10.125" style="2995" customWidth="1"/>
    <col min="9208" max="9208" width="9" style="2995"/>
    <col min="9209" max="9209" width="9.875" style="2995" bestFit="1" customWidth="1"/>
    <col min="9210" max="9211" width="9" style="2995"/>
    <col min="9212" max="9212" width="10.75" style="2995" customWidth="1"/>
    <col min="9213" max="9213" width="9.875" style="2995" bestFit="1" customWidth="1"/>
    <col min="9214" max="9215" width="9" style="2995"/>
    <col min="9216" max="9216" width="9.875" style="2995" customWidth="1"/>
    <col min="9217" max="9219" width="9" style="2995"/>
    <col min="9220" max="9220" width="10.25" style="2995" customWidth="1"/>
    <col min="9221" max="9221" width="11" style="2995" bestFit="1" customWidth="1"/>
    <col min="9222" max="9394" width="9" style="2995"/>
    <col min="9395" max="9395" width="4" style="2995" customWidth="1"/>
    <col min="9396" max="9397" width="8" style="2995" customWidth="1"/>
    <col min="9398" max="9398" width="12.875" style="2995" customWidth="1"/>
    <col min="9399" max="9399" width="30.125" style="2995" customWidth="1"/>
    <col min="9400" max="9400" width="9.375" style="2995" customWidth="1"/>
    <col min="9401" max="9401" width="8.5" style="2995" customWidth="1"/>
    <col min="9402" max="9402" width="8" style="2995" customWidth="1"/>
    <col min="9403" max="9403" width="7.5" style="2995" customWidth="1"/>
    <col min="9404" max="9404" width="10.5" style="2995" customWidth="1"/>
    <col min="9405" max="9405" width="11.5" style="2995" customWidth="1"/>
    <col min="9406" max="9406" width="12.25" style="2995" customWidth="1"/>
    <col min="9407" max="9407" width="12.375" style="2995" customWidth="1"/>
    <col min="9408" max="9408" width="12.5" style="2995" customWidth="1"/>
    <col min="9409" max="9409" width="12.25" style="2995" customWidth="1"/>
    <col min="9410" max="9410" width="13.5" style="2995" customWidth="1"/>
    <col min="9411" max="9411" width="12.125" style="2995" customWidth="1"/>
    <col min="9412" max="9412" width="15.75" style="2995" customWidth="1"/>
    <col min="9413" max="9440" width="0" style="2995" hidden="1" customWidth="1"/>
    <col min="9441" max="9441" width="12.5" style="2995" customWidth="1"/>
    <col min="9442" max="9442" width="10" style="2995" customWidth="1"/>
    <col min="9443" max="9443" width="10.5" style="2995" customWidth="1"/>
    <col min="9444" max="9444" width="11.625" style="2995" customWidth="1"/>
    <col min="9445" max="9445" width="11.25" style="2995" customWidth="1"/>
    <col min="9446" max="9446" width="10" style="2995" customWidth="1"/>
    <col min="9447" max="9452" width="10.125" style="2995" customWidth="1"/>
    <col min="9453" max="9453" width="11.5" style="2995" customWidth="1"/>
    <col min="9454" max="9458" width="12" style="2995" customWidth="1"/>
    <col min="9459" max="9459" width="10.625" style="2995" customWidth="1"/>
    <col min="9460" max="9460" width="11" style="2995" bestFit="1" customWidth="1"/>
    <col min="9461" max="9461" width="9.875" style="2995" bestFit="1" customWidth="1"/>
    <col min="9462" max="9462" width="9" style="2995"/>
    <col min="9463" max="9463" width="10.125" style="2995" customWidth="1"/>
    <col min="9464" max="9464" width="9" style="2995"/>
    <col min="9465" max="9465" width="9.875" style="2995" bestFit="1" customWidth="1"/>
    <col min="9466" max="9467" width="9" style="2995"/>
    <col min="9468" max="9468" width="10.75" style="2995" customWidth="1"/>
    <col min="9469" max="9469" width="9.875" style="2995" bestFit="1" customWidth="1"/>
    <col min="9470" max="9471" width="9" style="2995"/>
    <col min="9472" max="9472" width="9.875" style="2995" customWidth="1"/>
    <col min="9473" max="9475" width="9" style="2995"/>
    <col min="9476" max="9476" width="10.25" style="2995" customWidth="1"/>
    <col min="9477" max="9477" width="11" style="2995" bestFit="1" customWidth="1"/>
    <col min="9478" max="9650" width="9" style="2995"/>
    <col min="9651" max="9651" width="4" style="2995" customWidth="1"/>
    <col min="9652" max="9653" width="8" style="2995" customWidth="1"/>
    <col min="9654" max="9654" width="12.875" style="2995" customWidth="1"/>
    <col min="9655" max="9655" width="30.125" style="2995" customWidth="1"/>
    <col min="9656" max="9656" width="9.375" style="2995" customWidth="1"/>
    <col min="9657" max="9657" width="8.5" style="2995" customWidth="1"/>
    <col min="9658" max="9658" width="8" style="2995" customWidth="1"/>
    <col min="9659" max="9659" width="7.5" style="2995" customWidth="1"/>
    <col min="9660" max="9660" width="10.5" style="2995" customWidth="1"/>
    <col min="9661" max="9661" width="11.5" style="2995" customWidth="1"/>
    <col min="9662" max="9662" width="12.25" style="2995" customWidth="1"/>
    <col min="9663" max="9663" width="12.375" style="2995" customWidth="1"/>
    <col min="9664" max="9664" width="12.5" style="2995" customWidth="1"/>
    <col min="9665" max="9665" width="12.25" style="2995" customWidth="1"/>
    <col min="9666" max="9666" width="13.5" style="2995" customWidth="1"/>
    <col min="9667" max="9667" width="12.125" style="2995" customWidth="1"/>
    <col min="9668" max="9668" width="15.75" style="2995" customWidth="1"/>
    <col min="9669" max="9696" width="0" style="2995" hidden="1" customWidth="1"/>
    <col min="9697" max="9697" width="12.5" style="2995" customWidth="1"/>
    <col min="9698" max="9698" width="10" style="2995" customWidth="1"/>
    <col min="9699" max="9699" width="10.5" style="2995" customWidth="1"/>
    <col min="9700" max="9700" width="11.625" style="2995" customWidth="1"/>
    <col min="9701" max="9701" width="11.25" style="2995" customWidth="1"/>
    <col min="9702" max="9702" width="10" style="2995" customWidth="1"/>
    <col min="9703" max="9708" width="10.125" style="2995" customWidth="1"/>
    <col min="9709" max="9709" width="11.5" style="2995" customWidth="1"/>
    <col min="9710" max="9714" width="12" style="2995" customWidth="1"/>
    <col min="9715" max="9715" width="10.625" style="2995" customWidth="1"/>
    <col min="9716" max="9716" width="11" style="2995" bestFit="1" customWidth="1"/>
    <col min="9717" max="9717" width="9.875" style="2995" bestFit="1" customWidth="1"/>
    <col min="9718" max="9718" width="9" style="2995"/>
    <col min="9719" max="9719" width="10.125" style="2995" customWidth="1"/>
    <col min="9720" max="9720" width="9" style="2995"/>
    <col min="9721" max="9721" width="9.875" style="2995" bestFit="1" customWidth="1"/>
    <col min="9722" max="9723" width="9" style="2995"/>
    <col min="9724" max="9724" width="10.75" style="2995" customWidth="1"/>
    <col min="9725" max="9725" width="9.875" style="2995" bestFit="1" customWidth="1"/>
    <col min="9726" max="9727" width="9" style="2995"/>
    <col min="9728" max="9728" width="9.875" style="2995" customWidth="1"/>
    <col min="9729" max="9731" width="9" style="2995"/>
    <col min="9732" max="9732" width="10.25" style="2995" customWidth="1"/>
    <col min="9733" max="9733" width="11" style="2995" bestFit="1" customWidth="1"/>
    <col min="9734" max="9906" width="9" style="2995"/>
    <col min="9907" max="9907" width="4" style="2995" customWidth="1"/>
    <col min="9908" max="9909" width="8" style="2995" customWidth="1"/>
    <col min="9910" max="9910" width="12.875" style="2995" customWidth="1"/>
    <col min="9911" max="9911" width="30.125" style="2995" customWidth="1"/>
    <col min="9912" max="9912" width="9.375" style="2995" customWidth="1"/>
    <col min="9913" max="9913" width="8.5" style="2995" customWidth="1"/>
    <col min="9914" max="9914" width="8" style="2995" customWidth="1"/>
    <col min="9915" max="9915" width="7.5" style="2995" customWidth="1"/>
    <col min="9916" max="9916" width="10.5" style="2995" customWidth="1"/>
    <col min="9917" max="9917" width="11.5" style="2995" customWidth="1"/>
    <col min="9918" max="9918" width="12.25" style="2995" customWidth="1"/>
    <col min="9919" max="9919" width="12.375" style="2995" customWidth="1"/>
    <col min="9920" max="9920" width="12.5" style="2995" customWidth="1"/>
    <col min="9921" max="9921" width="12.25" style="2995" customWidth="1"/>
    <col min="9922" max="9922" width="13.5" style="2995" customWidth="1"/>
    <col min="9923" max="9923" width="12.125" style="2995" customWidth="1"/>
    <col min="9924" max="9924" width="15.75" style="2995" customWidth="1"/>
    <col min="9925" max="9952" width="0" style="2995" hidden="1" customWidth="1"/>
    <col min="9953" max="9953" width="12.5" style="2995" customWidth="1"/>
    <col min="9954" max="9954" width="10" style="2995" customWidth="1"/>
    <col min="9955" max="9955" width="10.5" style="2995" customWidth="1"/>
    <col min="9956" max="9956" width="11.625" style="2995" customWidth="1"/>
    <col min="9957" max="9957" width="11.25" style="2995" customWidth="1"/>
    <col min="9958" max="9958" width="10" style="2995" customWidth="1"/>
    <col min="9959" max="9964" width="10.125" style="2995" customWidth="1"/>
    <col min="9965" max="9965" width="11.5" style="2995" customWidth="1"/>
    <col min="9966" max="9970" width="12" style="2995" customWidth="1"/>
    <col min="9971" max="9971" width="10.625" style="2995" customWidth="1"/>
    <col min="9972" max="9972" width="11" style="2995" bestFit="1" customWidth="1"/>
    <col min="9973" max="9973" width="9.875" style="2995" bestFit="1" customWidth="1"/>
    <col min="9974" max="9974" width="9" style="2995"/>
    <col min="9975" max="9975" width="10.125" style="2995" customWidth="1"/>
    <col min="9976" max="9976" width="9" style="2995"/>
    <col min="9977" max="9977" width="9.875" style="2995" bestFit="1" customWidth="1"/>
    <col min="9978" max="9979" width="9" style="2995"/>
    <col min="9980" max="9980" width="10.75" style="2995" customWidth="1"/>
    <col min="9981" max="9981" width="9.875" style="2995" bestFit="1" customWidth="1"/>
    <col min="9982" max="9983" width="9" style="2995"/>
    <col min="9984" max="9984" width="9.875" style="2995" customWidth="1"/>
    <col min="9985" max="9987" width="9" style="2995"/>
    <col min="9988" max="9988" width="10.25" style="2995" customWidth="1"/>
    <col min="9989" max="9989" width="11" style="2995" bestFit="1" customWidth="1"/>
    <col min="9990" max="10162" width="9" style="2995"/>
    <col min="10163" max="10163" width="4" style="2995" customWidth="1"/>
    <col min="10164" max="10165" width="8" style="2995" customWidth="1"/>
    <col min="10166" max="10166" width="12.875" style="2995" customWidth="1"/>
    <col min="10167" max="10167" width="30.125" style="2995" customWidth="1"/>
    <col min="10168" max="10168" width="9.375" style="2995" customWidth="1"/>
    <col min="10169" max="10169" width="8.5" style="2995" customWidth="1"/>
    <col min="10170" max="10170" width="8" style="2995" customWidth="1"/>
    <col min="10171" max="10171" width="7.5" style="2995" customWidth="1"/>
    <col min="10172" max="10172" width="10.5" style="2995" customWidth="1"/>
    <col min="10173" max="10173" width="11.5" style="2995" customWidth="1"/>
    <col min="10174" max="10174" width="12.25" style="2995" customWidth="1"/>
    <col min="10175" max="10175" width="12.375" style="2995" customWidth="1"/>
    <col min="10176" max="10176" width="12.5" style="2995" customWidth="1"/>
    <col min="10177" max="10177" width="12.25" style="2995" customWidth="1"/>
    <col min="10178" max="10178" width="13.5" style="2995" customWidth="1"/>
    <col min="10179" max="10179" width="12.125" style="2995" customWidth="1"/>
    <col min="10180" max="10180" width="15.75" style="2995" customWidth="1"/>
    <col min="10181" max="10208" width="0" style="2995" hidden="1" customWidth="1"/>
    <col min="10209" max="10209" width="12.5" style="2995" customWidth="1"/>
    <col min="10210" max="10210" width="10" style="2995" customWidth="1"/>
    <col min="10211" max="10211" width="10.5" style="2995" customWidth="1"/>
    <col min="10212" max="10212" width="11.625" style="2995" customWidth="1"/>
    <col min="10213" max="10213" width="11.25" style="2995" customWidth="1"/>
    <col min="10214" max="10214" width="10" style="2995" customWidth="1"/>
    <col min="10215" max="10220" width="10.125" style="2995" customWidth="1"/>
    <col min="10221" max="10221" width="11.5" style="2995" customWidth="1"/>
    <col min="10222" max="10226" width="12" style="2995" customWidth="1"/>
    <col min="10227" max="10227" width="10.625" style="2995" customWidth="1"/>
    <col min="10228" max="10228" width="11" style="2995" bestFit="1" customWidth="1"/>
    <col min="10229" max="10229" width="9.875" style="2995" bestFit="1" customWidth="1"/>
    <col min="10230" max="10230" width="9" style="2995"/>
    <col min="10231" max="10231" width="10.125" style="2995" customWidth="1"/>
    <col min="10232" max="10232" width="9" style="2995"/>
    <col min="10233" max="10233" width="9.875" style="2995" bestFit="1" customWidth="1"/>
    <col min="10234" max="10235" width="9" style="2995"/>
    <col min="10236" max="10236" width="10.75" style="2995" customWidth="1"/>
    <col min="10237" max="10237" width="9.875" style="2995" bestFit="1" customWidth="1"/>
    <col min="10238" max="10239" width="9" style="2995"/>
    <col min="10240" max="10240" width="9.875" style="2995" customWidth="1"/>
    <col min="10241" max="10243" width="9" style="2995"/>
    <col min="10244" max="10244" width="10.25" style="2995" customWidth="1"/>
    <col min="10245" max="10245" width="11" style="2995" bestFit="1" customWidth="1"/>
    <col min="10246" max="10418" width="9" style="2995"/>
    <col min="10419" max="10419" width="4" style="2995" customWidth="1"/>
    <col min="10420" max="10421" width="8" style="2995" customWidth="1"/>
    <col min="10422" max="10422" width="12.875" style="2995" customWidth="1"/>
    <col min="10423" max="10423" width="30.125" style="2995" customWidth="1"/>
    <col min="10424" max="10424" width="9.375" style="2995" customWidth="1"/>
    <col min="10425" max="10425" width="8.5" style="2995" customWidth="1"/>
    <col min="10426" max="10426" width="8" style="2995" customWidth="1"/>
    <col min="10427" max="10427" width="7.5" style="2995" customWidth="1"/>
    <col min="10428" max="10428" width="10.5" style="2995" customWidth="1"/>
    <col min="10429" max="10429" width="11.5" style="2995" customWidth="1"/>
    <col min="10430" max="10430" width="12.25" style="2995" customWidth="1"/>
    <col min="10431" max="10431" width="12.375" style="2995" customWidth="1"/>
    <col min="10432" max="10432" width="12.5" style="2995" customWidth="1"/>
    <col min="10433" max="10433" width="12.25" style="2995" customWidth="1"/>
    <col min="10434" max="10434" width="13.5" style="2995" customWidth="1"/>
    <col min="10435" max="10435" width="12.125" style="2995" customWidth="1"/>
    <col min="10436" max="10436" width="15.75" style="2995" customWidth="1"/>
    <col min="10437" max="10464" width="0" style="2995" hidden="1" customWidth="1"/>
    <col min="10465" max="10465" width="12.5" style="2995" customWidth="1"/>
    <col min="10466" max="10466" width="10" style="2995" customWidth="1"/>
    <col min="10467" max="10467" width="10.5" style="2995" customWidth="1"/>
    <col min="10468" max="10468" width="11.625" style="2995" customWidth="1"/>
    <col min="10469" max="10469" width="11.25" style="2995" customWidth="1"/>
    <col min="10470" max="10470" width="10" style="2995" customWidth="1"/>
    <col min="10471" max="10476" width="10.125" style="2995" customWidth="1"/>
    <col min="10477" max="10477" width="11.5" style="2995" customWidth="1"/>
    <col min="10478" max="10482" width="12" style="2995" customWidth="1"/>
    <col min="10483" max="10483" width="10.625" style="2995" customWidth="1"/>
    <col min="10484" max="10484" width="11" style="2995" bestFit="1" customWidth="1"/>
    <col min="10485" max="10485" width="9.875" style="2995" bestFit="1" customWidth="1"/>
    <col min="10486" max="10486" width="9" style="2995"/>
    <col min="10487" max="10487" width="10.125" style="2995" customWidth="1"/>
    <col min="10488" max="10488" width="9" style="2995"/>
    <col min="10489" max="10489" width="9.875" style="2995" bestFit="1" customWidth="1"/>
    <col min="10490" max="10491" width="9" style="2995"/>
    <col min="10492" max="10492" width="10.75" style="2995" customWidth="1"/>
    <col min="10493" max="10493" width="9.875" style="2995" bestFit="1" customWidth="1"/>
    <col min="10494" max="10495" width="9" style="2995"/>
    <col min="10496" max="10496" width="9.875" style="2995" customWidth="1"/>
    <col min="10497" max="10499" width="9" style="2995"/>
    <col min="10500" max="10500" width="10.25" style="2995" customWidth="1"/>
    <col min="10501" max="10501" width="11" style="2995" bestFit="1" customWidth="1"/>
    <col min="10502" max="10674" width="9" style="2995"/>
    <col min="10675" max="10675" width="4" style="2995" customWidth="1"/>
    <col min="10676" max="10677" width="8" style="2995" customWidth="1"/>
    <col min="10678" max="10678" width="12.875" style="2995" customWidth="1"/>
    <col min="10679" max="10679" width="30.125" style="2995" customWidth="1"/>
    <col min="10680" max="10680" width="9.375" style="2995" customWidth="1"/>
    <col min="10681" max="10681" width="8.5" style="2995" customWidth="1"/>
    <col min="10682" max="10682" width="8" style="2995" customWidth="1"/>
    <col min="10683" max="10683" width="7.5" style="2995" customWidth="1"/>
    <col min="10684" max="10684" width="10.5" style="2995" customWidth="1"/>
    <col min="10685" max="10685" width="11.5" style="2995" customWidth="1"/>
    <col min="10686" max="10686" width="12.25" style="2995" customWidth="1"/>
    <col min="10687" max="10687" width="12.375" style="2995" customWidth="1"/>
    <col min="10688" max="10688" width="12.5" style="2995" customWidth="1"/>
    <col min="10689" max="10689" width="12.25" style="2995" customWidth="1"/>
    <col min="10690" max="10690" width="13.5" style="2995" customWidth="1"/>
    <col min="10691" max="10691" width="12.125" style="2995" customWidth="1"/>
    <col min="10692" max="10692" width="15.75" style="2995" customWidth="1"/>
    <col min="10693" max="10720" width="0" style="2995" hidden="1" customWidth="1"/>
    <col min="10721" max="10721" width="12.5" style="2995" customWidth="1"/>
    <col min="10722" max="10722" width="10" style="2995" customWidth="1"/>
    <col min="10723" max="10723" width="10.5" style="2995" customWidth="1"/>
    <col min="10724" max="10724" width="11.625" style="2995" customWidth="1"/>
    <col min="10725" max="10725" width="11.25" style="2995" customWidth="1"/>
    <col min="10726" max="10726" width="10" style="2995" customWidth="1"/>
    <col min="10727" max="10732" width="10.125" style="2995" customWidth="1"/>
    <col min="10733" max="10733" width="11.5" style="2995" customWidth="1"/>
    <col min="10734" max="10738" width="12" style="2995" customWidth="1"/>
    <col min="10739" max="10739" width="10.625" style="2995" customWidth="1"/>
    <col min="10740" max="10740" width="11" style="2995" bestFit="1" customWidth="1"/>
    <col min="10741" max="10741" width="9.875" style="2995" bestFit="1" customWidth="1"/>
    <col min="10742" max="10742" width="9" style="2995"/>
    <col min="10743" max="10743" width="10.125" style="2995" customWidth="1"/>
    <col min="10744" max="10744" width="9" style="2995"/>
    <col min="10745" max="10745" width="9.875" style="2995" bestFit="1" customWidth="1"/>
    <col min="10746" max="10747" width="9" style="2995"/>
    <col min="10748" max="10748" width="10.75" style="2995" customWidth="1"/>
    <col min="10749" max="10749" width="9.875" style="2995" bestFit="1" customWidth="1"/>
    <col min="10750" max="10751" width="9" style="2995"/>
    <col min="10752" max="10752" width="9.875" style="2995" customWidth="1"/>
    <col min="10753" max="10755" width="9" style="2995"/>
    <col min="10756" max="10756" width="10.25" style="2995" customWidth="1"/>
    <col min="10757" max="10757" width="11" style="2995" bestFit="1" customWidth="1"/>
    <col min="10758" max="10930" width="9" style="2995"/>
    <col min="10931" max="10931" width="4" style="2995" customWidth="1"/>
    <col min="10932" max="10933" width="8" style="2995" customWidth="1"/>
    <col min="10934" max="10934" width="12.875" style="2995" customWidth="1"/>
    <col min="10935" max="10935" width="30.125" style="2995" customWidth="1"/>
    <col min="10936" max="10936" width="9.375" style="2995" customWidth="1"/>
    <col min="10937" max="10937" width="8.5" style="2995" customWidth="1"/>
    <col min="10938" max="10938" width="8" style="2995" customWidth="1"/>
    <col min="10939" max="10939" width="7.5" style="2995" customWidth="1"/>
    <col min="10940" max="10940" width="10.5" style="2995" customWidth="1"/>
    <col min="10941" max="10941" width="11.5" style="2995" customWidth="1"/>
    <col min="10942" max="10942" width="12.25" style="2995" customWidth="1"/>
    <col min="10943" max="10943" width="12.375" style="2995" customWidth="1"/>
    <col min="10944" max="10944" width="12.5" style="2995" customWidth="1"/>
    <col min="10945" max="10945" width="12.25" style="2995" customWidth="1"/>
    <col min="10946" max="10946" width="13.5" style="2995" customWidth="1"/>
    <col min="10947" max="10947" width="12.125" style="2995" customWidth="1"/>
    <col min="10948" max="10948" width="15.75" style="2995" customWidth="1"/>
    <col min="10949" max="10976" width="0" style="2995" hidden="1" customWidth="1"/>
    <col min="10977" max="10977" width="12.5" style="2995" customWidth="1"/>
    <col min="10978" max="10978" width="10" style="2995" customWidth="1"/>
    <col min="10979" max="10979" width="10.5" style="2995" customWidth="1"/>
    <col min="10980" max="10980" width="11.625" style="2995" customWidth="1"/>
    <col min="10981" max="10981" width="11.25" style="2995" customWidth="1"/>
    <col min="10982" max="10982" width="10" style="2995" customWidth="1"/>
    <col min="10983" max="10988" width="10.125" style="2995" customWidth="1"/>
    <col min="10989" max="10989" width="11.5" style="2995" customWidth="1"/>
    <col min="10990" max="10994" width="12" style="2995" customWidth="1"/>
    <col min="10995" max="10995" width="10.625" style="2995" customWidth="1"/>
    <col min="10996" max="10996" width="11" style="2995" bestFit="1" customWidth="1"/>
    <col min="10997" max="10997" width="9.875" style="2995" bestFit="1" customWidth="1"/>
    <col min="10998" max="10998" width="9" style="2995"/>
    <col min="10999" max="10999" width="10.125" style="2995" customWidth="1"/>
    <col min="11000" max="11000" width="9" style="2995"/>
    <col min="11001" max="11001" width="9.875" style="2995" bestFit="1" customWidth="1"/>
    <col min="11002" max="11003" width="9" style="2995"/>
    <col min="11004" max="11004" width="10.75" style="2995" customWidth="1"/>
    <col min="11005" max="11005" width="9.875" style="2995" bestFit="1" customWidth="1"/>
    <col min="11006" max="11007" width="9" style="2995"/>
    <col min="11008" max="11008" width="9.875" style="2995" customWidth="1"/>
    <col min="11009" max="11011" width="9" style="2995"/>
    <col min="11012" max="11012" width="10.25" style="2995" customWidth="1"/>
    <col min="11013" max="11013" width="11" style="2995" bestFit="1" customWidth="1"/>
    <col min="11014" max="11186" width="9" style="2995"/>
    <col min="11187" max="11187" width="4" style="2995" customWidth="1"/>
    <col min="11188" max="11189" width="8" style="2995" customWidth="1"/>
    <col min="11190" max="11190" width="12.875" style="2995" customWidth="1"/>
    <col min="11191" max="11191" width="30.125" style="2995" customWidth="1"/>
    <col min="11192" max="11192" width="9.375" style="2995" customWidth="1"/>
    <col min="11193" max="11193" width="8.5" style="2995" customWidth="1"/>
    <col min="11194" max="11194" width="8" style="2995" customWidth="1"/>
    <col min="11195" max="11195" width="7.5" style="2995" customWidth="1"/>
    <col min="11196" max="11196" width="10.5" style="2995" customWidth="1"/>
    <col min="11197" max="11197" width="11.5" style="2995" customWidth="1"/>
    <col min="11198" max="11198" width="12.25" style="2995" customWidth="1"/>
    <col min="11199" max="11199" width="12.375" style="2995" customWidth="1"/>
    <col min="11200" max="11200" width="12.5" style="2995" customWidth="1"/>
    <col min="11201" max="11201" width="12.25" style="2995" customWidth="1"/>
    <col min="11202" max="11202" width="13.5" style="2995" customWidth="1"/>
    <col min="11203" max="11203" width="12.125" style="2995" customWidth="1"/>
    <col min="11204" max="11204" width="15.75" style="2995" customWidth="1"/>
    <col min="11205" max="11232" width="0" style="2995" hidden="1" customWidth="1"/>
    <col min="11233" max="11233" width="12.5" style="2995" customWidth="1"/>
    <col min="11234" max="11234" width="10" style="2995" customWidth="1"/>
    <col min="11235" max="11235" width="10.5" style="2995" customWidth="1"/>
    <col min="11236" max="11236" width="11.625" style="2995" customWidth="1"/>
    <col min="11237" max="11237" width="11.25" style="2995" customWidth="1"/>
    <col min="11238" max="11238" width="10" style="2995" customWidth="1"/>
    <col min="11239" max="11244" width="10.125" style="2995" customWidth="1"/>
    <col min="11245" max="11245" width="11.5" style="2995" customWidth="1"/>
    <col min="11246" max="11250" width="12" style="2995" customWidth="1"/>
    <col min="11251" max="11251" width="10.625" style="2995" customWidth="1"/>
    <col min="11252" max="11252" width="11" style="2995" bestFit="1" customWidth="1"/>
    <col min="11253" max="11253" width="9.875" style="2995" bestFit="1" customWidth="1"/>
    <col min="11254" max="11254" width="9" style="2995"/>
    <col min="11255" max="11255" width="10.125" style="2995" customWidth="1"/>
    <col min="11256" max="11256" width="9" style="2995"/>
    <col min="11257" max="11257" width="9.875" style="2995" bestFit="1" customWidth="1"/>
    <col min="11258" max="11259" width="9" style="2995"/>
    <col min="11260" max="11260" width="10.75" style="2995" customWidth="1"/>
    <col min="11261" max="11261" width="9.875" style="2995" bestFit="1" customWidth="1"/>
    <col min="11262" max="11263" width="9" style="2995"/>
    <col min="11264" max="11264" width="9.875" style="2995" customWidth="1"/>
    <col min="11265" max="11267" width="9" style="2995"/>
    <col min="11268" max="11268" width="10.25" style="2995" customWidth="1"/>
    <col min="11269" max="11269" width="11" style="2995" bestFit="1" customWidth="1"/>
    <col min="11270" max="11442" width="9" style="2995"/>
    <col min="11443" max="11443" width="4" style="2995" customWidth="1"/>
    <col min="11444" max="11445" width="8" style="2995" customWidth="1"/>
    <col min="11446" max="11446" width="12.875" style="2995" customWidth="1"/>
    <col min="11447" max="11447" width="30.125" style="2995" customWidth="1"/>
    <col min="11448" max="11448" width="9.375" style="2995" customWidth="1"/>
    <col min="11449" max="11449" width="8.5" style="2995" customWidth="1"/>
    <col min="11450" max="11450" width="8" style="2995" customWidth="1"/>
    <col min="11451" max="11451" width="7.5" style="2995" customWidth="1"/>
    <col min="11452" max="11452" width="10.5" style="2995" customWidth="1"/>
    <col min="11453" max="11453" width="11.5" style="2995" customWidth="1"/>
    <col min="11454" max="11454" width="12.25" style="2995" customWidth="1"/>
    <col min="11455" max="11455" width="12.375" style="2995" customWidth="1"/>
    <col min="11456" max="11456" width="12.5" style="2995" customWidth="1"/>
    <col min="11457" max="11457" width="12.25" style="2995" customWidth="1"/>
    <col min="11458" max="11458" width="13.5" style="2995" customWidth="1"/>
    <col min="11459" max="11459" width="12.125" style="2995" customWidth="1"/>
    <col min="11460" max="11460" width="15.75" style="2995" customWidth="1"/>
    <col min="11461" max="11488" width="0" style="2995" hidden="1" customWidth="1"/>
    <col min="11489" max="11489" width="12.5" style="2995" customWidth="1"/>
    <col min="11490" max="11490" width="10" style="2995" customWidth="1"/>
    <col min="11491" max="11491" width="10.5" style="2995" customWidth="1"/>
    <col min="11492" max="11492" width="11.625" style="2995" customWidth="1"/>
    <col min="11493" max="11493" width="11.25" style="2995" customWidth="1"/>
    <col min="11494" max="11494" width="10" style="2995" customWidth="1"/>
    <col min="11495" max="11500" width="10.125" style="2995" customWidth="1"/>
    <col min="11501" max="11501" width="11.5" style="2995" customWidth="1"/>
    <col min="11502" max="11506" width="12" style="2995" customWidth="1"/>
    <col min="11507" max="11507" width="10.625" style="2995" customWidth="1"/>
    <col min="11508" max="11508" width="11" style="2995" bestFit="1" customWidth="1"/>
    <col min="11509" max="11509" width="9.875" style="2995" bestFit="1" customWidth="1"/>
    <col min="11510" max="11510" width="9" style="2995"/>
    <col min="11511" max="11511" width="10.125" style="2995" customWidth="1"/>
    <col min="11512" max="11512" width="9" style="2995"/>
    <col min="11513" max="11513" width="9.875" style="2995" bestFit="1" customWidth="1"/>
    <col min="11514" max="11515" width="9" style="2995"/>
    <col min="11516" max="11516" width="10.75" style="2995" customWidth="1"/>
    <col min="11517" max="11517" width="9.875" style="2995" bestFit="1" customWidth="1"/>
    <col min="11518" max="11519" width="9" style="2995"/>
    <col min="11520" max="11520" width="9.875" style="2995" customWidth="1"/>
    <col min="11521" max="11523" width="9" style="2995"/>
    <col min="11524" max="11524" width="10.25" style="2995" customWidth="1"/>
    <col min="11525" max="11525" width="11" style="2995" bestFit="1" customWidth="1"/>
    <col min="11526" max="11698" width="9" style="2995"/>
    <col min="11699" max="11699" width="4" style="2995" customWidth="1"/>
    <col min="11700" max="11701" width="8" style="2995" customWidth="1"/>
    <col min="11702" max="11702" width="12.875" style="2995" customWidth="1"/>
    <col min="11703" max="11703" width="30.125" style="2995" customWidth="1"/>
    <col min="11704" max="11704" width="9.375" style="2995" customWidth="1"/>
    <col min="11705" max="11705" width="8.5" style="2995" customWidth="1"/>
    <col min="11706" max="11706" width="8" style="2995" customWidth="1"/>
    <col min="11707" max="11707" width="7.5" style="2995" customWidth="1"/>
    <col min="11708" max="11708" width="10.5" style="2995" customWidth="1"/>
    <col min="11709" max="11709" width="11.5" style="2995" customWidth="1"/>
    <col min="11710" max="11710" width="12.25" style="2995" customWidth="1"/>
    <col min="11711" max="11711" width="12.375" style="2995" customWidth="1"/>
    <col min="11712" max="11712" width="12.5" style="2995" customWidth="1"/>
    <col min="11713" max="11713" width="12.25" style="2995" customWidth="1"/>
    <col min="11714" max="11714" width="13.5" style="2995" customWidth="1"/>
    <col min="11715" max="11715" width="12.125" style="2995" customWidth="1"/>
    <col min="11716" max="11716" width="15.75" style="2995" customWidth="1"/>
    <col min="11717" max="11744" width="0" style="2995" hidden="1" customWidth="1"/>
    <col min="11745" max="11745" width="12.5" style="2995" customWidth="1"/>
    <col min="11746" max="11746" width="10" style="2995" customWidth="1"/>
    <col min="11747" max="11747" width="10.5" style="2995" customWidth="1"/>
    <col min="11748" max="11748" width="11.625" style="2995" customWidth="1"/>
    <col min="11749" max="11749" width="11.25" style="2995" customWidth="1"/>
    <col min="11750" max="11750" width="10" style="2995" customWidth="1"/>
    <col min="11751" max="11756" width="10.125" style="2995" customWidth="1"/>
    <col min="11757" max="11757" width="11.5" style="2995" customWidth="1"/>
    <col min="11758" max="11762" width="12" style="2995" customWidth="1"/>
    <col min="11763" max="11763" width="10.625" style="2995" customWidth="1"/>
    <col min="11764" max="11764" width="11" style="2995" bestFit="1" customWidth="1"/>
    <col min="11765" max="11765" width="9.875" style="2995" bestFit="1" customWidth="1"/>
    <col min="11766" max="11766" width="9" style="2995"/>
    <col min="11767" max="11767" width="10.125" style="2995" customWidth="1"/>
    <col min="11768" max="11768" width="9" style="2995"/>
    <col min="11769" max="11769" width="9.875" style="2995" bestFit="1" customWidth="1"/>
    <col min="11770" max="11771" width="9" style="2995"/>
    <col min="11772" max="11772" width="10.75" style="2995" customWidth="1"/>
    <col min="11773" max="11773" width="9.875" style="2995" bestFit="1" customWidth="1"/>
    <col min="11774" max="11775" width="9" style="2995"/>
    <col min="11776" max="11776" width="9.875" style="2995" customWidth="1"/>
    <col min="11777" max="11779" width="9" style="2995"/>
    <col min="11780" max="11780" width="10.25" style="2995" customWidth="1"/>
    <col min="11781" max="11781" width="11" style="2995" bestFit="1" customWidth="1"/>
    <col min="11782" max="11954" width="9" style="2995"/>
    <col min="11955" max="11955" width="4" style="2995" customWidth="1"/>
    <col min="11956" max="11957" width="8" style="2995" customWidth="1"/>
    <col min="11958" max="11958" width="12.875" style="2995" customWidth="1"/>
    <col min="11959" max="11959" width="30.125" style="2995" customWidth="1"/>
    <col min="11960" max="11960" width="9.375" style="2995" customWidth="1"/>
    <col min="11961" max="11961" width="8.5" style="2995" customWidth="1"/>
    <col min="11962" max="11962" width="8" style="2995" customWidth="1"/>
    <col min="11963" max="11963" width="7.5" style="2995" customWidth="1"/>
    <col min="11964" max="11964" width="10.5" style="2995" customWidth="1"/>
    <col min="11965" max="11965" width="11.5" style="2995" customWidth="1"/>
    <col min="11966" max="11966" width="12.25" style="2995" customWidth="1"/>
    <col min="11967" max="11967" width="12.375" style="2995" customWidth="1"/>
    <col min="11968" max="11968" width="12.5" style="2995" customWidth="1"/>
    <col min="11969" max="11969" width="12.25" style="2995" customWidth="1"/>
    <col min="11970" max="11970" width="13.5" style="2995" customWidth="1"/>
    <col min="11971" max="11971" width="12.125" style="2995" customWidth="1"/>
    <col min="11972" max="11972" width="15.75" style="2995" customWidth="1"/>
    <col min="11973" max="12000" width="0" style="2995" hidden="1" customWidth="1"/>
    <col min="12001" max="12001" width="12.5" style="2995" customWidth="1"/>
    <col min="12002" max="12002" width="10" style="2995" customWidth="1"/>
    <col min="12003" max="12003" width="10.5" style="2995" customWidth="1"/>
    <col min="12004" max="12004" width="11.625" style="2995" customWidth="1"/>
    <col min="12005" max="12005" width="11.25" style="2995" customWidth="1"/>
    <col min="12006" max="12006" width="10" style="2995" customWidth="1"/>
    <col min="12007" max="12012" width="10.125" style="2995" customWidth="1"/>
    <col min="12013" max="12013" width="11.5" style="2995" customWidth="1"/>
    <col min="12014" max="12018" width="12" style="2995" customWidth="1"/>
    <col min="12019" max="12019" width="10.625" style="2995" customWidth="1"/>
    <col min="12020" max="12020" width="11" style="2995" bestFit="1" customWidth="1"/>
    <col min="12021" max="12021" width="9.875" style="2995" bestFit="1" customWidth="1"/>
    <col min="12022" max="12022" width="9" style="2995"/>
    <col min="12023" max="12023" width="10.125" style="2995" customWidth="1"/>
    <col min="12024" max="12024" width="9" style="2995"/>
    <col min="12025" max="12025" width="9.875" style="2995" bestFit="1" customWidth="1"/>
    <col min="12026" max="12027" width="9" style="2995"/>
    <col min="12028" max="12028" width="10.75" style="2995" customWidth="1"/>
    <col min="12029" max="12029" width="9.875" style="2995" bestFit="1" customWidth="1"/>
    <col min="12030" max="12031" width="9" style="2995"/>
    <col min="12032" max="12032" width="9.875" style="2995" customWidth="1"/>
    <col min="12033" max="12035" width="9" style="2995"/>
    <col min="12036" max="12036" width="10.25" style="2995" customWidth="1"/>
    <col min="12037" max="12037" width="11" style="2995" bestFit="1" customWidth="1"/>
    <col min="12038" max="12210" width="9" style="2995"/>
    <col min="12211" max="12211" width="4" style="2995" customWidth="1"/>
    <col min="12212" max="12213" width="8" style="2995" customWidth="1"/>
    <col min="12214" max="12214" width="12.875" style="2995" customWidth="1"/>
    <col min="12215" max="12215" width="30.125" style="2995" customWidth="1"/>
    <col min="12216" max="12216" width="9.375" style="2995" customWidth="1"/>
    <col min="12217" max="12217" width="8.5" style="2995" customWidth="1"/>
    <col min="12218" max="12218" width="8" style="2995" customWidth="1"/>
    <col min="12219" max="12219" width="7.5" style="2995" customWidth="1"/>
    <col min="12220" max="12220" width="10.5" style="2995" customWidth="1"/>
    <col min="12221" max="12221" width="11.5" style="2995" customWidth="1"/>
    <col min="12222" max="12222" width="12.25" style="2995" customWidth="1"/>
    <col min="12223" max="12223" width="12.375" style="2995" customWidth="1"/>
    <col min="12224" max="12224" width="12.5" style="2995" customWidth="1"/>
    <col min="12225" max="12225" width="12.25" style="2995" customWidth="1"/>
    <col min="12226" max="12226" width="13.5" style="2995" customWidth="1"/>
    <col min="12227" max="12227" width="12.125" style="2995" customWidth="1"/>
    <col min="12228" max="12228" width="15.75" style="2995" customWidth="1"/>
    <col min="12229" max="12256" width="0" style="2995" hidden="1" customWidth="1"/>
    <col min="12257" max="12257" width="12.5" style="2995" customWidth="1"/>
    <col min="12258" max="12258" width="10" style="2995" customWidth="1"/>
    <col min="12259" max="12259" width="10.5" style="2995" customWidth="1"/>
    <col min="12260" max="12260" width="11.625" style="2995" customWidth="1"/>
    <col min="12261" max="12261" width="11.25" style="2995" customWidth="1"/>
    <col min="12262" max="12262" width="10" style="2995" customWidth="1"/>
    <col min="12263" max="12268" width="10.125" style="2995" customWidth="1"/>
    <col min="12269" max="12269" width="11.5" style="2995" customWidth="1"/>
    <col min="12270" max="12274" width="12" style="2995" customWidth="1"/>
    <col min="12275" max="12275" width="10.625" style="2995" customWidth="1"/>
    <col min="12276" max="12276" width="11" style="2995" bestFit="1" customWidth="1"/>
    <col min="12277" max="12277" width="9.875" style="2995" bestFit="1" customWidth="1"/>
    <col min="12278" max="12278" width="9" style="2995"/>
    <col min="12279" max="12279" width="10.125" style="2995" customWidth="1"/>
    <col min="12280" max="12280" width="9" style="2995"/>
    <col min="12281" max="12281" width="9.875" style="2995" bestFit="1" customWidth="1"/>
    <col min="12282" max="12283" width="9" style="2995"/>
    <col min="12284" max="12284" width="10.75" style="2995" customWidth="1"/>
    <col min="12285" max="12285" width="9.875" style="2995" bestFit="1" customWidth="1"/>
    <col min="12286" max="12287" width="9" style="2995"/>
    <col min="12288" max="12288" width="9.875" style="2995" customWidth="1"/>
    <col min="12289" max="12291" width="9" style="2995"/>
    <col min="12292" max="12292" width="10.25" style="2995" customWidth="1"/>
    <col min="12293" max="12293" width="11" style="2995" bestFit="1" customWidth="1"/>
    <col min="12294" max="12466" width="9" style="2995"/>
    <col min="12467" max="12467" width="4" style="2995" customWidth="1"/>
    <col min="12468" max="12469" width="8" style="2995" customWidth="1"/>
    <col min="12470" max="12470" width="12.875" style="2995" customWidth="1"/>
    <col min="12471" max="12471" width="30.125" style="2995" customWidth="1"/>
    <col min="12472" max="12472" width="9.375" style="2995" customWidth="1"/>
    <col min="12473" max="12473" width="8.5" style="2995" customWidth="1"/>
    <col min="12474" max="12474" width="8" style="2995" customWidth="1"/>
    <col min="12475" max="12475" width="7.5" style="2995" customWidth="1"/>
    <col min="12476" max="12476" width="10.5" style="2995" customWidth="1"/>
    <col min="12477" max="12477" width="11.5" style="2995" customWidth="1"/>
    <col min="12478" max="12478" width="12.25" style="2995" customWidth="1"/>
    <col min="12479" max="12479" width="12.375" style="2995" customWidth="1"/>
    <col min="12480" max="12480" width="12.5" style="2995" customWidth="1"/>
    <col min="12481" max="12481" width="12.25" style="2995" customWidth="1"/>
    <col min="12482" max="12482" width="13.5" style="2995" customWidth="1"/>
    <col min="12483" max="12483" width="12.125" style="2995" customWidth="1"/>
    <col min="12484" max="12484" width="15.75" style="2995" customWidth="1"/>
    <col min="12485" max="12512" width="0" style="2995" hidden="1" customWidth="1"/>
    <col min="12513" max="12513" width="12.5" style="2995" customWidth="1"/>
    <col min="12514" max="12514" width="10" style="2995" customWidth="1"/>
    <col min="12515" max="12515" width="10.5" style="2995" customWidth="1"/>
    <col min="12516" max="12516" width="11.625" style="2995" customWidth="1"/>
    <col min="12517" max="12517" width="11.25" style="2995" customWidth="1"/>
    <col min="12518" max="12518" width="10" style="2995" customWidth="1"/>
    <col min="12519" max="12524" width="10.125" style="2995" customWidth="1"/>
    <col min="12525" max="12525" width="11.5" style="2995" customWidth="1"/>
    <col min="12526" max="12530" width="12" style="2995" customWidth="1"/>
    <col min="12531" max="12531" width="10.625" style="2995" customWidth="1"/>
    <col min="12532" max="12532" width="11" style="2995" bestFit="1" customWidth="1"/>
    <col min="12533" max="12533" width="9.875" style="2995" bestFit="1" customWidth="1"/>
    <col min="12534" max="12534" width="9" style="2995"/>
    <col min="12535" max="12535" width="10.125" style="2995" customWidth="1"/>
    <col min="12536" max="12536" width="9" style="2995"/>
    <col min="12537" max="12537" width="9.875" style="2995" bestFit="1" customWidth="1"/>
    <col min="12538" max="12539" width="9" style="2995"/>
    <col min="12540" max="12540" width="10.75" style="2995" customWidth="1"/>
    <col min="12541" max="12541" width="9.875" style="2995" bestFit="1" customWidth="1"/>
    <col min="12542" max="12543" width="9" style="2995"/>
    <col min="12544" max="12544" width="9.875" style="2995" customWidth="1"/>
    <col min="12545" max="12547" width="9" style="2995"/>
    <col min="12548" max="12548" width="10.25" style="2995" customWidth="1"/>
    <col min="12549" max="12549" width="11" style="2995" bestFit="1" customWidth="1"/>
    <col min="12550" max="12722" width="9" style="2995"/>
    <col min="12723" max="12723" width="4" style="2995" customWidth="1"/>
    <col min="12724" max="12725" width="8" style="2995" customWidth="1"/>
    <col min="12726" max="12726" width="12.875" style="2995" customWidth="1"/>
    <col min="12727" max="12727" width="30.125" style="2995" customWidth="1"/>
    <col min="12728" max="12728" width="9.375" style="2995" customWidth="1"/>
    <col min="12729" max="12729" width="8.5" style="2995" customWidth="1"/>
    <col min="12730" max="12730" width="8" style="2995" customWidth="1"/>
    <col min="12731" max="12731" width="7.5" style="2995" customWidth="1"/>
    <col min="12732" max="12732" width="10.5" style="2995" customWidth="1"/>
    <col min="12733" max="12733" width="11.5" style="2995" customWidth="1"/>
    <col min="12734" max="12734" width="12.25" style="2995" customWidth="1"/>
    <col min="12735" max="12735" width="12.375" style="2995" customWidth="1"/>
    <col min="12736" max="12736" width="12.5" style="2995" customWidth="1"/>
    <col min="12737" max="12737" width="12.25" style="2995" customWidth="1"/>
    <col min="12738" max="12738" width="13.5" style="2995" customWidth="1"/>
    <col min="12739" max="12739" width="12.125" style="2995" customWidth="1"/>
    <col min="12740" max="12740" width="15.75" style="2995" customWidth="1"/>
    <col min="12741" max="12768" width="0" style="2995" hidden="1" customWidth="1"/>
    <col min="12769" max="12769" width="12.5" style="2995" customWidth="1"/>
    <col min="12770" max="12770" width="10" style="2995" customWidth="1"/>
    <col min="12771" max="12771" width="10.5" style="2995" customWidth="1"/>
    <col min="12772" max="12772" width="11.625" style="2995" customWidth="1"/>
    <col min="12773" max="12773" width="11.25" style="2995" customWidth="1"/>
    <col min="12774" max="12774" width="10" style="2995" customWidth="1"/>
    <col min="12775" max="12780" width="10.125" style="2995" customWidth="1"/>
    <col min="12781" max="12781" width="11.5" style="2995" customWidth="1"/>
    <col min="12782" max="12786" width="12" style="2995" customWidth="1"/>
    <col min="12787" max="12787" width="10.625" style="2995" customWidth="1"/>
    <col min="12788" max="12788" width="11" style="2995" bestFit="1" customWidth="1"/>
    <col min="12789" max="12789" width="9.875" style="2995" bestFit="1" customWidth="1"/>
    <col min="12790" max="12790" width="9" style="2995"/>
    <col min="12791" max="12791" width="10.125" style="2995" customWidth="1"/>
    <col min="12792" max="12792" width="9" style="2995"/>
    <col min="12793" max="12793" width="9.875" style="2995" bestFit="1" customWidth="1"/>
    <col min="12794" max="12795" width="9" style="2995"/>
    <col min="12796" max="12796" width="10.75" style="2995" customWidth="1"/>
    <col min="12797" max="12797" width="9.875" style="2995" bestFit="1" customWidth="1"/>
    <col min="12798" max="12799" width="9" style="2995"/>
    <col min="12800" max="12800" width="9.875" style="2995" customWidth="1"/>
    <col min="12801" max="12803" width="9" style="2995"/>
    <col min="12804" max="12804" width="10.25" style="2995" customWidth="1"/>
    <col min="12805" max="12805" width="11" style="2995" bestFit="1" customWidth="1"/>
    <col min="12806" max="12978" width="9" style="2995"/>
    <col min="12979" max="12979" width="4" style="2995" customWidth="1"/>
    <col min="12980" max="12981" width="8" style="2995" customWidth="1"/>
    <col min="12982" max="12982" width="12.875" style="2995" customWidth="1"/>
    <col min="12983" max="12983" width="30.125" style="2995" customWidth="1"/>
    <col min="12984" max="12984" width="9.375" style="2995" customWidth="1"/>
    <col min="12985" max="12985" width="8.5" style="2995" customWidth="1"/>
    <col min="12986" max="12986" width="8" style="2995" customWidth="1"/>
    <col min="12987" max="12987" width="7.5" style="2995" customWidth="1"/>
    <col min="12988" max="12988" width="10.5" style="2995" customWidth="1"/>
    <col min="12989" max="12989" width="11.5" style="2995" customWidth="1"/>
    <col min="12990" max="12990" width="12.25" style="2995" customWidth="1"/>
    <col min="12991" max="12991" width="12.375" style="2995" customWidth="1"/>
    <col min="12992" max="12992" width="12.5" style="2995" customWidth="1"/>
    <col min="12993" max="12993" width="12.25" style="2995" customWidth="1"/>
    <col min="12994" max="12994" width="13.5" style="2995" customWidth="1"/>
    <col min="12995" max="12995" width="12.125" style="2995" customWidth="1"/>
    <col min="12996" max="12996" width="15.75" style="2995" customWidth="1"/>
    <col min="12997" max="13024" width="0" style="2995" hidden="1" customWidth="1"/>
    <col min="13025" max="13025" width="12.5" style="2995" customWidth="1"/>
    <col min="13026" max="13026" width="10" style="2995" customWidth="1"/>
    <col min="13027" max="13027" width="10.5" style="2995" customWidth="1"/>
    <col min="13028" max="13028" width="11.625" style="2995" customWidth="1"/>
    <col min="13029" max="13029" width="11.25" style="2995" customWidth="1"/>
    <col min="13030" max="13030" width="10" style="2995" customWidth="1"/>
    <col min="13031" max="13036" width="10.125" style="2995" customWidth="1"/>
    <col min="13037" max="13037" width="11.5" style="2995" customWidth="1"/>
    <col min="13038" max="13042" width="12" style="2995" customWidth="1"/>
    <col min="13043" max="13043" width="10.625" style="2995" customWidth="1"/>
    <col min="13044" max="13044" width="11" style="2995" bestFit="1" customWidth="1"/>
    <col min="13045" max="13045" width="9.875" style="2995" bestFit="1" customWidth="1"/>
    <col min="13046" max="13046" width="9" style="2995"/>
    <col min="13047" max="13047" width="10.125" style="2995" customWidth="1"/>
    <col min="13048" max="13048" width="9" style="2995"/>
    <col min="13049" max="13049" width="9.875" style="2995" bestFit="1" customWidth="1"/>
    <col min="13050" max="13051" width="9" style="2995"/>
    <col min="13052" max="13052" width="10.75" style="2995" customWidth="1"/>
    <col min="13053" max="13053" width="9.875" style="2995" bestFit="1" customWidth="1"/>
    <col min="13054" max="13055" width="9" style="2995"/>
    <col min="13056" max="13056" width="9.875" style="2995" customWidth="1"/>
    <col min="13057" max="13059" width="9" style="2995"/>
    <col min="13060" max="13060" width="10.25" style="2995" customWidth="1"/>
    <col min="13061" max="13061" width="11" style="2995" bestFit="1" customWidth="1"/>
    <col min="13062" max="13234" width="9" style="2995"/>
    <col min="13235" max="13235" width="4" style="2995" customWidth="1"/>
    <col min="13236" max="13237" width="8" style="2995" customWidth="1"/>
    <col min="13238" max="13238" width="12.875" style="2995" customWidth="1"/>
    <col min="13239" max="13239" width="30.125" style="2995" customWidth="1"/>
    <col min="13240" max="13240" width="9.375" style="2995" customWidth="1"/>
    <col min="13241" max="13241" width="8.5" style="2995" customWidth="1"/>
    <col min="13242" max="13242" width="8" style="2995" customWidth="1"/>
    <col min="13243" max="13243" width="7.5" style="2995" customWidth="1"/>
    <col min="13244" max="13244" width="10.5" style="2995" customWidth="1"/>
    <col min="13245" max="13245" width="11.5" style="2995" customWidth="1"/>
    <col min="13246" max="13246" width="12.25" style="2995" customWidth="1"/>
    <col min="13247" max="13247" width="12.375" style="2995" customWidth="1"/>
    <col min="13248" max="13248" width="12.5" style="2995" customWidth="1"/>
    <col min="13249" max="13249" width="12.25" style="2995" customWidth="1"/>
    <col min="13250" max="13250" width="13.5" style="2995" customWidth="1"/>
    <col min="13251" max="13251" width="12.125" style="2995" customWidth="1"/>
    <col min="13252" max="13252" width="15.75" style="2995" customWidth="1"/>
    <col min="13253" max="13280" width="0" style="2995" hidden="1" customWidth="1"/>
    <col min="13281" max="13281" width="12.5" style="2995" customWidth="1"/>
    <col min="13282" max="13282" width="10" style="2995" customWidth="1"/>
    <col min="13283" max="13283" width="10.5" style="2995" customWidth="1"/>
    <col min="13284" max="13284" width="11.625" style="2995" customWidth="1"/>
    <col min="13285" max="13285" width="11.25" style="2995" customWidth="1"/>
    <col min="13286" max="13286" width="10" style="2995" customWidth="1"/>
    <col min="13287" max="13292" width="10.125" style="2995" customWidth="1"/>
    <col min="13293" max="13293" width="11.5" style="2995" customWidth="1"/>
    <col min="13294" max="13298" width="12" style="2995" customWidth="1"/>
    <col min="13299" max="13299" width="10.625" style="2995" customWidth="1"/>
    <col min="13300" max="13300" width="11" style="2995" bestFit="1" customWidth="1"/>
    <col min="13301" max="13301" width="9.875" style="2995" bestFit="1" customWidth="1"/>
    <col min="13302" max="13302" width="9" style="2995"/>
    <col min="13303" max="13303" width="10.125" style="2995" customWidth="1"/>
    <col min="13304" max="13304" width="9" style="2995"/>
    <col min="13305" max="13305" width="9.875" style="2995" bestFit="1" customWidth="1"/>
    <col min="13306" max="13307" width="9" style="2995"/>
    <col min="13308" max="13308" width="10.75" style="2995" customWidth="1"/>
    <col min="13309" max="13309" width="9.875" style="2995" bestFit="1" customWidth="1"/>
    <col min="13310" max="13311" width="9" style="2995"/>
    <col min="13312" max="13312" width="9.875" style="2995" customWidth="1"/>
    <col min="13313" max="13315" width="9" style="2995"/>
    <col min="13316" max="13316" width="10.25" style="2995" customWidth="1"/>
    <col min="13317" max="13317" width="11" style="2995" bestFit="1" customWidth="1"/>
    <col min="13318" max="13490" width="9" style="2995"/>
    <col min="13491" max="13491" width="4" style="2995" customWidth="1"/>
    <col min="13492" max="13493" width="8" style="2995" customWidth="1"/>
    <col min="13494" max="13494" width="12.875" style="2995" customWidth="1"/>
    <col min="13495" max="13495" width="30.125" style="2995" customWidth="1"/>
    <col min="13496" max="13496" width="9.375" style="2995" customWidth="1"/>
    <col min="13497" max="13497" width="8.5" style="2995" customWidth="1"/>
    <col min="13498" max="13498" width="8" style="2995" customWidth="1"/>
    <col min="13499" max="13499" width="7.5" style="2995" customWidth="1"/>
    <col min="13500" max="13500" width="10.5" style="2995" customWidth="1"/>
    <col min="13501" max="13501" width="11.5" style="2995" customWidth="1"/>
    <col min="13502" max="13502" width="12.25" style="2995" customWidth="1"/>
    <col min="13503" max="13503" width="12.375" style="2995" customWidth="1"/>
    <col min="13504" max="13504" width="12.5" style="2995" customWidth="1"/>
    <col min="13505" max="13505" width="12.25" style="2995" customWidth="1"/>
    <col min="13506" max="13506" width="13.5" style="2995" customWidth="1"/>
    <col min="13507" max="13507" width="12.125" style="2995" customWidth="1"/>
    <col min="13508" max="13508" width="15.75" style="2995" customWidth="1"/>
    <col min="13509" max="13536" width="0" style="2995" hidden="1" customWidth="1"/>
    <col min="13537" max="13537" width="12.5" style="2995" customWidth="1"/>
    <col min="13538" max="13538" width="10" style="2995" customWidth="1"/>
    <col min="13539" max="13539" width="10.5" style="2995" customWidth="1"/>
    <col min="13540" max="13540" width="11.625" style="2995" customWidth="1"/>
    <col min="13541" max="13541" width="11.25" style="2995" customWidth="1"/>
    <col min="13542" max="13542" width="10" style="2995" customWidth="1"/>
    <col min="13543" max="13548" width="10.125" style="2995" customWidth="1"/>
    <col min="13549" max="13549" width="11.5" style="2995" customWidth="1"/>
    <col min="13550" max="13554" width="12" style="2995" customWidth="1"/>
    <col min="13555" max="13555" width="10.625" style="2995" customWidth="1"/>
    <col min="13556" max="13556" width="11" style="2995" bestFit="1" customWidth="1"/>
    <col min="13557" max="13557" width="9.875" style="2995" bestFit="1" customWidth="1"/>
    <col min="13558" max="13558" width="9" style="2995"/>
    <col min="13559" max="13559" width="10.125" style="2995" customWidth="1"/>
    <col min="13560" max="13560" width="9" style="2995"/>
    <col min="13561" max="13561" width="9.875" style="2995" bestFit="1" customWidth="1"/>
    <col min="13562" max="13563" width="9" style="2995"/>
    <col min="13564" max="13564" width="10.75" style="2995" customWidth="1"/>
    <col min="13565" max="13565" width="9.875" style="2995" bestFit="1" customWidth="1"/>
    <col min="13566" max="13567" width="9" style="2995"/>
    <col min="13568" max="13568" width="9.875" style="2995" customWidth="1"/>
    <col min="13569" max="13571" width="9" style="2995"/>
    <col min="13572" max="13572" width="10.25" style="2995" customWidth="1"/>
    <col min="13573" max="13573" width="11" style="2995" bestFit="1" customWidth="1"/>
    <col min="13574" max="13746" width="9" style="2995"/>
    <col min="13747" max="13747" width="4" style="2995" customWidth="1"/>
    <col min="13748" max="13749" width="8" style="2995" customWidth="1"/>
    <col min="13750" max="13750" width="12.875" style="2995" customWidth="1"/>
    <col min="13751" max="13751" width="30.125" style="2995" customWidth="1"/>
    <col min="13752" max="13752" width="9.375" style="2995" customWidth="1"/>
    <col min="13753" max="13753" width="8.5" style="2995" customWidth="1"/>
    <col min="13754" max="13754" width="8" style="2995" customWidth="1"/>
    <col min="13755" max="13755" width="7.5" style="2995" customWidth="1"/>
    <col min="13756" max="13756" width="10.5" style="2995" customWidth="1"/>
    <col min="13757" max="13757" width="11.5" style="2995" customWidth="1"/>
    <col min="13758" max="13758" width="12.25" style="2995" customWidth="1"/>
    <col min="13759" max="13759" width="12.375" style="2995" customWidth="1"/>
    <col min="13760" max="13760" width="12.5" style="2995" customWidth="1"/>
    <col min="13761" max="13761" width="12.25" style="2995" customWidth="1"/>
    <col min="13762" max="13762" width="13.5" style="2995" customWidth="1"/>
    <col min="13763" max="13763" width="12.125" style="2995" customWidth="1"/>
    <col min="13764" max="13764" width="15.75" style="2995" customWidth="1"/>
    <col min="13765" max="13792" width="0" style="2995" hidden="1" customWidth="1"/>
    <col min="13793" max="13793" width="12.5" style="2995" customWidth="1"/>
    <col min="13794" max="13794" width="10" style="2995" customWidth="1"/>
    <col min="13795" max="13795" width="10.5" style="2995" customWidth="1"/>
    <col min="13796" max="13796" width="11.625" style="2995" customWidth="1"/>
    <col min="13797" max="13797" width="11.25" style="2995" customWidth="1"/>
    <col min="13798" max="13798" width="10" style="2995" customWidth="1"/>
    <col min="13799" max="13804" width="10.125" style="2995" customWidth="1"/>
    <col min="13805" max="13805" width="11.5" style="2995" customWidth="1"/>
    <col min="13806" max="13810" width="12" style="2995" customWidth="1"/>
    <col min="13811" max="13811" width="10.625" style="2995" customWidth="1"/>
    <col min="13812" max="13812" width="11" style="2995" bestFit="1" customWidth="1"/>
    <col min="13813" max="13813" width="9.875" style="2995" bestFit="1" customWidth="1"/>
    <col min="13814" max="13814" width="9" style="2995"/>
    <col min="13815" max="13815" width="10.125" style="2995" customWidth="1"/>
    <col min="13816" max="13816" width="9" style="2995"/>
    <col min="13817" max="13817" width="9.875" style="2995" bestFit="1" customWidth="1"/>
    <col min="13818" max="13819" width="9" style="2995"/>
    <col min="13820" max="13820" width="10.75" style="2995" customWidth="1"/>
    <col min="13821" max="13821" width="9.875" style="2995" bestFit="1" customWidth="1"/>
    <col min="13822" max="13823" width="9" style="2995"/>
    <col min="13824" max="13824" width="9.875" style="2995" customWidth="1"/>
    <col min="13825" max="13827" width="9" style="2995"/>
    <col min="13828" max="13828" width="10.25" style="2995" customWidth="1"/>
    <col min="13829" max="13829" width="11" style="2995" bestFit="1" customWidth="1"/>
    <col min="13830" max="14002" width="9" style="2995"/>
    <col min="14003" max="14003" width="4" style="2995" customWidth="1"/>
    <col min="14004" max="14005" width="8" style="2995" customWidth="1"/>
    <col min="14006" max="14006" width="12.875" style="2995" customWidth="1"/>
    <col min="14007" max="14007" width="30.125" style="2995" customWidth="1"/>
    <col min="14008" max="14008" width="9.375" style="2995" customWidth="1"/>
    <col min="14009" max="14009" width="8.5" style="2995" customWidth="1"/>
    <col min="14010" max="14010" width="8" style="2995" customWidth="1"/>
    <col min="14011" max="14011" width="7.5" style="2995" customWidth="1"/>
    <col min="14012" max="14012" width="10.5" style="2995" customWidth="1"/>
    <col min="14013" max="14013" width="11.5" style="2995" customWidth="1"/>
    <col min="14014" max="14014" width="12.25" style="2995" customWidth="1"/>
    <col min="14015" max="14015" width="12.375" style="2995" customWidth="1"/>
    <col min="14016" max="14016" width="12.5" style="2995" customWidth="1"/>
    <col min="14017" max="14017" width="12.25" style="2995" customWidth="1"/>
    <col min="14018" max="14018" width="13.5" style="2995" customWidth="1"/>
    <col min="14019" max="14019" width="12.125" style="2995" customWidth="1"/>
    <col min="14020" max="14020" width="15.75" style="2995" customWidth="1"/>
    <col min="14021" max="14048" width="0" style="2995" hidden="1" customWidth="1"/>
    <col min="14049" max="14049" width="12.5" style="2995" customWidth="1"/>
    <col min="14050" max="14050" width="10" style="2995" customWidth="1"/>
    <col min="14051" max="14051" width="10.5" style="2995" customWidth="1"/>
    <col min="14052" max="14052" width="11.625" style="2995" customWidth="1"/>
    <col min="14053" max="14053" width="11.25" style="2995" customWidth="1"/>
    <col min="14054" max="14054" width="10" style="2995" customWidth="1"/>
    <col min="14055" max="14060" width="10.125" style="2995" customWidth="1"/>
    <col min="14061" max="14061" width="11.5" style="2995" customWidth="1"/>
    <col min="14062" max="14066" width="12" style="2995" customWidth="1"/>
    <col min="14067" max="14067" width="10.625" style="2995" customWidth="1"/>
    <col min="14068" max="14068" width="11" style="2995" bestFit="1" customWidth="1"/>
    <col min="14069" max="14069" width="9.875" style="2995" bestFit="1" customWidth="1"/>
    <col min="14070" max="14070" width="9" style="2995"/>
    <col min="14071" max="14071" width="10.125" style="2995" customWidth="1"/>
    <col min="14072" max="14072" width="9" style="2995"/>
    <col min="14073" max="14073" width="9.875" style="2995" bestFit="1" customWidth="1"/>
    <col min="14074" max="14075" width="9" style="2995"/>
    <col min="14076" max="14076" width="10.75" style="2995" customWidth="1"/>
    <col min="14077" max="14077" width="9.875" style="2995" bestFit="1" customWidth="1"/>
    <col min="14078" max="14079" width="9" style="2995"/>
    <col min="14080" max="14080" width="9.875" style="2995" customWidth="1"/>
    <col min="14081" max="14083" width="9" style="2995"/>
    <col min="14084" max="14084" width="10.25" style="2995" customWidth="1"/>
    <col min="14085" max="14085" width="11" style="2995" bestFit="1" customWidth="1"/>
    <col min="14086" max="14258" width="9" style="2995"/>
    <col min="14259" max="14259" width="4" style="2995" customWidth="1"/>
    <col min="14260" max="14261" width="8" style="2995" customWidth="1"/>
    <col min="14262" max="14262" width="12.875" style="2995" customWidth="1"/>
    <col min="14263" max="14263" width="30.125" style="2995" customWidth="1"/>
    <col min="14264" max="14264" width="9.375" style="2995" customWidth="1"/>
    <col min="14265" max="14265" width="8.5" style="2995" customWidth="1"/>
    <col min="14266" max="14266" width="8" style="2995" customWidth="1"/>
    <col min="14267" max="14267" width="7.5" style="2995" customWidth="1"/>
    <col min="14268" max="14268" width="10.5" style="2995" customWidth="1"/>
    <col min="14269" max="14269" width="11.5" style="2995" customWidth="1"/>
    <col min="14270" max="14270" width="12.25" style="2995" customWidth="1"/>
    <col min="14271" max="14271" width="12.375" style="2995" customWidth="1"/>
    <col min="14272" max="14272" width="12.5" style="2995" customWidth="1"/>
    <col min="14273" max="14273" width="12.25" style="2995" customWidth="1"/>
    <col min="14274" max="14274" width="13.5" style="2995" customWidth="1"/>
    <col min="14275" max="14275" width="12.125" style="2995" customWidth="1"/>
    <col min="14276" max="14276" width="15.75" style="2995" customWidth="1"/>
    <col min="14277" max="14304" width="0" style="2995" hidden="1" customWidth="1"/>
    <col min="14305" max="14305" width="12.5" style="2995" customWidth="1"/>
    <col min="14306" max="14306" width="10" style="2995" customWidth="1"/>
    <col min="14307" max="14307" width="10.5" style="2995" customWidth="1"/>
    <col min="14308" max="14308" width="11.625" style="2995" customWidth="1"/>
    <col min="14309" max="14309" width="11.25" style="2995" customWidth="1"/>
    <col min="14310" max="14310" width="10" style="2995" customWidth="1"/>
    <col min="14311" max="14316" width="10.125" style="2995" customWidth="1"/>
    <col min="14317" max="14317" width="11.5" style="2995" customWidth="1"/>
    <col min="14318" max="14322" width="12" style="2995" customWidth="1"/>
    <col min="14323" max="14323" width="10.625" style="2995" customWidth="1"/>
    <col min="14324" max="14324" width="11" style="2995" bestFit="1" customWidth="1"/>
    <col min="14325" max="14325" width="9.875" style="2995" bestFit="1" customWidth="1"/>
    <col min="14326" max="14326" width="9" style="2995"/>
    <col min="14327" max="14327" width="10.125" style="2995" customWidth="1"/>
    <col min="14328" max="14328" width="9" style="2995"/>
    <col min="14329" max="14329" width="9.875" style="2995" bestFit="1" customWidth="1"/>
    <col min="14330" max="14331" width="9" style="2995"/>
    <col min="14332" max="14332" width="10.75" style="2995" customWidth="1"/>
    <col min="14333" max="14333" width="9.875" style="2995" bestFit="1" customWidth="1"/>
    <col min="14334" max="14335" width="9" style="2995"/>
    <col min="14336" max="14336" width="9.875" style="2995" customWidth="1"/>
    <col min="14337" max="14339" width="9" style="2995"/>
    <col min="14340" max="14340" width="10.25" style="2995" customWidth="1"/>
    <col min="14341" max="14341" width="11" style="2995" bestFit="1" customWidth="1"/>
    <col min="14342" max="14514" width="9" style="2995"/>
    <col min="14515" max="14515" width="4" style="2995" customWidth="1"/>
    <col min="14516" max="14517" width="8" style="2995" customWidth="1"/>
    <col min="14518" max="14518" width="12.875" style="2995" customWidth="1"/>
    <col min="14519" max="14519" width="30.125" style="2995" customWidth="1"/>
    <col min="14520" max="14520" width="9.375" style="2995" customWidth="1"/>
    <col min="14521" max="14521" width="8.5" style="2995" customWidth="1"/>
    <col min="14522" max="14522" width="8" style="2995" customWidth="1"/>
    <col min="14523" max="14523" width="7.5" style="2995" customWidth="1"/>
    <col min="14524" max="14524" width="10.5" style="2995" customWidth="1"/>
    <col min="14525" max="14525" width="11.5" style="2995" customWidth="1"/>
    <col min="14526" max="14526" width="12.25" style="2995" customWidth="1"/>
    <col min="14527" max="14527" width="12.375" style="2995" customWidth="1"/>
    <col min="14528" max="14528" width="12.5" style="2995" customWidth="1"/>
    <col min="14529" max="14529" width="12.25" style="2995" customWidth="1"/>
    <col min="14530" max="14530" width="13.5" style="2995" customWidth="1"/>
    <col min="14531" max="14531" width="12.125" style="2995" customWidth="1"/>
    <col min="14532" max="14532" width="15.75" style="2995" customWidth="1"/>
    <col min="14533" max="14560" width="0" style="2995" hidden="1" customWidth="1"/>
    <col min="14561" max="14561" width="12.5" style="2995" customWidth="1"/>
    <col min="14562" max="14562" width="10" style="2995" customWidth="1"/>
    <col min="14563" max="14563" width="10.5" style="2995" customWidth="1"/>
    <col min="14564" max="14564" width="11.625" style="2995" customWidth="1"/>
    <col min="14565" max="14565" width="11.25" style="2995" customWidth="1"/>
    <col min="14566" max="14566" width="10" style="2995" customWidth="1"/>
    <col min="14567" max="14572" width="10.125" style="2995" customWidth="1"/>
    <col min="14573" max="14573" width="11.5" style="2995" customWidth="1"/>
    <col min="14574" max="14578" width="12" style="2995" customWidth="1"/>
    <col min="14579" max="14579" width="10.625" style="2995" customWidth="1"/>
    <col min="14580" max="14580" width="11" style="2995" bestFit="1" customWidth="1"/>
    <col min="14581" max="14581" width="9.875" style="2995" bestFit="1" customWidth="1"/>
    <col min="14582" max="14582" width="9" style="2995"/>
    <col min="14583" max="14583" width="10.125" style="2995" customWidth="1"/>
    <col min="14584" max="14584" width="9" style="2995"/>
    <col min="14585" max="14585" width="9.875" style="2995" bestFit="1" customWidth="1"/>
    <col min="14586" max="14587" width="9" style="2995"/>
    <col min="14588" max="14588" width="10.75" style="2995" customWidth="1"/>
    <col min="14589" max="14589" width="9.875" style="2995" bestFit="1" customWidth="1"/>
    <col min="14590" max="14591" width="9" style="2995"/>
    <col min="14592" max="14592" width="9.875" style="2995" customWidth="1"/>
    <col min="14593" max="14595" width="9" style="2995"/>
    <col min="14596" max="14596" width="10.25" style="2995" customWidth="1"/>
    <col min="14597" max="14597" width="11" style="2995" bestFit="1" customWidth="1"/>
    <col min="14598" max="14770" width="9" style="2995"/>
    <col min="14771" max="14771" width="4" style="2995" customWidth="1"/>
    <col min="14772" max="14773" width="8" style="2995" customWidth="1"/>
    <col min="14774" max="14774" width="12.875" style="2995" customWidth="1"/>
    <col min="14775" max="14775" width="30.125" style="2995" customWidth="1"/>
    <col min="14776" max="14776" width="9.375" style="2995" customWidth="1"/>
    <col min="14777" max="14777" width="8.5" style="2995" customWidth="1"/>
    <col min="14778" max="14778" width="8" style="2995" customWidth="1"/>
    <col min="14779" max="14779" width="7.5" style="2995" customWidth="1"/>
    <col min="14780" max="14780" width="10.5" style="2995" customWidth="1"/>
    <col min="14781" max="14781" width="11.5" style="2995" customWidth="1"/>
    <col min="14782" max="14782" width="12.25" style="2995" customWidth="1"/>
    <col min="14783" max="14783" width="12.375" style="2995" customWidth="1"/>
    <col min="14784" max="14784" width="12.5" style="2995" customWidth="1"/>
    <col min="14785" max="14785" width="12.25" style="2995" customWidth="1"/>
    <col min="14786" max="14786" width="13.5" style="2995" customWidth="1"/>
    <col min="14787" max="14787" width="12.125" style="2995" customWidth="1"/>
    <col min="14788" max="14788" width="15.75" style="2995" customWidth="1"/>
    <col min="14789" max="14816" width="0" style="2995" hidden="1" customWidth="1"/>
    <col min="14817" max="14817" width="12.5" style="2995" customWidth="1"/>
    <col min="14818" max="14818" width="10" style="2995" customWidth="1"/>
    <col min="14819" max="14819" width="10.5" style="2995" customWidth="1"/>
    <col min="14820" max="14820" width="11.625" style="2995" customWidth="1"/>
    <col min="14821" max="14821" width="11.25" style="2995" customWidth="1"/>
    <col min="14822" max="14822" width="10" style="2995" customWidth="1"/>
    <col min="14823" max="14828" width="10.125" style="2995" customWidth="1"/>
    <col min="14829" max="14829" width="11.5" style="2995" customWidth="1"/>
    <col min="14830" max="14834" width="12" style="2995" customWidth="1"/>
    <col min="14835" max="14835" width="10.625" style="2995" customWidth="1"/>
    <col min="14836" max="14836" width="11" style="2995" bestFit="1" customWidth="1"/>
    <col min="14837" max="14837" width="9.875" style="2995" bestFit="1" customWidth="1"/>
    <col min="14838" max="14838" width="9" style="2995"/>
    <col min="14839" max="14839" width="10.125" style="2995" customWidth="1"/>
    <col min="14840" max="14840" width="9" style="2995"/>
    <col min="14841" max="14841" width="9.875" style="2995" bestFit="1" customWidth="1"/>
    <col min="14842" max="14843" width="9" style="2995"/>
    <col min="14844" max="14844" width="10.75" style="2995" customWidth="1"/>
    <col min="14845" max="14845" width="9.875" style="2995" bestFit="1" customWidth="1"/>
    <col min="14846" max="14847" width="9" style="2995"/>
    <col min="14848" max="14848" width="9.875" style="2995" customWidth="1"/>
    <col min="14849" max="14851" width="9" style="2995"/>
    <col min="14852" max="14852" width="10.25" style="2995" customWidth="1"/>
    <col min="14853" max="14853" width="11" style="2995" bestFit="1" customWidth="1"/>
    <col min="14854" max="15026" width="9" style="2995"/>
    <col min="15027" max="15027" width="4" style="2995" customWidth="1"/>
    <col min="15028" max="15029" width="8" style="2995" customWidth="1"/>
    <col min="15030" max="15030" width="12.875" style="2995" customWidth="1"/>
    <col min="15031" max="15031" width="30.125" style="2995" customWidth="1"/>
    <col min="15032" max="15032" width="9.375" style="2995" customWidth="1"/>
    <col min="15033" max="15033" width="8.5" style="2995" customWidth="1"/>
    <col min="15034" max="15034" width="8" style="2995" customWidth="1"/>
    <col min="15035" max="15035" width="7.5" style="2995" customWidth="1"/>
    <col min="15036" max="15036" width="10.5" style="2995" customWidth="1"/>
    <col min="15037" max="15037" width="11.5" style="2995" customWidth="1"/>
    <col min="15038" max="15038" width="12.25" style="2995" customWidth="1"/>
    <col min="15039" max="15039" width="12.375" style="2995" customWidth="1"/>
    <col min="15040" max="15040" width="12.5" style="2995" customWidth="1"/>
    <col min="15041" max="15041" width="12.25" style="2995" customWidth="1"/>
    <col min="15042" max="15042" width="13.5" style="2995" customWidth="1"/>
    <col min="15043" max="15043" width="12.125" style="2995" customWidth="1"/>
    <col min="15044" max="15044" width="15.75" style="2995" customWidth="1"/>
    <col min="15045" max="15072" width="0" style="2995" hidden="1" customWidth="1"/>
    <col min="15073" max="15073" width="12.5" style="2995" customWidth="1"/>
    <col min="15074" max="15074" width="10" style="2995" customWidth="1"/>
    <col min="15075" max="15075" width="10.5" style="2995" customWidth="1"/>
    <col min="15076" max="15076" width="11.625" style="2995" customWidth="1"/>
    <col min="15077" max="15077" width="11.25" style="2995" customWidth="1"/>
    <col min="15078" max="15078" width="10" style="2995" customWidth="1"/>
    <col min="15079" max="15084" width="10.125" style="2995" customWidth="1"/>
    <col min="15085" max="15085" width="11.5" style="2995" customWidth="1"/>
    <col min="15086" max="15090" width="12" style="2995" customWidth="1"/>
    <col min="15091" max="15091" width="10.625" style="2995" customWidth="1"/>
    <col min="15092" max="15092" width="11" style="2995" bestFit="1" customWidth="1"/>
    <col min="15093" max="15093" width="9.875" style="2995" bestFit="1" customWidth="1"/>
    <col min="15094" max="15094" width="9" style="2995"/>
    <col min="15095" max="15095" width="10.125" style="2995" customWidth="1"/>
    <col min="15096" max="15096" width="9" style="2995"/>
    <col min="15097" max="15097" width="9.875" style="2995" bestFit="1" customWidth="1"/>
    <col min="15098" max="15099" width="9" style="2995"/>
    <col min="15100" max="15100" width="10.75" style="2995" customWidth="1"/>
    <col min="15101" max="15101" width="9.875" style="2995" bestFit="1" customWidth="1"/>
    <col min="15102" max="15103" width="9" style="2995"/>
    <col min="15104" max="15104" width="9.875" style="2995" customWidth="1"/>
    <col min="15105" max="15107" width="9" style="2995"/>
    <col min="15108" max="15108" width="10.25" style="2995" customWidth="1"/>
    <col min="15109" max="15109" width="11" style="2995" bestFit="1" customWidth="1"/>
    <col min="15110" max="15282" width="9" style="2995"/>
    <col min="15283" max="15283" width="4" style="2995" customWidth="1"/>
    <col min="15284" max="15285" width="8" style="2995" customWidth="1"/>
    <col min="15286" max="15286" width="12.875" style="2995" customWidth="1"/>
    <col min="15287" max="15287" width="30.125" style="2995" customWidth="1"/>
    <col min="15288" max="15288" width="9.375" style="2995" customWidth="1"/>
    <col min="15289" max="15289" width="8.5" style="2995" customWidth="1"/>
    <col min="15290" max="15290" width="8" style="2995" customWidth="1"/>
    <col min="15291" max="15291" width="7.5" style="2995" customWidth="1"/>
    <col min="15292" max="15292" width="10.5" style="2995" customWidth="1"/>
    <col min="15293" max="15293" width="11.5" style="2995" customWidth="1"/>
    <col min="15294" max="15294" width="12.25" style="2995" customWidth="1"/>
    <col min="15295" max="15295" width="12.375" style="2995" customWidth="1"/>
    <col min="15296" max="15296" width="12.5" style="2995" customWidth="1"/>
    <col min="15297" max="15297" width="12.25" style="2995" customWidth="1"/>
    <col min="15298" max="15298" width="13.5" style="2995" customWidth="1"/>
    <col min="15299" max="15299" width="12.125" style="2995" customWidth="1"/>
    <col min="15300" max="15300" width="15.75" style="2995" customWidth="1"/>
    <col min="15301" max="15328" width="0" style="2995" hidden="1" customWidth="1"/>
    <col min="15329" max="15329" width="12.5" style="2995" customWidth="1"/>
    <col min="15330" max="15330" width="10" style="2995" customWidth="1"/>
    <col min="15331" max="15331" width="10.5" style="2995" customWidth="1"/>
    <col min="15332" max="15332" width="11.625" style="2995" customWidth="1"/>
    <col min="15333" max="15333" width="11.25" style="2995" customWidth="1"/>
    <col min="15334" max="15334" width="10" style="2995" customWidth="1"/>
    <col min="15335" max="15340" width="10.125" style="2995" customWidth="1"/>
    <col min="15341" max="15341" width="11.5" style="2995" customWidth="1"/>
    <col min="15342" max="15346" width="12" style="2995" customWidth="1"/>
    <col min="15347" max="15347" width="10.625" style="2995" customWidth="1"/>
    <col min="15348" max="15348" width="11" style="2995" bestFit="1" customWidth="1"/>
    <col min="15349" max="15349" width="9.875" style="2995" bestFit="1" customWidth="1"/>
    <col min="15350" max="15350" width="9" style="2995"/>
    <col min="15351" max="15351" width="10.125" style="2995" customWidth="1"/>
    <col min="15352" max="15352" width="9" style="2995"/>
    <col min="15353" max="15353" width="9.875" style="2995" bestFit="1" customWidth="1"/>
    <col min="15354" max="15355" width="9" style="2995"/>
    <col min="15356" max="15356" width="10.75" style="2995" customWidth="1"/>
    <col min="15357" max="15357" width="9.875" style="2995" bestFit="1" customWidth="1"/>
    <col min="15358" max="15359" width="9" style="2995"/>
    <col min="15360" max="15360" width="9.875" style="2995" customWidth="1"/>
    <col min="15361" max="15363" width="9" style="2995"/>
    <col min="15364" max="15364" width="10.25" style="2995" customWidth="1"/>
    <col min="15365" max="15365" width="11" style="2995" bestFit="1" customWidth="1"/>
    <col min="15366" max="15538" width="9" style="2995"/>
    <col min="15539" max="15539" width="4" style="2995" customWidth="1"/>
    <col min="15540" max="15541" width="8" style="2995" customWidth="1"/>
    <col min="15542" max="15542" width="12.875" style="2995" customWidth="1"/>
    <col min="15543" max="15543" width="30.125" style="2995" customWidth="1"/>
    <col min="15544" max="15544" width="9.375" style="2995" customWidth="1"/>
    <col min="15545" max="15545" width="8.5" style="2995" customWidth="1"/>
    <col min="15546" max="15546" width="8" style="2995" customWidth="1"/>
    <col min="15547" max="15547" width="7.5" style="2995" customWidth="1"/>
    <col min="15548" max="15548" width="10.5" style="2995" customWidth="1"/>
    <col min="15549" max="15549" width="11.5" style="2995" customWidth="1"/>
    <col min="15550" max="15550" width="12.25" style="2995" customWidth="1"/>
    <col min="15551" max="15551" width="12.375" style="2995" customWidth="1"/>
    <col min="15552" max="15552" width="12.5" style="2995" customWidth="1"/>
    <col min="15553" max="15553" width="12.25" style="2995" customWidth="1"/>
    <col min="15554" max="15554" width="13.5" style="2995" customWidth="1"/>
    <col min="15555" max="15555" width="12.125" style="2995" customWidth="1"/>
    <col min="15556" max="15556" width="15.75" style="2995" customWidth="1"/>
    <col min="15557" max="15584" width="0" style="2995" hidden="1" customWidth="1"/>
    <col min="15585" max="15585" width="12.5" style="2995" customWidth="1"/>
    <col min="15586" max="15586" width="10" style="2995" customWidth="1"/>
    <col min="15587" max="15587" width="10.5" style="2995" customWidth="1"/>
    <col min="15588" max="15588" width="11.625" style="2995" customWidth="1"/>
    <col min="15589" max="15589" width="11.25" style="2995" customWidth="1"/>
    <col min="15590" max="15590" width="10" style="2995" customWidth="1"/>
    <col min="15591" max="15596" width="10.125" style="2995" customWidth="1"/>
    <col min="15597" max="15597" width="11.5" style="2995" customWidth="1"/>
    <col min="15598" max="15602" width="12" style="2995" customWidth="1"/>
    <col min="15603" max="15603" width="10.625" style="2995" customWidth="1"/>
    <col min="15604" max="15604" width="11" style="2995" bestFit="1" customWidth="1"/>
    <col min="15605" max="15605" width="9.875" style="2995" bestFit="1" customWidth="1"/>
    <col min="15606" max="15606" width="9" style="2995"/>
    <col min="15607" max="15607" width="10.125" style="2995" customWidth="1"/>
    <col min="15608" max="15608" width="9" style="2995"/>
    <col min="15609" max="15609" width="9.875" style="2995" bestFit="1" customWidth="1"/>
    <col min="15610" max="15611" width="9" style="2995"/>
    <col min="15612" max="15612" width="10.75" style="2995" customWidth="1"/>
    <col min="15613" max="15613" width="9.875" style="2995" bestFit="1" customWidth="1"/>
    <col min="15614" max="15615" width="9" style="2995"/>
    <col min="15616" max="15616" width="9.875" style="2995" customWidth="1"/>
    <col min="15617" max="15619" width="9" style="2995"/>
    <col min="15620" max="15620" width="10.25" style="2995" customWidth="1"/>
    <col min="15621" max="15621" width="11" style="2995" bestFit="1" customWidth="1"/>
    <col min="15622" max="15794" width="9" style="2995"/>
    <col min="15795" max="15795" width="4" style="2995" customWidth="1"/>
    <col min="15796" max="15797" width="8" style="2995" customWidth="1"/>
    <col min="15798" max="15798" width="12.875" style="2995" customWidth="1"/>
    <col min="15799" max="15799" width="30.125" style="2995" customWidth="1"/>
    <col min="15800" max="15800" width="9.375" style="2995" customWidth="1"/>
    <col min="15801" max="15801" width="8.5" style="2995" customWidth="1"/>
    <col min="15802" max="15802" width="8" style="2995" customWidth="1"/>
    <col min="15803" max="15803" width="7.5" style="2995" customWidth="1"/>
    <col min="15804" max="15804" width="10.5" style="2995" customWidth="1"/>
    <col min="15805" max="15805" width="11.5" style="2995" customWidth="1"/>
    <col min="15806" max="15806" width="12.25" style="2995" customWidth="1"/>
    <col min="15807" max="15807" width="12.375" style="2995" customWidth="1"/>
    <col min="15808" max="15808" width="12.5" style="2995" customWidth="1"/>
    <col min="15809" max="15809" width="12.25" style="2995" customWidth="1"/>
    <col min="15810" max="15810" width="13.5" style="2995" customWidth="1"/>
    <col min="15811" max="15811" width="12.125" style="2995" customWidth="1"/>
    <col min="15812" max="15812" width="15.75" style="2995" customWidth="1"/>
    <col min="15813" max="15840" width="0" style="2995" hidden="1" customWidth="1"/>
    <col min="15841" max="15841" width="12.5" style="2995" customWidth="1"/>
    <col min="15842" max="15842" width="10" style="2995" customWidth="1"/>
    <col min="15843" max="15843" width="10.5" style="2995" customWidth="1"/>
    <col min="15844" max="15844" width="11.625" style="2995" customWidth="1"/>
    <col min="15845" max="15845" width="11.25" style="2995" customWidth="1"/>
    <col min="15846" max="15846" width="10" style="2995" customWidth="1"/>
    <col min="15847" max="15852" width="10.125" style="2995" customWidth="1"/>
    <col min="15853" max="15853" width="11.5" style="2995" customWidth="1"/>
    <col min="15854" max="15858" width="12" style="2995" customWidth="1"/>
    <col min="15859" max="15859" width="10.625" style="2995" customWidth="1"/>
    <col min="15860" max="15860" width="11" style="2995" bestFit="1" customWidth="1"/>
    <col min="15861" max="15861" width="9.875" style="2995" bestFit="1" customWidth="1"/>
    <col min="15862" max="15862" width="9" style="2995"/>
    <col min="15863" max="15863" width="10.125" style="2995" customWidth="1"/>
    <col min="15864" max="15864" width="9" style="2995"/>
    <col min="15865" max="15865" width="9.875" style="2995" bestFit="1" customWidth="1"/>
    <col min="15866" max="15867" width="9" style="2995"/>
    <col min="15868" max="15868" width="10.75" style="2995" customWidth="1"/>
    <col min="15869" max="15869" width="9.875" style="2995" bestFit="1" customWidth="1"/>
    <col min="15870" max="15871" width="9" style="2995"/>
    <col min="15872" max="15872" width="9.875" style="2995" customWidth="1"/>
    <col min="15873" max="15875" width="9" style="2995"/>
    <col min="15876" max="15876" width="10.25" style="2995" customWidth="1"/>
    <col min="15877" max="15877" width="11" style="2995" bestFit="1" customWidth="1"/>
    <col min="15878" max="16050" width="9" style="2995"/>
    <col min="16051" max="16051" width="4" style="2995" customWidth="1"/>
    <col min="16052" max="16053" width="8" style="2995" customWidth="1"/>
    <col min="16054" max="16054" width="12.875" style="2995" customWidth="1"/>
    <col min="16055" max="16055" width="30.125" style="2995" customWidth="1"/>
    <col min="16056" max="16056" width="9.375" style="2995" customWidth="1"/>
    <col min="16057" max="16057" width="8.5" style="2995" customWidth="1"/>
    <col min="16058" max="16058" width="8" style="2995" customWidth="1"/>
    <col min="16059" max="16059" width="7.5" style="2995" customWidth="1"/>
    <col min="16060" max="16060" width="10.5" style="2995" customWidth="1"/>
    <col min="16061" max="16061" width="11.5" style="2995" customWidth="1"/>
    <col min="16062" max="16062" width="12.25" style="2995" customWidth="1"/>
    <col min="16063" max="16063" width="12.375" style="2995" customWidth="1"/>
    <col min="16064" max="16064" width="12.5" style="2995" customWidth="1"/>
    <col min="16065" max="16065" width="12.25" style="2995" customWidth="1"/>
    <col min="16066" max="16066" width="13.5" style="2995" customWidth="1"/>
    <col min="16067" max="16067" width="12.125" style="2995" customWidth="1"/>
    <col min="16068" max="16068" width="15.75" style="2995" customWidth="1"/>
    <col min="16069" max="16096" width="0" style="2995" hidden="1" customWidth="1"/>
    <col min="16097" max="16097" width="12.5" style="2995" customWidth="1"/>
    <col min="16098" max="16098" width="10" style="2995" customWidth="1"/>
    <col min="16099" max="16099" width="10.5" style="2995" customWidth="1"/>
    <col min="16100" max="16100" width="11.625" style="2995" customWidth="1"/>
    <col min="16101" max="16101" width="11.25" style="2995" customWidth="1"/>
    <col min="16102" max="16102" width="10" style="2995" customWidth="1"/>
    <col min="16103" max="16108" width="10.125" style="2995" customWidth="1"/>
    <col min="16109" max="16109" width="11.5" style="2995" customWidth="1"/>
    <col min="16110" max="16114" width="12" style="2995" customWidth="1"/>
    <col min="16115" max="16115" width="10.625" style="2995" customWidth="1"/>
    <col min="16116" max="16116" width="11" style="2995" bestFit="1" customWidth="1"/>
    <col min="16117" max="16117" width="9.875" style="2995" bestFit="1" customWidth="1"/>
    <col min="16118" max="16118" width="9" style="2995"/>
    <col min="16119" max="16119" width="10.125" style="2995" customWidth="1"/>
    <col min="16120" max="16120" width="9" style="2995"/>
    <col min="16121" max="16121" width="9.875" style="2995" bestFit="1" customWidth="1"/>
    <col min="16122" max="16123" width="9" style="2995"/>
    <col min="16124" max="16124" width="10.75" style="2995" customWidth="1"/>
    <col min="16125" max="16125" width="9.875" style="2995" bestFit="1" customWidth="1"/>
    <col min="16126" max="16127" width="9" style="2995"/>
    <col min="16128" max="16128" width="9.875" style="2995" customWidth="1"/>
    <col min="16129" max="16131" width="9" style="2995"/>
    <col min="16132" max="16132" width="10.25" style="2995" customWidth="1"/>
    <col min="16133" max="16133" width="11" style="2995" bestFit="1" customWidth="1"/>
    <col min="16134" max="16384" width="9" style="2995"/>
  </cols>
  <sheetData>
    <row r="1" spans="1:14" ht="36">
      <c r="A1" s="2993" t="s">
        <v>3254</v>
      </c>
      <c r="B1" s="2994" t="s">
        <v>3255</v>
      </c>
      <c r="C1" s="2993" t="s">
        <v>3256</v>
      </c>
      <c r="D1" s="2993" t="s">
        <v>3257</v>
      </c>
      <c r="E1" s="2993" t="s">
        <v>3258</v>
      </c>
      <c r="F1" s="2993" t="s">
        <v>3259</v>
      </c>
      <c r="G1" s="2993" t="s">
        <v>3260</v>
      </c>
      <c r="H1" s="2993" t="s">
        <v>3261</v>
      </c>
      <c r="I1" s="2993" t="s">
        <v>3262</v>
      </c>
      <c r="K1" s="2995" t="s">
        <v>3465</v>
      </c>
      <c r="L1" s="2995" t="s">
        <v>3462</v>
      </c>
      <c r="M1" s="3037" t="s">
        <v>3463</v>
      </c>
      <c r="N1" s="2995" t="s">
        <v>3464</v>
      </c>
    </row>
    <row r="2" spans="1:14" s="3001" customFormat="1" ht="30.95" customHeight="1">
      <c r="A2" s="2996">
        <v>1</v>
      </c>
      <c r="B2" s="2997" t="s">
        <v>3263</v>
      </c>
      <c r="C2" s="2996" t="s">
        <v>3264</v>
      </c>
      <c r="D2" s="2998">
        <v>455</v>
      </c>
      <c r="E2" s="2998" t="s">
        <v>3265</v>
      </c>
      <c r="F2" s="2998" t="s">
        <v>3266</v>
      </c>
      <c r="G2" s="2999">
        <v>13</v>
      </c>
      <c r="H2" s="2998" t="s">
        <v>3267</v>
      </c>
      <c r="I2" s="3000" t="s">
        <v>3268</v>
      </c>
      <c r="K2" s="3001">
        <f>G2*D2*365</f>
        <v>2158975</v>
      </c>
      <c r="L2" s="3001">
        <f>SUM(K2:K52)</f>
        <v>83373851.150000006</v>
      </c>
      <c r="M2" s="3038">
        <f>SUM(D2:D52)</f>
        <v>26358.18</v>
      </c>
      <c r="N2" s="3001">
        <f>ROUND(L2/M2/365,2)</f>
        <v>8.67</v>
      </c>
    </row>
    <row r="3" spans="1:14" s="3001" customFormat="1" ht="30" customHeight="1">
      <c r="A3" s="2996">
        <v>2</v>
      </c>
      <c r="B3" s="2997" t="s">
        <v>3269</v>
      </c>
      <c r="C3" s="2996" t="s">
        <v>3270</v>
      </c>
      <c r="D3" s="2997">
        <v>220</v>
      </c>
      <c r="E3" s="2997" t="s">
        <v>3271</v>
      </c>
      <c r="F3" s="2997" t="s">
        <v>3272</v>
      </c>
      <c r="G3" s="3002">
        <v>5</v>
      </c>
      <c r="H3" s="2998" t="s">
        <v>3267</v>
      </c>
      <c r="I3" s="3000" t="s">
        <v>3273</v>
      </c>
      <c r="K3" s="3001">
        <f t="shared" ref="K3:K58" si="0">G3*D3*365</f>
        <v>401500</v>
      </c>
      <c r="M3" s="3038"/>
    </row>
    <row r="4" spans="1:14" s="3001" customFormat="1" ht="30" customHeight="1">
      <c r="A4" s="2996">
        <v>3</v>
      </c>
      <c r="B4" s="2998" t="s">
        <v>3274</v>
      </c>
      <c r="C4" s="2996" t="s">
        <v>3275</v>
      </c>
      <c r="D4" s="2998">
        <v>500</v>
      </c>
      <c r="E4" s="2997" t="s">
        <v>3276</v>
      </c>
      <c r="F4" s="2998" t="s">
        <v>3277</v>
      </c>
      <c r="G4" s="2999">
        <v>5</v>
      </c>
      <c r="H4" s="2998" t="s">
        <v>3267</v>
      </c>
      <c r="I4" s="3000" t="s">
        <v>3273</v>
      </c>
      <c r="K4" s="3001">
        <f t="shared" si="0"/>
        <v>912500</v>
      </c>
      <c r="M4" s="3038"/>
    </row>
    <row r="5" spans="1:14" s="3001" customFormat="1" ht="30" customHeight="1">
      <c r="A5" s="2996">
        <v>4</v>
      </c>
      <c r="B5" s="2997" t="s">
        <v>3278</v>
      </c>
      <c r="C5" s="2996" t="s">
        <v>3279</v>
      </c>
      <c r="D5" s="2997">
        <v>150</v>
      </c>
      <c r="E5" s="2997" t="s">
        <v>3280</v>
      </c>
      <c r="F5" s="2997" t="s">
        <v>3281</v>
      </c>
      <c r="G5" s="3002">
        <v>5</v>
      </c>
      <c r="H5" s="2998" t="s">
        <v>3267</v>
      </c>
      <c r="I5" s="3000" t="s">
        <v>3273</v>
      </c>
      <c r="K5" s="3001">
        <f t="shared" si="0"/>
        <v>273750</v>
      </c>
      <c r="M5" s="3038"/>
    </row>
    <row r="6" spans="1:14" s="3001" customFormat="1" ht="30" customHeight="1">
      <c r="A6" s="2996">
        <v>5</v>
      </c>
      <c r="B6" s="3003" t="s">
        <v>3282</v>
      </c>
      <c r="C6" s="2996" t="s">
        <v>3283</v>
      </c>
      <c r="D6" s="2998">
        <v>150</v>
      </c>
      <c r="E6" s="2998" t="s">
        <v>3284</v>
      </c>
      <c r="F6" s="2998" t="s">
        <v>3285</v>
      </c>
      <c r="G6" s="2999">
        <v>5</v>
      </c>
      <c r="H6" s="2998" t="s">
        <v>3267</v>
      </c>
      <c r="I6" s="3000" t="s">
        <v>3273</v>
      </c>
      <c r="K6" s="3001">
        <f t="shared" si="0"/>
        <v>273750</v>
      </c>
      <c r="M6" s="3038"/>
    </row>
    <row r="7" spans="1:14" s="3001" customFormat="1" ht="30" customHeight="1">
      <c r="A7" s="2996">
        <v>6</v>
      </c>
      <c r="B7" s="2997" t="s">
        <v>3286</v>
      </c>
      <c r="C7" s="2996" t="s">
        <v>3287</v>
      </c>
      <c r="D7" s="2998">
        <v>540</v>
      </c>
      <c r="E7" s="2998" t="s">
        <v>3288</v>
      </c>
      <c r="F7" s="2998" t="s">
        <v>3289</v>
      </c>
      <c r="G7" s="2999">
        <v>9.3000000000000007</v>
      </c>
      <c r="H7" s="2998" t="s">
        <v>3267</v>
      </c>
      <c r="I7" s="3000" t="s">
        <v>3290</v>
      </c>
      <c r="K7" s="3001">
        <f t="shared" si="0"/>
        <v>1833030</v>
      </c>
      <c r="M7" s="3038"/>
    </row>
    <row r="8" spans="1:14" s="3001" customFormat="1" ht="32.1" customHeight="1">
      <c r="A8" s="2996">
        <v>7</v>
      </c>
      <c r="B8" s="2998" t="s">
        <v>3291</v>
      </c>
      <c r="C8" s="2996" t="s">
        <v>3292</v>
      </c>
      <c r="D8" s="2997">
        <v>540</v>
      </c>
      <c r="E8" s="3004" t="s">
        <v>3293</v>
      </c>
      <c r="F8" s="2997" t="s">
        <v>3294</v>
      </c>
      <c r="G8" s="3002">
        <v>10.3</v>
      </c>
      <c r="H8" s="2998" t="s">
        <v>3267</v>
      </c>
      <c r="I8" s="3000" t="s">
        <v>3290</v>
      </c>
      <c r="K8" s="3001">
        <f t="shared" si="0"/>
        <v>2030130</v>
      </c>
      <c r="M8" s="3038"/>
    </row>
    <row r="9" spans="1:14" s="3001" customFormat="1" ht="30" customHeight="1">
      <c r="A9" s="2996">
        <v>8</v>
      </c>
      <c r="B9" s="3005" t="s">
        <v>3295</v>
      </c>
      <c r="C9" s="2996" t="s">
        <v>3296</v>
      </c>
      <c r="D9" s="2996">
        <v>1080</v>
      </c>
      <c r="E9" s="3006" t="s">
        <v>3297</v>
      </c>
      <c r="F9" s="3006" t="s">
        <v>3298</v>
      </c>
      <c r="G9" s="3007">
        <v>10.5</v>
      </c>
      <c r="H9" s="2998" t="s">
        <v>3267</v>
      </c>
      <c r="I9" s="3008" t="s">
        <v>3299</v>
      </c>
      <c r="K9" s="3001">
        <f t="shared" si="0"/>
        <v>4139100</v>
      </c>
      <c r="M9" s="3038"/>
    </row>
    <row r="10" spans="1:14" s="3001" customFormat="1" ht="34.5" customHeight="1">
      <c r="A10" s="2996">
        <v>9</v>
      </c>
      <c r="B10" s="3005" t="s">
        <v>3300</v>
      </c>
      <c r="C10" s="2996" t="s">
        <v>3301</v>
      </c>
      <c r="D10" s="3005">
        <v>540</v>
      </c>
      <c r="E10" s="3005" t="s">
        <v>3302</v>
      </c>
      <c r="F10" s="3009" t="s">
        <v>3303</v>
      </c>
      <c r="G10" s="3010">
        <v>8.3000000000000007</v>
      </c>
      <c r="H10" s="2998" t="s">
        <v>3267</v>
      </c>
      <c r="I10" s="3000" t="s">
        <v>3290</v>
      </c>
      <c r="K10" s="3001">
        <f t="shared" si="0"/>
        <v>1635930</v>
      </c>
      <c r="M10" s="3038"/>
    </row>
    <row r="11" spans="1:14" s="3001" customFormat="1" ht="35.25" customHeight="1">
      <c r="A11" s="2996">
        <v>10</v>
      </c>
      <c r="B11" s="3005" t="s">
        <v>3304</v>
      </c>
      <c r="C11" s="2996" t="s">
        <v>3305</v>
      </c>
      <c r="D11" s="3005">
        <v>540</v>
      </c>
      <c r="E11" s="3005" t="s">
        <v>3306</v>
      </c>
      <c r="F11" s="3005" t="s">
        <v>3307</v>
      </c>
      <c r="G11" s="3010">
        <v>11.3</v>
      </c>
      <c r="H11" s="2998" t="s">
        <v>3267</v>
      </c>
      <c r="I11" s="3000" t="s">
        <v>3290</v>
      </c>
      <c r="K11" s="3001">
        <f t="shared" si="0"/>
        <v>2227230</v>
      </c>
      <c r="M11" s="3038"/>
    </row>
    <row r="12" spans="1:14" s="3001" customFormat="1" ht="30" customHeight="1">
      <c r="A12" s="2996">
        <v>11</v>
      </c>
      <c r="B12" s="2997" t="s">
        <v>3308</v>
      </c>
      <c r="C12" s="2996" t="s">
        <v>3309</v>
      </c>
      <c r="D12" s="2997">
        <v>420</v>
      </c>
      <c r="E12" s="2997" t="s">
        <v>3310</v>
      </c>
      <c r="F12" s="2997" t="s">
        <v>3311</v>
      </c>
      <c r="G12" s="3002">
        <v>8.5</v>
      </c>
      <c r="H12" s="2998" t="s">
        <v>3267</v>
      </c>
      <c r="I12" s="3000" t="s">
        <v>3290</v>
      </c>
      <c r="K12" s="3001">
        <f t="shared" si="0"/>
        <v>1303050</v>
      </c>
      <c r="M12" s="3038"/>
    </row>
    <row r="13" spans="1:14" s="3001" customFormat="1" ht="30" customHeight="1">
      <c r="A13" s="2996">
        <v>12</v>
      </c>
      <c r="B13" s="2997" t="s">
        <v>3312</v>
      </c>
      <c r="C13" s="2996" t="s">
        <v>3313</v>
      </c>
      <c r="D13" s="2997">
        <v>540</v>
      </c>
      <c r="E13" s="2997" t="s">
        <v>3310</v>
      </c>
      <c r="F13" s="2997" t="s">
        <v>3311</v>
      </c>
      <c r="G13" s="3002">
        <v>8.5</v>
      </c>
      <c r="H13" s="2998" t="s">
        <v>3267</v>
      </c>
      <c r="I13" s="3000" t="s">
        <v>3290</v>
      </c>
      <c r="K13" s="3001">
        <f t="shared" si="0"/>
        <v>1675350</v>
      </c>
      <c r="M13" s="3038"/>
    </row>
    <row r="14" spans="1:14" s="3001" customFormat="1" ht="30" customHeight="1">
      <c r="A14" s="2996">
        <v>13</v>
      </c>
      <c r="B14" s="2997" t="s">
        <v>3314</v>
      </c>
      <c r="C14" s="2996" t="s">
        <v>3315</v>
      </c>
      <c r="D14" s="2997">
        <v>540</v>
      </c>
      <c r="E14" s="3004" t="s">
        <v>3316</v>
      </c>
      <c r="F14" s="2997" t="s">
        <v>3317</v>
      </c>
      <c r="G14" s="3002">
        <v>10</v>
      </c>
      <c r="H14" s="2998" t="s">
        <v>3267</v>
      </c>
      <c r="I14" s="3000" t="s">
        <v>3290</v>
      </c>
      <c r="K14" s="3001">
        <f t="shared" si="0"/>
        <v>1971000</v>
      </c>
      <c r="M14" s="3038"/>
    </row>
    <row r="15" spans="1:14" s="3001" customFormat="1" ht="30" customHeight="1">
      <c r="A15" s="2996">
        <v>14</v>
      </c>
      <c r="B15" s="2997" t="s">
        <v>3318</v>
      </c>
      <c r="C15" s="2996" t="s">
        <v>3319</v>
      </c>
      <c r="D15" s="2997">
        <v>540</v>
      </c>
      <c r="E15" s="2997" t="s">
        <v>3320</v>
      </c>
      <c r="F15" s="2997" t="s">
        <v>3321</v>
      </c>
      <c r="G15" s="3002">
        <v>10.4</v>
      </c>
      <c r="H15" s="2998" t="s">
        <v>3267</v>
      </c>
      <c r="I15" s="3008" t="s">
        <v>3299</v>
      </c>
      <c r="K15" s="3001">
        <f t="shared" si="0"/>
        <v>2049840</v>
      </c>
      <c r="M15" s="3038"/>
    </row>
    <row r="16" spans="1:14" s="3001" customFormat="1" ht="30.6" customHeight="1">
      <c r="A16" s="2996">
        <v>15</v>
      </c>
      <c r="B16" s="2997" t="s">
        <v>3322</v>
      </c>
      <c r="C16" s="2996" t="s">
        <v>3323</v>
      </c>
      <c r="D16" s="2997">
        <v>540</v>
      </c>
      <c r="E16" s="2997" t="s">
        <v>3324</v>
      </c>
      <c r="F16" s="2998" t="s">
        <v>3325</v>
      </c>
      <c r="G16" s="3002">
        <v>10.4</v>
      </c>
      <c r="H16" s="2998" t="s">
        <v>3267</v>
      </c>
      <c r="I16" s="3008" t="s">
        <v>3299</v>
      </c>
      <c r="K16" s="3001">
        <f t="shared" si="0"/>
        <v>2049840</v>
      </c>
      <c r="M16" s="3038"/>
    </row>
    <row r="17" spans="1:13" s="3001" customFormat="1" ht="31.5" customHeight="1">
      <c r="A17" s="2996">
        <v>16</v>
      </c>
      <c r="B17" s="3000" t="s">
        <v>3326</v>
      </c>
      <c r="C17" s="2996" t="s">
        <v>3327</v>
      </c>
      <c r="D17" s="2997">
        <v>1190</v>
      </c>
      <c r="E17" s="3000" t="s">
        <v>3328</v>
      </c>
      <c r="F17" s="3000" t="s">
        <v>3329</v>
      </c>
      <c r="G17" s="3002">
        <v>9.5</v>
      </c>
      <c r="H17" s="2998" t="s">
        <v>3267</v>
      </c>
      <c r="I17" s="3000" t="s">
        <v>3290</v>
      </c>
      <c r="K17" s="3001">
        <f t="shared" si="0"/>
        <v>4126325</v>
      </c>
      <c r="M17" s="3038"/>
    </row>
    <row r="18" spans="1:13" s="3001" customFormat="1" ht="30" customHeight="1">
      <c r="A18" s="2996">
        <v>17</v>
      </c>
      <c r="B18" s="3011" t="s">
        <v>3326</v>
      </c>
      <c r="C18" s="2996" t="s">
        <v>3330</v>
      </c>
      <c r="D18" s="2997">
        <v>700</v>
      </c>
      <c r="E18" s="2997" t="s">
        <v>3331</v>
      </c>
      <c r="F18" s="2997" t="s">
        <v>3332</v>
      </c>
      <c r="G18" s="3002">
        <v>5</v>
      </c>
      <c r="H18" s="2998" t="s">
        <v>3267</v>
      </c>
      <c r="I18" s="3000" t="s">
        <v>3290</v>
      </c>
      <c r="K18" s="3001">
        <f t="shared" si="0"/>
        <v>1277500</v>
      </c>
      <c r="M18" s="3038"/>
    </row>
    <row r="19" spans="1:13" s="3001" customFormat="1" ht="30" customHeight="1">
      <c r="A19" s="2996">
        <v>18</v>
      </c>
      <c r="B19" s="3012" t="s">
        <v>3333</v>
      </c>
      <c r="C19" s="2996" t="s">
        <v>3334</v>
      </c>
      <c r="D19" s="2998">
        <v>363</v>
      </c>
      <c r="E19" s="3012" t="s">
        <v>3335</v>
      </c>
      <c r="F19" s="3012" t="s">
        <v>3336</v>
      </c>
      <c r="G19" s="2999">
        <v>9.5</v>
      </c>
      <c r="H19" s="2998" t="s">
        <v>3267</v>
      </c>
      <c r="I19" s="3008" t="s">
        <v>3299</v>
      </c>
      <c r="K19" s="3001">
        <f t="shared" si="0"/>
        <v>1258702.5</v>
      </c>
      <c r="M19" s="3038"/>
    </row>
    <row r="20" spans="1:13" s="3001" customFormat="1" ht="30" customHeight="1">
      <c r="A20" s="2996">
        <v>19</v>
      </c>
      <c r="B20" s="3000" t="s">
        <v>3337</v>
      </c>
      <c r="C20" s="2996" t="s">
        <v>3241</v>
      </c>
      <c r="D20" s="2997">
        <v>417</v>
      </c>
      <c r="E20" s="3000" t="s">
        <v>3338</v>
      </c>
      <c r="F20" s="3000" t="s">
        <v>3339</v>
      </c>
      <c r="G20" s="3002">
        <v>8.5</v>
      </c>
      <c r="H20" s="2998" t="s">
        <v>3267</v>
      </c>
      <c r="I20" s="3000" t="s">
        <v>3290</v>
      </c>
      <c r="K20" s="3001">
        <f t="shared" si="0"/>
        <v>1293742.5</v>
      </c>
      <c r="M20" s="3038"/>
    </row>
    <row r="21" spans="1:13" s="3001" customFormat="1" ht="30" customHeight="1">
      <c r="A21" s="2996">
        <v>20</v>
      </c>
      <c r="B21" s="3011" t="s">
        <v>3340</v>
      </c>
      <c r="C21" s="2996" t="s">
        <v>3341</v>
      </c>
      <c r="D21" s="2997">
        <v>760</v>
      </c>
      <c r="E21" s="3004" t="s">
        <v>3310</v>
      </c>
      <c r="F21" s="3004" t="s">
        <v>3289</v>
      </c>
      <c r="G21" s="3002">
        <v>8.5</v>
      </c>
      <c r="H21" s="2998" t="s">
        <v>3267</v>
      </c>
      <c r="I21" s="3000" t="s">
        <v>3342</v>
      </c>
      <c r="K21" s="3001">
        <f t="shared" si="0"/>
        <v>2357900</v>
      </c>
      <c r="M21" s="3038"/>
    </row>
    <row r="22" spans="1:13" s="3001" customFormat="1" ht="30" customHeight="1">
      <c r="A22" s="2996">
        <v>21</v>
      </c>
      <c r="B22" s="3013" t="s">
        <v>3343</v>
      </c>
      <c r="C22" s="2996" t="s">
        <v>3344</v>
      </c>
      <c r="D22" s="2997">
        <v>320</v>
      </c>
      <c r="E22" s="3000" t="s">
        <v>3288</v>
      </c>
      <c r="F22" s="3012" t="s">
        <v>3289</v>
      </c>
      <c r="G22" s="3002">
        <v>8.5</v>
      </c>
      <c r="H22" s="2998" t="s">
        <v>3267</v>
      </c>
      <c r="I22" s="3008" t="s">
        <v>3345</v>
      </c>
      <c r="K22" s="3001">
        <f t="shared" si="0"/>
        <v>992800</v>
      </c>
      <c r="M22" s="3038"/>
    </row>
    <row r="23" spans="1:13" s="3001" customFormat="1" ht="30" customHeight="1">
      <c r="A23" s="2996">
        <v>22</v>
      </c>
      <c r="B23" s="3011" t="s">
        <v>3346</v>
      </c>
      <c r="C23" s="2996" t="s">
        <v>3347</v>
      </c>
      <c r="D23" s="2997">
        <v>1080</v>
      </c>
      <c r="E23" s="3000" t="s">
        <v>3348</v>
      </c>
      <c r="F23" s="3000" t="s">
        <v>3349</v>
      </c>
      <c r="G23" s="3014">
        <v>8</v>
      </c>
      <c r="H23" s="2998" t="s">
        <v>3267</v>
      </c>
      <c r="I23" s="3000" t="s">
        <v>3290</v>
      </c>
      <c r="K23" s="3001">
        <f t="shared" si="0"/>
        <v>3153600</v>
      </c>
      <c r="M23" s="3038"/>
    </row>
    <row r="24" spans="1:13" s="3001" customFormat="1" ht="30" customHeight="1">
      <c r="A24" s="2996">
        <v>23</v>
      </c>
      <c r="B24" s="3012" t="s">
        <v>3350</v>
      </c>
      <c r="C24" s="2996" t="s">
        <v>3351</v>
      </c>
      <c r="D24" s="3015">
        <v>1080</v>
      </c>
      <c r="E24" s="3012" t="s">
        <v>3352</v>
      </c>
      <c r="F24" s="3012" t="s">
        <v>3353</v>
      </c>
      <c r="G24" s="2999">
        <v>8.5</v>
      </c>
      <c r="H24" s="3004" t="s">
        <v>3354</v>
      </c>
      <c r="I24" s="3000" t="s">
        <v>3290</v>
      </c>
      <c r="K24" s="3001">
        <f t="shared" si="0"/>
        <v>3350700</v>
      </c>
      <c r="M24" s="3038"/>
    </row>
    <row r="25" spans="1:13" s="3001" customFormat="1" ht="30" customHeight="1">
      <c r="A25" s="2996">
        <v>24</v>
      </c>
      <c r="B25" s="3000" t="s">
        <v>3355</v>
      </c>
      <c r="C25" s="2996" t="s">
        <v>3356</v>
      </c>
      <c r="D25" s="3015">
        <v>98</v>
      </c>
      <c r="E25" s="3012" t="s">
        <v>3288</v>
      </c>
      <c r="F25" s="3012" t="s">
        <v>3289</v>
      </c>
      <c r="G25" s="2999">
        <v>8.19</v>
      </c>
      <c r="H25" s="2998" t="s">
        <v>3267</v>
      </c>
      <c r="I25" s="3000" t="s">
        <v>3357</v>
      </c>
      <c r="K25" s="3001">
        <f t="shared" si="0"/>
        <v>292956.3</v>
      </c>
      <c r="M25" s="3038"/>
    </row>
    <row r="26" spans="1:13" s="3001" customFormat="1" ht="30" customHeight="1">
      <c r="A26" s="2996">
        <v>25</v>
      </c>
      <c r="B26" s="2997" t="s">
        <v>3242</v>
      </c>
      <c r="C26" s="2996" t="s">
        <v>3358</v>
      </c>
      <c r="D26" s="2997">
        <v>820</v>
      </c>
      <c r="E26" s="2997" t="s">
        <v>3243</v>
      </c>
      <c r="F26" s="2997" t="s">
        <v>3359</v>
      </c>
      <c r="G26" s="3002">
        <v>5.0999999999999996</v>
      </c>
      <c r="H26" s="2998" t="s">
        <v>3267</v>
      </c>
      <c r="I26" s="3000" t="s">
        <v>3360</v>
      </c>
      <c r="K26" s="3001">
        <f t="shared" si="0"/>
        <v>1526430</v>
      </c>
      <c r="M26" s="3038"/>
    </row>
    <row r="27" spans="1:13" s="3001" customFormat="1" ht="35.25" customHeight="1">
      <c r="A27" s="2996">
        <v>26</v>
      </c>
      <c r="B27" s="2997" t="s">
        <v>3361</v>
      </c>
      <c r="C27" s="2996" t="s">
        <v>3362</v>
      </c>
      <c r="D27" s="2997">
        <v>1300</v>
      </c>
      <c r="E27" s="2997" t="s">
        <v>3244</v>
      </c>
      <c r="F27" s="2997" t="s">
        <v>3245</v>
      </c>
      <c r="G27" s="3002">
        <v>5.0999999999999996</v>
      </c>
      <c r="H27" s="2998" t="s">
        <v>3267</v>
      </c>
      <c r="I27" s="3000" t="s">
        <v>3360</v>
      </c>
      <c r="K27" s="3001">
        <f t="shared" si="0"/>
        <v>2419949.9999999995</v>
      </c>
      <c r="M27" s="3038"/>
    </row>
    <row r="28" spans="1:13" s="3016" customFormat="1" ht="30" customHeight="1">
      <c r="A28" s="2996">
        <v>27</v>
      </c>
      <c r="B28" s="2997" t="s">
        <v>3363</v>
      </c>
      <c r="C28" s="2996" t="s">
        <v>3364</v>
      </c>
      <c r="D28" s="2997">
        <v>1028.18</v>
      </c>
      <c r="E28" s="2997" t="s">
        <v>3271</v>
      </c>
      <c r="F28" s="3004" t="s">
        <v>3365</v>
      </c>
      <c r="G28" s="3002">
        <v>10</v>
      </c>
      <c r="H28" s="2998" t="s">
        <v>3267</v>
      </c>
      <c r="I28" s="3008" t="s">
        <v>3299</v>
      </c>
      <c r="K28" s="3001">
        <f t="shared" si="0"/>
        <v>3752857.0000000005</v>
      </c>
      <c r="M28" s="3039"/>
    </row>
    <row r="29" spans="1:13" s="3016" customFormat="1" ht="30" customHeight="1">
      <c r="A29" s="2996">
        <v>28</v>
      </c>
      <c r="B29" s="2997" t="s">
        <v>3366</v>
      </c>
      <c r="C29" s="2996" t="s">
        <v>3367</v>
      </c>
      <c r="D29" s="2997">
        <v>2104</v>
      </c>
      <c r="E29" s="2997" t="s">
        <v>3293</v>
      </c>
      <c r="F29" s="2997" t="s">
        <v>3368</v>
      </c>
      <c r="G29" s="3002">
        <v>9.39</v>
      </c>
      <c r="H29" s="2998" t="s">
        <v>3267</v>
      </c>
      <c r="I29" s="3000" t="s">
        <v>3369</v>
      </c>
      <c r="K29" s="3001">
        <f t="shared" si="0"/>
        <v>7211144.4000000004</v>
      </c>
      <c r="M29" s="3039"/>
    </row>
    <row r="30" spans="1:13" s="3018" customFormat="1" ht="30" customHeight="1">
      <c r="A30" s="2996">
        <v>29</v>
      </c>
      <c r="B30" s="3000" t="s">
        <v>3370</v>
      </c>
      <c r="C30" s="2997" t="s">
        <v>3371</v>
      </c>
      <c r="D30" s="3017">
        <v>130</v>
      </c>
      <c r="E30" s="3000" t="s">
        <v>3246</v>
      </c>
      <c r="F30" s="3000" t="s">
        <v>3372</v>
      </c>
      <c r="G30" s="3002">
        <v>10</v>
      </c>
      <c r="H30" s="2998" t="s">
        <v>3267</v>
      </c>
      <c r="I30" s="3000" t="s">
        <v>3360</v>
      </c>
      <c r="K30" s="3001">
        <f t="shared" si="0"/>
        <v>474500</v>
      </c>
      <c r="M30" s="3040"/>
    </row>
    <row r="31" spans="1:13" s="3001" customFormat="1" ht="42" customHeight="1">
      <c r="A31" s="2996">
        <v>30</v>
      </c>
      <c r="B31" s="3000" t="s">
        <v>3370</v>
      </c>
      <c r="C31" s="2997" t="s">
        <v>3373</v>
      </c>
      <c r="D31" s="3017">
        <v>198</v>
      </c>
      <c r="E31" s="3000" t="s">
        <v>3293</v>
      </c>
      <c r="F31" s="3000" t="s">
        <v>3374</v>
      </c>
      <c r="G31" s="3002">
        <v>9.3000000000000007</v>
      </c>
      <c r="H31" s="2998" t="s">
        <v>3267</v>
      </c>
      <c r="I31" s="3000" t="s">
        <v>3290</v>
      </c>
      <c r="K31" s="3001">
        <f t="shared" si="0"/>
        <v>672111</v>
      </c>
      <c r="M31" s="3038"/>
    </row>
    <row r="32" spans="1:13" s="3001" customFormat="1" ht="30" customHeight="1">
      <c r="A32" s="2996">
        <v>31</v>
      </c>
      <c r="B32" s="2996" t="s">
        <v>3375</v>
      </c>
      <c r="C32" s="2997" t="s">
        <v>3376</v>
      </c>
      <c r="D32" s="3017">
        <v>98</v>
      </c>
      <c r="E32" s="3019" t="s">
        <v>3377</v>
      </c>
      <c r="F32" s="3019" t="s">
        <v>3378</v>
      </c>
      <c r="G32" s="3002">
        <v>9</v>
      </c>
      <c r="H32" s="2998" t="s">
        <v>3267</v>
      </c>
      <c r="I32" s="3008" t="s">
        <v>3299</v>
      </c>
      <c r="K32" s="3001">
        <f t="shared" si="0"/>
        <v>321930</v>
      </c>
      <c r="M32" s="3038"/>
    </row>
    <row r="33" spans="1:13" s="3018" customFormat="1" ht="29.25" customHeight="1">
      <c r="A33" s="2996">
        <v>32</v>
      </c>
      <c r="B33" s="3000" t="s">
        <v>3379</v>
      </c>
      <c r="C33" s="2997" t="s">
        <v>3247</v>
      </c>
      <c r="D33" s="3017">
        <v>42</v>
      </c>
      <c r="E33" s="3000" t="s">
        <v>3380</v>
      </c>
      <c r="F33" s="3000" t="s">
        <v>3381</v>
      </c>
      <c r="G33" s="3002">
        <v>8.6</v>
      </c>
      <c r="H33" s="2998" t="s">
        <v>3267</v>
      </c>
      <c r="I33" s="3008" t="s">
        <v>3299</v>
      </c>
      <c r="K33" s="3001">
        <f t="shared" si="0"/>
        <v>131838</v>
      </c>
      <c r="M33" s="3040"/>
    </row>
    <row r="34" spans="1:13" s="3001" customFormat="1" ht="30" customHeight="1">
      <c r="A34" s="2996">
        <v>33</v>
      </c>
      <c r="B34" s="3012" t="s">
        <v>3382</v>
      </c>
      <c r="C34" s="2997" t="s">
        <v>3383</v>
      </c>
      <c r="D34" s="3015">
        <v>197</v>
      </c>
      <c r="E34" s="3012" t="s">
        <v>3248</v>
      </c>
      <c r="F34" s="3012" t="s">
        <v>3245</v>
      </c>
      <c r="G34" s="2999">
        <v>7</v>
      </c>
      <c r="H34" s="2998" t="s">
        <v>3267</v>
      </c>
      <c r="I34" s="3000" t="s">
        <v>3360</v>
      </c>
      <c r="K34" s="3001">
        <f t="shared" si="0"/>
        <v>503335</v>
      </c>
      <c r="M34" s="3038"/>
    </row>
    <row r="35" spans="1:13" s="3001" customFormat="1" ht="30" customHeight="1">
      <c r="A35" s="2996">
        <v>34</v>
      </c>
      <c r="B35" s="2997" t="s">
        <v>3384</v>
      </c>
      <c r="C35" s="2997" t="s">
        <v>3385</v>
      </c>
      <c r="D35" s="3017">
        <v>30</v>
      </c>
      <c r="E35" s="3000" t="s">
        <v>3386</v>
      </c>
      <c r="F35" s="3000" t="s">
        <v>3332</v>
      </c>
      <c r="G35" s="3002">
        <v>10</v>
      </c>
      <c r="H35" s="2998" t="s">
        <v>3267</v>
      </c>
      <c r="I35" s="3008" t="s">
        <v>3299</v>
      </c>
      <c r="K35" s="3001">
        <f t="shared" si="0"/>
        <v>109500</v>
      </c>
      <c r="M35" s="3038"/>
    </row>
    <row r="36" spans="1:13" s="3001" customFormat="1" ht="30" customHeight="1">
      <c r="A36" s="2996">
        <v>35</v>
      </c>
      <c r="B36" s="3000" t="s">
        <v>3387</v>
      </c>
      <c r="C36" s="2997" t="s">
        <v>3388</v>
      </c>
      <c r="D36" s="3017">
        <v>90</v>
      </c>
      <c r="E36" s="3019" t="s">
        <v>3389</v>
      </c>
      <c r="F36" s="3019" t="s">
        <v>3390</v>
      </c>
      <c r="G36" s="3002">
        <v>10</v>
      </c>
      <c r="H36" s="2998" t="s">
        <v>3267</v>
      </c>
      <c r="I36" s="3008" t="s">
        <v>3299</v>
      </c>
      <c r="K36" s="3001">
        <f t="shared" si="0"/>
        <v>328500</v>
      </c>
      <c r="M36" s="3038"/>
    </row>
    <row r="37" spans="1:13" s="3001" customFormat="1" ht="30" customHeight="1">
      <c r="A37" s="2996">
        <v>36</v>
      </c>
      <c r="B37" s="2997" t="s">
        <v>3387</v>
      </c>
      <c r="C37" s="2997" t="s">
        <v>3391</v>
      </c>
      <c r="D37" s="2996">
        <v>68</v>
      </c>
      <c r="E37" s="2996" t="s">
        <v>3386</v>
      </c>
      <c r="F37" s="2996" t="s">
        <v>3332</v>
      </c>
      <c r="G37" s="3002">
        <v>10</v>
      </c>
      <c r="H37" s="2998" t="s">
        <v>3267</v>
      </c>
      <c r="I37" s="3008" t="s">
        <v>3299</v>
      </c>
      <c r="K37" s="3001">
        <f t="shared" si="0"/>
        <v>248200</v>
      </c>
      <c r="M37" s="3038"/>
    </row>
    <row r="38" spans="1:13" s="3018" customFormat="1" ht="30" customHeight="1">
      <c r="A38" s="2996">
        <v>37</v>
      </c>
      <c r="B38" s="2997" t="s">
        <v>3392</v>
      </c>
      <c r="C38" s="2997" t="s">
        <v>3393</v>
      </c>
      <c r="D38" s="3017">
        <v>68</v>
      </c>
      <c r="E38" s="3020" t="s">
        <v>3302</v>
      </c>
      <c r="F38" s="3021" t="s">
        <v>3394</v>
      </c>
      <c r="G38" s="3002">
        <v>8</v>
      </c>
      <c r="H38" s="2998" t="s">
        <v>3267</v>
      </c>
      <c r="I38" s="3000" t="s">
        <v>3290</v>
      </c>
      <c r="K38" s="3001">
        <f t="shared" si="0"/>
        <v>198560</v>
      </c>
      <c r="M38" s="3040"/>
    </row>
    <row r="39" spans="1:13" s="3001" customFormat="1" ht="30" customHeight="1">
      <c r="A39" s="2996">
        <v>38</v>
      </c>
      <c r="B39" s="2998" t="s">
        <v>3395</v>
      </c>
      <c r="C39" s="2997" t="s">
        <v>3249</v>
      </c>
      <c r="D39" s="2998">
        <v>99</v>
      </c>
      <c r="E39" s="2998" t="s">
        <v>3396</v>
      </c>
      <c r="F39" s="2998" t="s">
        <v>3397</v>
      </c>
      <c r="G39" s="2999">
        <v>6.73</v>
      </c>
      <c r="H39" s="2998" t="s">
        <v>3267</v>
      </c>
      <c r="I39" s="3000" t="s">
        <v>3461</v>
      </c>
      <c r="K39" s="3001">
        <f t="shared" si="0"/>
        <v>243188.55000000005</v>
      </c>
      <c r="M39" s="3038"/>
    </row>
    <row r="40" spans="1:13" s="3001" customFormat="1" ht="30" customHeight="1">
      <c r="A40" s="2996">
        <v>39</v>
      </c>
      <c r="B40" s="2997" t="s">
        <v>3398</v>
      </c>
      <c r="C40" s="2997" t="s">
        <v>3399</v>
      </c>
      <c r="D40" s="2997">
        <v>33</v>
      </c>
      <c r="E40" s="2997" t="s">
        <v>3400</v>
      </c>
      <c r="F40" s="2997" t="s">
        <v>3401</v>
      </c>
      <c r="G40" s="3002">
        <v>8</v>
      </c>
      <c r="H40" s="2998" t="s">
        <v>3267</v>
      </c>
      <c r="I40" s="3000" t="s">
        <v>3290</v>
      </c>
      <c r="K40" s="3001">
        <f t="shared" si="0"/>
        <v>96360</v>
      </c>
      <c r="M40" s="3038"/>
    </row>
    <row r="41" spans="1:13" s="3001" customFormat="1" ht="30" customHeight="1">
      <c r="A41" s="2996">
        <v>40</v>
      </c>
      <c r="B41" s="2997" t="s">
        <v>3402</v>
      </c>
      <c r="C41" s="2997" t="s">
        <v>3250</v>
      </c>
      <c r="D41" s="2997">
        <v>33</v>
      </c>
      <c r="E41" s="2997" t="s">
        <v>3276</v>
      </c>
      <c r="F41" s="3000" t="s">
        <v>3277</v>
      </c>
      <c r="G41" s="3002">
        <v>8</v>
      </c>
      <c r="H41" s="2998" t="s">
        <v>3267</v>
      </c>
      <c r="I41" s="3000" t="s">
        <v>3290</v>
      </c>
      <c r="K41" s="3001">
        <f t="shared" si="0"/>
        <v>96360</v>
      </c>
      <c r="M41" s="3038"/>
    </row>
    <row r="42" spans="1:13" s="3001" customFormat="1" ht="30" customHeight="1">
      <c r="A42" s="2996">
        <v>41</v>
      </c>
      <c r="B42" s="2997" t="s">
        <v>3403</v>
      </c>
      <c r="C42" s="2997" t="s">
        <v>3251</v>
      </c>
      <c r="D42" s="2997">
        <v>68</v>
      </c>
      <c r="E42" s="2997" t="s">
        <v>3352</v>
      </c>
      <c r="F42" s="2997" t="s">
        <v>3404</v>
      </c>
      <c r="G42" s="3002">
        <v>9</v>
      </c>
      <c r="H42" s="2998" t="s">
        <v>3267</v>
      </c>
      <c r="I42" s="3000" t="s">
        <v>3290</v>
      </c>
      <c r="K42" s="3001">
        <f t="shared" si="0"/>
        <v>223380</v>
      </c>
      <c r="M42" s="3038"/>
    </row>
    <row r="43" spans="1:13" s="3001" customFormat="1" ht="30" customHeight="1">
      <c r="A43" s="2996">
        <v>42</v>
      </c>
      <c r="B43" s="3012" t="s">
        <v>3405</v>
      </c>
      <c r="C43" s="2997" t="s">
        <v>3406</v>
      </c>
      <c r="D43" s="2998">
        <v>101</v>
      </c>
      <c r="E43" s="3008" t="s">
        <v>3276</v>
      </c>
      <c r="F43" s="2998" t="s">
        <v>3277</v>
      </c>
      <c r="G43" s="2999">
        <v>8.5</v>
      </c>
      <c r="H43" s="2998" t="s">
        <v>3267</v>
      </c>
      <c r="I43" s="3000" t="s">
        <v>3290</v>
      </c>
      <c r="K43" s="3001">
        <f t="shared" si="0"/>
        <v>313352.5</v>
      </c>
      <c r="M43" s="3038"/>
    </row>
    <row r="44" spans="1:13" s="3018" customFormat="1" ht="30" customHeight="1">
      <c r="A44" s="2996">
        <v>43</v>
      </c>
      <c r="B44" s="2997" t="s">
        <v>3407</v>
      </c>
      <c r="C44" s="2997" t="s">
        <v>3408</v>
      </c>
      <c r="D44" s="2997">
        <v>33</v>
      </c>
      <c r="E44" s="2997" t="s">
        <v>3409</v>
      </c>
      <c r="F44" s="2997" t="s">
        <v>3410</v>
      </c>
      <c r="G44" s="3010">
        <v>9.5</v>
      </c>
      <c r="H44" s="2998" t="s">
        <v>3267</v>
      </c>
      <c r="I44" s="3008" t="s">
        <v>3299</v>
      </c>
      <c r="K44" s="3001">
        <f t="shared" si="0"/>
        <v>114427.5</v>
      </c>
      <c r="M44" s="3040"/>
    </row>
    <row r="45" spans="1:13" s="3001" customFormat="1" ht="26.25" customHeight="1">
      <c r="A45" s="2996">
        <v>44</v>
      </c>
      <c r="B45" s="2998" t="s">
        <v>3411</v>
      </c>
      <c r="C45" s="2998" t="s">
        <v>3412</v>
      </c>
      <c r="D45" s="2998">
        <v>950</v>
      </c>
      <c r="E45" s="2998" t="s">
        <v>3306</v>
      </c>
      <c r="F45" s="2998" t="s">
        <v>3413</v>
      </c>
      <c r="G45" s="2999">
        <v>10</v>
      </c>
      <c r="H45" s="2998" t="s">
        <v>3267</v>
      </c>
      <c r="I45" s="3000" t="s">
        <v>3290</v>
      </c>
      <c r="K45" s="3001">
        <f t="shared" si="0"/>
        <v>3467500</v>
      </c>
      <c r="M45" s="3038"/>
    </row>
    <row r="46" spans="1:13" s="3001" customFormat="1" ht="30" customHeight="1">
      <c r="A46" s="2996">
        <v>45</v>
      </c>
      <c r="B46" s="2997" t="s">
        <v>3414</v>
      </c>
      <c r="C46" s="2998" t="s">
        <v>3415</v>
      </c>
      <c r="D46" s="2997">
        <v>950</v>
      </c>
      <c r="E46" s="2997" t="s">
        <v>3416</v>
      </c>
      <c r="F46" s="2997" t="s">
        <v>3417</v>
      </c>
      <c r="G46" s="3002">
        <v>10</v>
      </c>
      <c r="H46" s="2998" t="s">
        <v>3267</v>
      </c>
      <c r="I46" s="3008" t="s">
        <v>3299</v>
      </c>
      <c r="K46" s="3001">
        <f t="shared" si="0"/>
        <v>3467500</v>
      </c>
      <c r="M46" s="3038"/>
    </row>
    <row r="47" spans="1:13" s="3001" customFormat="1" ht="30" customHeight="1">
      <c r="A47" s="2996">
        <v>46</v>
      </c>
      <c r="B47" s="2998" t="s">
        <v>3418</v>
      </c>
      <c r="C47" s="2997" t="s">
        <v>3419</v>
      </c>
      <c r="D47" s="2998">
        <v>556</v>
      </c>
      <c r="E47" s="2998" t="s">
        <v>3420</v>
      </c>
      <c r="F47" s="2998" t="s">
        <v>3294</v>
      </c>
      <c r="G47" s="2999">
        <v>11</v>
      </c>
      <c r="H47" s="2998" t="s">
        <v>3267</v>
      </c>
      <c r="I47" s="3008" t="s">
        <v>3299</v>
      </c>
      <c r="K47" s="3001">
        <f t="shared" si="0"/>
        <v>2232340</v>
      </c>
      <c r="M47" s="3038"/>
    </row>
    <row r="48" spans="1:13" s="3001" customFormat="1" ht="30" customHeight="1">
      <c r="A48" s="2996">
        <v>47</v>
      </c>
      <c r="B48" s="2998" t="s">
        <v>3421</v>
      </c>
      <c r="C48" s="2997" t="s">
        <v>3422</v>
      </c>
      <c r="D48" s="2998">
        <v>242</v>
      </c>
      <c r="E48" s="2998" t="s">
        <v>3423</v>
      </c>
      <c r="F48" s="2998" t="s">
        <v>3424</v>
      </c>
      <c r="G48" s="2999">
        <v>9.3000000000000007</v>
      </c>
      <c r="H48" s="2998" t="s">
        <v>3425</v>
      </c>
      <c r="I48" s="3000" t="s">
        <v>3290</v>
      </c>
      <c r="K48" s="3001">
        <f t="shared" si="0"/>
        <v>821469.00000000012</v>
      </c>
      <c r="M48" s="3038"/>
    </row>
    <row r="49" spans="1:14" s="3001" customFormat="1" ht="30" customHeight="1">
      <c r="A49" s="2996">
        <v>48</v>
      </c>
      <c r="B49" s="2997" t="s">
        <v>3426</v>
      </c>
      <c r="C49" s="2997" t="s">
        <v>3427</v>
      </c>
      <c r="D49" s="2997">
        <v>1613</v>
      </c>
      <c r="E49" s="2997" t="s">
        <v>3288</v>
      </c>
      <c r="F49" s="2997" t="s">
        <v>3428</v>
      </c>
      <c r="G49" s="3002">
        <v>9.3000000000000007</v>
      </c>
      <c r="H49" s="2998" t="s">
        <v>3267</v>
      </c>
      <c r="I49" s="3000" t="s">
        <v>3290</v>
      </c>
      <c r="K49" s="3001">
        <f t="shared" si="0"/>
        <v>5475328.5000000009</v>
      </c>
      <c r="M49" s="3038"/>
    </row>
    <row r="50" spans="1:14" s="3001" customFormat="1" ht="30" customHeight="1">
      <c r="A50" s="2996">
        <v>49</v>
      </c>
      <c r="B50" s="2997" t="s">
        <v>3429</v>
      </c>
      <c r="C50" s="2998" t="s">
        <v>3430</v>
      </c>
      <c r="D50" s="2997">
        <v>910</v>
      </c>
      <c r="E50" s="3004" t="s">
        <v>3431</v>
      </c>
      <c r="F50" s="2997" t="s">
        <v>3432</v>
      </c>
      <c r="G50" s="3002">
        <v>10</v>
      </c>
      <c r="H50" s="2998" t="s">
        <v>3267</v>
      </c>
      <c r="I50" s="3000" t="s">
        <v>3290</v>
      </c>
      <c r="K50" s="3001">
        <f t="shared" si="0"/>
        <v>3321500</v>
      </c>
      <c r="M50" s="3038"/>
    </row>
    <row r="51" spans="1:14" s="3001" customFormat="1" ht="44.45" customHeight="1">
      <c r="A51" s="2996">
        <v>50</v>
      </c>
      <c r="B51" s="2998" t="s">
        <v>3433</v>
      </c>
      <c r="C51" s="2998" t="s">
        <v>3434</v>
      </c>
      <c r="D51" s="2998">
        <v>308</v>
      </c>
      <c r="E51" s="2998" t="s">
        <v>3435</v>
      </c>
      <c r="F51" s="2998" t="s">
        <v>3436</v>
      </c>
      <c r="G51" s="2999">
        <v>5</v>
      </c>
      <c r="H51" s="2998" t="s">
        <v>3437</v>
      </c>
      <c r="I51" s="3000" t="s">
        <v>3273</v>
      </c>
      <c r="K51" s="3001">
        <f t="shared" si="0"/>
        <v>562100</v>
      </c>
      <c r="M51" s="3038"/>
    </row>
    <row r="52" spans="1:14" s="3023" customFormat="1" ht="30.75" customHeight="1">
      <c r="A52" s="2996">
        <v>51</v>
      </c>
      <c r="B52" s="3022" t="s">
        <v>3361</v>
      </c>
      <c r="C52" s="2998" t="s">
        <v>3438</v>
      </c>
      <c r="D52" s="2998">
        <v>986</v>
      </c>
      <c r="E52" s="2997" t="s">
        <v>3439</v>
      </c>
      <c r="F52" s="2997" t="s">
        <v>3440</v>
      </c>
      <c r="G52" s="3002">
        <v>5.56</v>
      </c>
      <c r="H52" s="2998" t="s">
        <v>3267</v>
      </c>
      <c r="I52" s="3000" t="s">
        <v>3441</v>
      </c>
      <c r="K52" s="3001">
        <f t="shared" si="0"/>
        <v>2000988.4</v>
      </c>
      <c r="M52" s="3041"/>
    </row>
    <row r="53" spans="1:14" s="3033" customFormat="1" ht="37.5" customHeight="1">
      <c r="A53" s="3026">
        <v>52</v>
      </c>
      <c r="B53" s="3027" t="s">
        <v>3442</v>
      </c>
      <c r="C53" s="3028" t="s">
        <v>3443</v>
      </c>
      <c r="D53" s="3028">
        <v>231</v>
      </c>
      <c r="E53" s="3029" t="s">
        <v>3444</v>
      </c>
      <c r="F53" s="3028" t="s">
        <v>3445</v>
      </c>
      <c r="G53" s="3030">
        <v>5</v>
      </c>
      <c r="H53" s="3031" t="s">
        <v>3267</v>
      </c>
      <c r="I53" s="3032" t="s">
        <v>3273</v>
      </c>
      <c r="K53" s="3034">
        <f t="shared" si="0"/>
        <v>421575</v>
      </c>
      <c r="L53" s="3033">
        <f>SUM(K53:K58)</f>
        <v>15397160</v>
      </c>
      <c r="M53" s="3042">
        <f>SUM(D53:D58)</f>
        <v>4304</v>
      </c>
      <c r="N53" s="3033">
        <f>ROUND(L53/M53/365,2)</f>
        <v>9.8000000000000007</v>
      </c>
    </row>
    <row r="54" spans="1:14" s="3034" customFormat="1" ht="28.5" customHeight="1">
      <c r="A54" s="3026">
        <v>53</v>
      </c>
      <c r="B54" s="3027" t="s">
        <v>3252</v>
      </c>
      <c r="C54" s="3028" t="s">
        <v>3446</v>
      </c>
      <c r="D54" s="3028">
        <v>130</v>
      </c>
      <c r="E54" s="3028" t="s">
        <v>3248</v>
      </c>
      <c r="F54" s="3028" t="s">
        <v>3447</v>
      </c>
      <c r="G54" s="3030">
        <v>8</v>
      </c>
      <c r="H54" s="3031" t="s">
        <v>3267</v>
      </c>
      <c r="I54" s="3032" t="s">
        <v>3360</v>
      </c>
      <c r="K54" s="3034">
        <f t="shared" si="0"/>
        <v>379600</v>
      </c>
      <c r="M54" s="3043"/>
    </row>
    <row r="55" spans="1:14" s="3034" customFormat="1" ht="33">
      <c r="A55" s="3026">
        <v>54</v>
      </c>
      <c r="B55" s="3028" t="s">
        <v>3448</v>
      </c>
      <c r="C55" s="3028" t="s">
        <v>3449</v>
      </c>
      <c r="D55" s="3028">
        <v>261</v>
      </c>
      <c r="E55" s="3028" t="s">
        <v>3450</v>
      </c>
      <c r="F55" s="3028" t="s">
        <v>3289</v>
      </c>
      <c r="G55" s="3030">
        <v>12</v>
      </c>
      <c r="H55" s="3031" t="s">
        <v>3267</v>
      </c>
      <c r="I55" s="3035" t="s">
        <v>3299</v>
      </c>
      <c r="K55" s="3034">
        <f t="shared" si="0"/>
        <v>1143180</v>
      </c>
      <c r="M55" s="3043"/>
    </row>
    <row r="56" spans="1:14" s="3034" customFormat="1" ht="30" customHeight="1">
      <c r="A56" s="3026">
        <v>55</v>
      </c>
      <c r="B56" s="3031" t="s">
        <v>3451</v>
      </c>
      <c r="C56" s="3028" t="s">
        <v>3452</v>
      </c>
      <c r="D56" s="3031">
        <v>1820</v>
      </c>
      <c r="E56" s="3029" t="s">
        <v>3453</v>
      </c>
      <c r="F56" s="3031" t="s">
        <v>3454</v>
      </c>
      <c r="G56" s="3036">
        <v>12</v>
      </c>
      <c r="H56" s="3031" t="s">
        <v>3267</v>
      </c>
      <c r="I56" s="3032" t="s">
        <v>3290</v>
      </c>
      <c r="K56" s="3034">
        <f t="shared" si="0"/>
        <v>7971600</v>
      </c>
      <c r="M56" s="3043"/>
    </row>
    <row r="57" spans="1:14" s="3034" customFormat="1" ht="30" customHeight="1">
      <c r="A57" s="3026">
        <v>56</v>
      </c>
      <c r="B57" s="3028" t="s">
        <v>3455</v>
      </c>
      <c r="C57" s="3028" t="s">
        <v>3253</v>
      </c>
      <c r="D57" s="3028">
        <v>900</v>
      </c>
      <c r="E57" s="3028" t="s">
        <v>3450</v>
      </c>
      <c r="F57" s="3028" t="s">
        <v>3456</v>
      </c>
      <c r="G57" s="3030">
        <v>7.6</v>
      </c>
      <c r="H57" s="3031" t="s">
        <v>3267</v>
      </c>
      <c r="I57" s="3035" t="s">
        <v>3299</v>
      </c>
      <c r="K57" s="3034">
        <f t="shared" si="0"/>
        <v>2496600</v>
      </c>
      <c r="M57" s="3043"/>
    </row>
    <row r="58" spans="1:14" s="3034" customFormat="1" ht="26.25" customHeight="1">
      <c r="A58" s="3026">
        <v>57</v>
      </c>
      <c r="B58" s="3028" t="s">
        <v>3457</v>
      </c>
      <c r="C58" s="3028" t="s">
        <v>3458</v>
      </c>
      <c r="D58" s="3028">
        <v>962</v>
      </c>
      <c r="E58" s="3029" t="s">
        <v>3459</v>
      </c>
      <c r="F58" s="3029" t="s">
        <v>3460</v>
      </c>
      <c r="G58" s="3030">
        <v>8.5</v>
      </c>
      <c r="H58" s="3031" t="s">
        <v>3267</v>
      </c>
      <c r="I58" s="3032" t="s">
        <v>3360</v>
      </c>
      <c r="K58" s="3034">
        <f t="shared" si="0"/>
        <v>2984605</v>
      </c>
      <c r="M58" s="3043"/>
    </row>
    <row r="59" spans="1:14" ht="30" customHeight="1">
      <c r="H59" s="2994"/>
    </row>
    <row r="60" spans="1:14" ht="30" customHeight="1">
      <c r="H60" s="2994"/>
    </row>
  </sheetData>
  <phoneticPr fontId="146" type="noConversion"/>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44" t="str">
        <f>项目基本情况!B1</f>
        <v>北京市朝阳区建国门外郎家园6号“郎园Vintage”项目房地产抵押价值预评估</v>
      </c>
      <c r="C37" s="3044"/>
      <c r="D37" s="3044"/>
      <c r="E37" s="3044"/>
      <c r="F37" s="3044"/>
      <c r="G37" s="3044"/>
      <c r="H37" s="3044"/>
      <c r="I37" s="3044"/>
    </row>
    <row r="38" spans="1:9">
      <c r="A38" s="1016"/>
      <c r="B38" s="1016"/>
    </row>
    <row r="39" spans="1:9">
      <c r="A39" s="1014" t="s">
        <v>818</v>
      </c>
      <c r="B39" s="1014" t="s">
        <v>820</v>
      </c>
    </row>
    <row r="40" spans="1:9">
      <c r="A40" s="1014"/>
      <c r="B40" s="1942" t="str">
        <f>项目基本情况!B5</f>
        <v>北京农商银行股份有限公司东城支行</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郑燚（注册号：1120070131)、王鹏（注册号：1120050019)</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9"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5" sqref="D2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30066.799999999999</v>
      </c>
      <c r="C1" s="1742"/>
      <c r="D1" s="1742"/>
      <c r="E1" s="1742"/>
      <c r="F1" s="1742"/>
      <c r="G1" s="1740"/>
    </row>
    <row r="2" spans="1:10" ht="16.5">
      <c r="A2" s="1743" t="s">
        <v>1349</v>
      </c>
      <c r="B2" s="1743">
        <f>SUM(C14:C23)</f>
        <v>23093.86</v>
      </c>
      <c r="C2" s="1742"/>
      <c r="D2" s="1742"/>
      <c r="E2" s="1742"/>
      <c r="F2" s="1742"/>
      <c r="G2" s="1740"/>
    </row>
    <row r="3" spans="1:10" ht="16.5">
      <c r="A3" s="1743" t="s">
        <v>1358</v>
      </c>
      <c r="B3" s="1744">
        <f>项目基本情况!D3</f>
        <v>43592</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85065</v>
      </c>
      <c r="C5" s="1743">
        <f ca="1">ROUND(B5*10000/$B$1,0)</f>
        <v>28292</v>
      </c>
      <c r="D5" s="1743">
        <f ca="1">ROUND(B5*10000/$B$2,0)</f>
        <v>36834</v>
      </c>
      <c r="E5" s="1742"/>
      <c r="F5" s="1740"/>
      <c r="G5" s="1740"/>
    </row>
    <row r="6" spans="1:10" ht="16.5">
      <c r="A6" s="1743" t="s">
        <v>1352</v>
      </c>
      <c r="B6" s="1743">
        <f ca="1">SUM(G14:G23)</f>
        <v>85065</v>
      </c>
      <c r="C6" s="1743">
        <f ca="1">ROUND(B6*10000/$B$1,0)</f>
        <v>28292</v>
      </c>
      <c r="D6" s="1743">
        <f ca="1">ROUND(B6*10000/$B$2,0)</f>
        <v>36834</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27202.3</v>
      </c>
      <c r="C14" s="1741">
        <f>结果表!C118</f>
        <v>18455.759999999998</v>
      </c>
      <c r="D14" s="1741">
        <f ca="1">结果表!H118</f>
        <v>74459</v>
      </c>
      <c r="E14" s="1741">
        <f ca="1">ROUND(D14*10000/B14,0)</f>
        <v>27372</v>
      </c>
      <c r="F14" s="1741">
        <f ca="1">ROUND(D14*10000/C14,0)</f>
        <v>40345</v>
      </c>
      <c r="G14" s="1741">
        <f ca="1">结果表!D122</f>
        <v>74459</v>
      </c>
      <c r="H14" s="1741" t="str">
        <f>结果表!D124</f>
        <v>——</v>
      </c>
      <c r="I14" s="1741" t="str">
        <f>结果表!D126</f>
        <v>——</v>
      </c>
      <c r="J14" s="1740"/>
    </row>
    <row r="15" spans="1:10" ht="16.5">
      <c r="A15" s="1739" t="s">
        <v>1345</v>
      </c>
      <c r="B15" s="1746">
        <f>[1]系统读取表!$B$14</f>
        <v>2864.5</v>
      </c>
      <c r="C15" s="1746">
        <f>[1]系统读取表!$C$14</f>
        <v>4638.1000000000004</v>
      </c>
      <c r="D15" s="1746">
        <f ca="1">[1]系统读取表!$D$14</f>
        <v>10606</v>
      </c>
      <c r="E15" s="1741">
        <f t="shared" ref="E15:E23" ca="1" si="0">ROUND(D15*10000/B15,0)</f>
        <v>37026</v>
      </c>
      <c r="F15" s="1741">
        <f t="shared" ref="F15:F23" ca="1" si="1">ROUND(D15*10000/C15,0)</f>
        <v>22867</v>
      </c>
      <c r="G15" s="1747">
        <f ca="1">[1]系统读取表!$G$14</f>
        <v>10606</v>
      </c>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3" sqref="G33"/>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2116</v>
      </c>
      <c r="B1" s="2419"/>
      <c r="C1" s="2420"/>
      <c r="D1" s="2419"/>
      <c r="E1" s="2419"/>
      <c r="F1" s="2421" t="s">
        <v>2117</v>
      </c>
      <c r="G1" s="2070" t="s">
        <v>3061</v>
      </c>
      <c r="H1" s="2422" t="str">
        <f>IF(G1="现房","——","估价对象范围")</f>
        <v>——</v>
      </c>
      <c r="I1" s="2423" t="s">
        <v>3186</v>
      </c>
    </row>
    <row r="2" spans="1:12" ht="21.75" customHeight="1" thickBot="1">
      <c r="A2" s="3195" t="str">
        <f>项目基本情况!S2</f>
        <v>北京市朝阳区建国门外郎家园6号“郎园Vintage”项目房地产</v>
      </c>
      <c r="B2" s="3196"/>
      <c r="C2" s="3196"/>
      <c r="D2" s="3196"/>
      <c r="E2" s="3196"/>
      <c r="F2" s="3196"/>
      <c r="G2" s="3196"/>
      <c r="H2" s="3196"/>
      <c r="I2" s="3197"/>
    </row>
    <row r="3" spans="1:12" ht="12.75">
      <c r="A3" s="3199" t="s">
        <v>2118</v>
      </c>
      <c r="B3" s="3200"/>
      <c r="C3" s="3200"/>
      <c r="D3" s="3200"/>
      <c r="E3" s="3200"/>
      <c r="F3" s="3200"/>
      <c r="G3" s="3200"/>
      <c r="H3" s="3200"/>
      <c r="I3" s="3200"/>
    </row>
    <row r="4" spans="1:12" ht="14.25">
      <c r="A4" s="2426" t="s">
        <v>2119</v>
      </c>
      <c r="B4" s="2427" t="s">
        <v>2120</v>
      </c>
      <c r="C4" s="2428" t="s">
        <v>3185</v>
      </c>
      <c r="D4" s="2428" t="s">
        <v>3171</v>
      </c>
      <c r="E4" s="3192" t="s">
        <v>2121</v>
      </c>
      <c r="F4" s="3193"/>
      <c r="G4" s="3193"/>
      <c r="H4" s="3193"/>
      <c r="I4" s="3201"/>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75" t="s">
        <v>2122</v>
      </c>
      <c r="B5" s="3088">
        <v>25</v>
      </c>
      <c r="C5" s="3178"/>
      <c r="D5" s="3198"/>
      <c r="E5" s="140" t="s">
        <v>2123</v>
      </c>
      <c r="F5" s="2430"/>
      <c r="G5" s="2430"/>
      <c r="H5" s="2430"/>
      <c r="I5" s="1831"/>
    </row>
    <row r="6" spans="1:12" ht="12.75">
      <c r="A6" s="3175"/>
      <c r="B6" s="3088"/>
      <c r="C6" s="3179"/>
      <c r="D6" s="3198"/>
      <c r="E6" s="140" t="s">
        <v>2124</v>
      </c>
      <c r="F6" s="2430"/>
      <c r="G6" s="2430"/>
      <c r="H6" s="2430"/>
      <c r="I6" s="1831"/>
    </row>
    <row r="7" spans="1:12" ht="12.75">
      <c r="A7" s="3175"/>
      <c r="B7" s="3088"/>
      <c r="C7" s="3180"/>
      <c r="D7" s="3198"/>
      <c r="E7" s="140" t="s">
        <v>2125</v>
      </c>
      <c r="F7" s="2430"/>
      <c r="G7" s="2430"/>
      <c r="H7" s="2430"/>
      <c r="I7" s="1831"/>
    </row>
    <row r="8" spans="1:12" ht="12.75">
      <c r="A8" s="3175" t="s">
        <v>2126</v>
      </c>
      <c r="B8" s="3088">
        <v>15</v>
      </c>
      <c r="C8" s="3178"/>
      <c r="D8" s="3198"/>
      <c r="E8" s="140" t="s">
        <v>2127</v>
      </c>
      <c r="F8" s="2430"/>
      <c r="G8" s="2430"/>
      <c r="H8" s="2430"/>
      <c r="I8" s="1831"/>
    </row>
    <row r="9" spans="1:12" ht="12.75">
      <c r="A9" s="3175"/>
      <c r="B9" s="3088"/>
      <c r="C9" s="3180"/>
      <c r="D9" s="3198"/>
      <c r="E9" s="140" t="s">
        <v>2128</v>
      </c>
      <c r="F9" s="2430"/>
      <c r="G9" s="2430"/>
      <c r="H9" s="2430"/>
      <c r="I9" s="1831"/>
    </row>
    <row r="10" spans="1:12" ht="12.75">
      <c r="A10" s="3175" t="s">
        <v>2129</v>
      </c>
      <c r="B10" s="3088">
        <v>15</v>
      </c>
      <c r="C10" s="3178"/>
      <c r="D10" s="3198"/>
      <c r="E10" s="140" t="s">
        <v>2130</v>
      </c>
      <c r="F10" s="2430"/>
      <c r="G10" s="2430"/>
      <c r="H10" s="2430"/>
      <c r="I10" s="1831"/>
    </row>
    <row r="11" spans="1:12" ht="12.75">
      <c r="A11" s="3175"/>
      <c r="B11" s="3088"/>
      <c r="C11" s="3180"/>
      <c r="D11" s="3198"/>
      <c r="E11" s="140" t="s">
        <v>2131</v>
      </c>
      <c r="F11" s="2430"/>
      <c r="G11" s="2430"/>
      <c r="H11" s="2430"/>
      <c r="I11" s="1831"/>
    </row>
    <row r="12" spans="1:12" ht="12.75">
      <c r="A12" s="3175" t="s">
        <v>2132</v>
      </c>
      <c r="B12" s="3088">
        <v>15</v>
      </c>
      <c r="C12" s="3178"/>
      <c r="D12" s="3198"/>
      <c r="E12" s="140" t="s">
        <v>2133</v>
      </c>
      <c r="F12" s="2430"/>
      <c r="G12" s="2430"/>
      <c r="H12" s="2430"/>
      <c r="I12" s="1831"/>
    </row>
    <row r="13" spans="1:12" ht="12.75">
      <c r="A13" s="3175"/>
      <c r="B13" s="3088"/>
      <c r="C13" s="3180"/>
      <c r="D13" s="3198"/>
      <c r="E13" s="140" t="s">
        <v>2134</v>
      </c>
      <c r="F13" s="2430"/>
      <c r="G13" s="2430"/>
      <c r="H13" s="2430"/>
      <c r="I13" s="1831"/>
    </row>
    <row r="14" spans="1:12" ht="12.75">
      <c r="A14" s="3175" t="s">
        <v>2135</v>
      </c>
      <c r="B14" s="3088">
        <v>30</v>
      </c>
      <c r="C14" s="3178">
        <v>4</v>
      </c>
      <c r="D14" s="3198">
        <v>6</v>
      </c>
      <c r="E14" s="140" t="s">
        <v>2136</v>
      </c>
      <c r="F14" s="2430"/>
      <c r="G14" s="2430"/>
      <c r="H14" s="2430"/>
      <c r="I14" s="1831"/>
    </row>
    <row r="15" spans="1:12" ht="12.75">
      <c r="A15" s="3175"/>
      <c r="B15" s="3088"/>
      <c r="C15" s="3179"/>
      <c r="D15" s="3198"/>
      <c r="E15" s="140" t="s">
        <v>2137</v>
      </c>
      <c r="F15" s="2430"/>
      <c r="G15" s="2430"/>
      <c r="H15" s="2430"/>
      <c r="I15" s="1831"/>
    </row>
    <row r="16" spans="1:12" ht="12.75">
      <c r="A16" s="3175"/>
      <c r="B16" s="3088"/>
      <c r="C16" s="3180"/>
      <c r="D16" s="3198"/>
      <c r="E16" s="140" t="s">
        <v>2138</v>
      </c>
      <c r="F16" s="2430"/>
      <c r="G16" s="2430"/>
      <c r="H16" s="2430"/>
      <c r="I16" s="1831"/>
    </row>
    <row r="17" spans="1:35" ht="15">
      <c r="A17" s="2431" t="s">
        <v>2139</v>
      </c>
      <c r="B17" s="64"/>
      <c r="C17" s="141">
        <f>SUM(C5:C16)</f>
        <v>4</v>
      </c>
      <c r="D17" s="141">
        <f>SUM(D5:D16)</f>
        <v>6</v>
      </c>
      <c r="E17" s="138"/>
      <c r="F17" s="138"/>
      <c r="G17" s="138"/>
      <c r="H17" s="138"/>
      <c r="I17" s="138"/>
      <c r="K17" s="2429"/>
      <c r="L17" s="2432" t="s">
        <v>2140</v>
      </c>
      <c r="M17" s="2432" t="s">
        <v>2141</v>
      </c>
    </row>
    <row r="18" spans="1:35" ht="15.75" thickBot="1">
      <c r="A18" s="2433" t="s">
        <v>2142</v>
      </c>
      <c r="B18" s="2434"/>
      <c r="C18" s="142">
        <f>ROUND(C17/SUM(C17:D17),2)</f>
        <v>0.4</v>
      </c>
      <c r="D18" s="142">
        <f>1-C18</f>
        <v>0.6</v>
      </c>
      <c r="E18" s="138"/>
      <c r="F18" s="138"/>
      <c r="G18" s="138"/>
      <c r="H18" s="138"/>
      <c r="I18" s="138"/>
      <c r="K18" s="2429" t="s">
        <v>2143</v>
      </c>
      <c r="L18" s="2429">
        <f>IF(C1="",'数据-汇总表'!E3,SUMIF(项目类型,C1,'数据-汇总表'!E17:E26)+SUMIF(项目类型,C1,'数据-汇总表'!I17:I26))</f>
        <v>27202.3</v>
      </c>
      <c r="M18" s="2429">
        <f>IF(C1="",'数据-汇总表'!E3,SUMIF(项目类型,C1,'数据-汇总表'!E17:E26))</f>
        <v>27202.3</v>
      </c>
    </row>
    <row r="19" spans="1:35" ht="15">
      <c r="A19" s="2435" t="s">
        <v>2144</v>
      </c>
      <c r="B19" s="2436" t="s">
        <v>2145</v>
      </c>
      <c r="C19" s="143">
        <f ca="1">SUMIF(INDIRECT("'"&amp;C4&amp;"'"&amp;"!A:A"),结果表!B19,INDIRECT("'"&amp;C4&amp;"'"&amp;"!B:B"))</f>
        <v>40059</v>
      </c>
      <c r="D19" s="144">
        <f ca="1">SUMIF(INDIRECT("'"&amp;D4&amp;"'"&amp;"!A:A"),结果表!B19,INDIRECT("'"&amp;D4&amp;"'"&amp;"!B:B"))</f>
        <v>97392</v>
      </c>
      <c r="E19" s="2435" t="s">
        <v>2146</v>
      </c>
      <c r="F19" s="2436" t="s">
        <v>2145</v>
      </c>
      <c r="G19" s="145">
        <f ca="1">ROUND(C19*$C$18+D19*$D$18,0)</f>
        <v>74459</v>
      </c>
      <c r="H19" s="2437" t="s">
        <v>2147</v>
      </c>
      <c r="I19" s="138"/>
      <c r="K19" s="2429" t="s">
        <v>2148</v>
      </c>
      <c r="L19" s="2429">
        <f>IF(C1="",'数据-汇总表'!D3,SUMIF(项目类型,C1,'数据-汇总表'!D17:D26)+SUMIF(项目类型,C1,'数据-汇总表'!H17:H27))</f>
        <v>18455.759999999998</v>
      </c>
      <c r="M19" s="2429">
        <f>IF(C1="",'数据-汇总表'!D3,SUMIF(项目类型,C1,'数据-汇总表'!D17:D26))</f>
        <v>18455.759999999998</v>
      </c>
    </row>
    <row r="20" spans="1:35" ht="15">
      <c r="A20" s="2438"/>
      <c r="B20" s="1247" t="s">
        <v>2149</v>
      </c>
      <c r="C20" s="146">
        <f ca="1">SUMIF(INDIRECT("'"&amp;C4&amp;"'"&amp;"!A:A"),结果表!B20,INDIRECT("'"&amp;C4&amp;"'"&amp;"!B:B"))</f>
        <v>14726</v>
      </c>
      <c r="D20" s="147">
        <f ca="1">SUMIF(INDIRECT("'"&amp;D4&amp;"'"&amp;"!A:A"),结果表!B20,INDIRECT("'"&amp;D4&amp;"'"&amp;"!B:B"))</f>
        <v>35803</v>
      </c>
      <c r="E20" s="2438"/>
      <c r="F20" s="1247" t="s">
        <v>2149</v>
      </c>
      <c r="G20" s="148">
        <f ca="1">ROUND(C20*$C$18+D20*$D$18,0)</f>
        <v>27372</v>
      </c>
      <c r="H20" s="980" t="s">
        <v>2150</v>
      </c>
      <c r="I20" s="138"/>
    </row>
    <row r="21" spans="1:35" ht="15" customHeight="1" thickBot="1">
      <c r="A21" s="1000"/>
      <c r="B21" s="2439" t="s">
        <v>2151</v>
      </c>
      <c r="C21" s="789">
        <f ca="1">ROUND(C19*10000/L19,0)</f>
        <v>21705</v>
      </c>
      <c r="D21" s="790">
        <f ca="1">ROUND(D19*10000/L19,0)</f>
        <v>52771</v>
      </c>
      <c r="E21" s="1000"/>
      <c r="F21" s="2439" t="s">
        <v>2151</v>
      </c>
      <c r="G21" s="149">
        <f ca="1">ROUND(G19*10000/L19,0)</f>
        <v>40345</v>
      </c>
      <c r="H21" s="2440" t="s">
        <v>2150</v>
      </c>
      <c r="I21" s="138"/>
    </row>
    <row r="22" spans="1:35" ht="15" thickBot="1">
      <c r="A22" s="2281" t="s">
        <v>2152</v>
      </c>
      <c r="B22" s="2441"/>
      <c r="C22" s="2442"/>
      <c r="D22" s="791">
        <f ca="1">IF(C19&lt;D19,D19/C19-1,C19/D19-1)</f>
        <v>1.4312139594098703</v>
      </c>
      <c r="E22" s="138"/>
      <c r="F22" s="138"/>
      <c r="G22" s="138"/>
      <c r="H22" s="138"/>
      <c r="I22" s="138"/>
    </row>
    <row r="23" spans="1:35" ht="13.5" thickBot="1">
      <c r="A23" s="2419"/>
      <c r="B23" s="2419"/>
      <c r="C23" s="2419"/>
      <c r="D23" s="2419"/>
      <c r="E23" s="138"/>
      <c r="F23" s="138"/>
      <c r="G23" s="138"/>
      <c r="H23" s="138"/>
      <c r="I23" s="138"/>
    </row>
    <row r="24" spans="1:35" ht="14.25">
      <c r="A24" s="3169" t="s">
        <v>2153</v>
      </c>
      <c r="B24" s="2436" t="s">
        <v>2145</v>
      </c>
      <c r="C24" s="145">
        <f>IF(B30=0,0,D30)</f>
        <v>0</v>
      </c>
      <c r="D24" s="2443"/>
      <c r="E24" s="138"/>
      <c r="F24" s="138"/>
      <c r="G24" s="138"/>
      <c r="H24" s="138"/>
      <c r="I24" s="138"/>
    </row>
    <row r="25" spans="1:35" ht="14.25">
      <c r="A25" s="3170"/>
      <c r="B25" s="1247"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18" t="s">
        <v>3030</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2159</v>
      </c>
      <c r="B32" s="2449"/>
      <c r="C32" s="153">
        <f ca="1">IF(D32="总价",G19-C24,G20-C25)</f>
        <v>74459</v>
      </c>
      <c r="D32" s="2450" t="s">
        <v>2160</v>
      </c>
      <c r="E32" s="138"/>
      <c r="F32" s="138"/>
      <c r="G32" s="138"/>
      <c r="H32" s="138"/>
      <c r="I32" s="138"/>
    </row>
    <row r="33" spans="1:15" ht="15">
      <c r="A33" s="957" t="s">
        <v>2161</v>
      </c>
      <c r="B33" s="2451"/>
      <c r="C33" s="2452" t="s">
        <v>3187</v>
      </c>
      <c r="D33" s="2453" t="s">
        <v>3185</v>
      </c>
      <c r="E33" s="2454" t="s">
        <v>2162</v>
      </c>
      <c r="F33" s="2455" t="str">
        <f>IF(D32="楼面单价","取值（单价）","取值（总价）")</f>
        <v>取值（总价）</v>
      </c>
      <c r="G33" s="138"/>
      <c r="H33" s="138"/>
      <c r="I33" s="138"/>
    </row>
    <row r="34" spans="1:15" ht="15">
      <c r="A34" s="2456"/>
      <c r="B34" s="2457" t="s">
        <v>2163</v>
      </c>
      <c r="C34" s="157">
        <f ca="1">IF(C33="自定义",F34,C32-C35)</f>
        <v>59493</v>
      </c>
      <c r="D34" s="1055">
        <f ca="1">IF(C33="自定义",ROUND(C34/C32,3),IF(C33="收益比率",SUMIF(INDIRECT("'"&amp;D33&amp;"'"&amp;"!b:b"),"土地收益比率",INDIRECT("'"&amp;D33&amp;"'"&amp;"!c:c")),SUMIF(INDIRECT("'"&amp;D33&amp;"'"&amp;"!b:b"),"土地成本比率",INDIRECT("'"&amp;D33&amp;"'"&amp;"!c:c"))))</f>
        <v>0.79899999999999993</v>
      </c>
      <c r="E34" s="2458" t="s">
        <v>2164</v>
      </c>
      <c r="F34" s="1736"/>
      <c r="G34" s="138"/>
      <c r="H34" s="138"/>
      <c r="I34" s="138"/>
    </row>
    <row r="35" spans="1:15" ht="15.75" thickBot="1">
      <c r="A35" s="2459"/>
      <c r="B35" s="2460" t="s">
        <v>2165</v>
      </c>
      <c r="C35" s="1441">
        <f ca="1">IF(C33="自定义",F35,ROUND(C32*D35,0))</f>
        <v>14966</v>
      </c>
      <c r="D35" s="1442">
        <f ca="1">IF(C33="自定义",ROUND(C35/C32,3),IF(C33="收益比率",SUMIF(INDIRECT("'"&amp;D33&amp;"'"&amp;"!b:b"),"建筑物收益比率",INDIRECT("'"&amp;D33&amp;"'"&amp;"!c:c")),SUMIF(INDIRECT("'"&amp;D33&amp;"'"&amp;"!b:b"),"建筑物成本比率",INDIRECT("'"&amp;D33&amp;"'"&amp;"!c:c"))))</f>
        <v>0.20100000000000001</v>
      </c>
      <c r="E35" s="2461" t="s">
        <v>2166</v>
      </c>
      <c r="F35" s="163"/>
      <c r="G35" s="138"/>
      <c r="H35" s="138"/>
      <c r="I35" s="138"/>
    </row>
    <row r="36" spans="1:15" ht="15.75" thickBot="1">
      <c r="A36" s="3187" t="s">
        <v>2167</v>
      </c>
      <c r="B36" s="2462" t="s">
        <v>2168</v>
      </c>
      <c r="C36" s="154"/>
      <c r="D36" s="2463" t="s">
        <v>3188</v>
      </c>
      <c r="E36" s="2464"/>
      <c r="F36" s="2465"/>
      <c r="G36" s="138"/>
      <c r="H36" s="138"/>
      <c r="I36" s="138"/>
    </row>
    <row r="37" spans="1:15" ht="15.75" thickBot="1">
      <c r="A37" s="3188"/>
      <c r="B37" s="2267" t="s">
        <v>2169</v>
      </c>
      <c r="C37" s="156"/>
      <c r="D37" s="1392"/>
      <c r="E37" s="1392"/>
      <c r="F37" s="2465"/>
      <c r="G37" s="138"/>
      <c r="H37" s="138"/>
      <c r="I37" s="138"/>
    </row>
    <row r="38" spans="1:15" ht="15.75" thickBot="1">
      <c r="A38" s="3189"/>
      <c r="B38" s="2466" t="s">
        <v>2170</v>
      </c>
      <c r="C38" s="727"/>
      <c r="D38" s="2467" t="s">
        <v>2171</v>
      </c>
      <c r="E38" s="1392"/>
      <c r="F38" s="2465"/>
      <c r="G38" s="138"/>
      <c r="H38" s="138"/>
      <c r="I38" s="138"/>
    </row>
    <row r="39" spans="1:15" ht="15">
      <c r="A39" s="2438" t="s">
        <v>2172</v>
      </c>
      <c r="B39" s="2468" t="s">
        <v>2173</v>
      </c>
      <c r="C39" s="2469" t="s">
        <v>2174</v>
      </c>
      <c r="D39" s="2469" t="s">
        <v>2175</v>
      </c>
      <c r="E39" s="2470" t="s">
        <v>2176</v>
      </c>
      <c r="F39" s="2465"/>
      <c r="G39" s="138"/>
      <c r="H39" s="138"/>
      <c r="I39" s="138"/>
    </row>
    <row r="40" spans="1:15" ht="14.25">
      <c r="A40" s="2471" t="s">
        <v>2177</v>
      </c>
      <c r="B40" s="158"/>
      <c r="C40" s="159"/>
      <c r="D40" s="159"/>
      <c r="E40" s="160"/>
      <c r="F40" s="2465"/>
      <c r="G40" s="138"/>
      <c r="H40" s="138"/>
      <c r="I40" s="138"/>
    </row>
    <row r="41" spans="1:15" ht="14.25">
      <c r="A41" s="2471" t="s">
        <v>2178</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166" t="s">
        <v>2181</v>
      </c>
      <c r="B45" s="3167"/>
      <c r="C45" s="3168"/>
      <c r="D45" s="164">
        <f ca="1">ROUND(H101*F45,0)</f>
        <v>74459</v>
      </c>
      <c r="E45" s="165" t="s">
        <v>2182</v>
      </c>
      <c r="F45" s="166">
        <v>1</v>
      </c>
      <c r="G45" s="167" t="s">
        <v>2183</v>
      </c>
      <c r="H45" s="138"/>
      <c r="I45" s="138"/>
      <c r="J45" s="3226" t="s">
        <v>2184</v>
      </c>
      <c r="K45" s="3226"/>
      <c r="L45" s="3226"/>
      <c r="M45" s="3226"/>
      <c r="N45" s="3226"/>
      <c r="O45" s="3226"/>
    </row>
    <row r="46" spans="1:15" ht="14.25" customHeight="1">
      <c r="A46" s="3163" t="s">
        <v>2185</v>
      </c>
      <c r="B46" s="3164"/>
      <c r="C46" s="3164"/>
      <c r="D46" s="3164"/>
      <c r="E46" s="3164"/>
      <c r="F46" s="3164"/>
      <c r="G46" s="3165"/>
      <c r="H46" s="2481"/>
      <c r="I46" s="168"/>
      <c r="J46" s="1809">
        <v>1</v>
      </c>
      <c r="K46" s="3226" t="s">
        <v>2186</v>
      </c>
      <c r="L46" s="3226"/>
      <c r="M46" s="3246"/>
      <c r="N46" s="3246"/>
      <c r="O46" s="3246"/>
    </row>
    <row r="47" spans="1:15" ht="12" customHeight="1">
      <c r="A47" s="169" t="s">
        <v>2187</v>
      </c>
      <c r="B47" s="170"/>
      <c r="C47" s="171"/>
      <c r="D47" s="172" t="s">
        <v>2188</v>
      </c>
      <c r="E47" s="24" t="s">
        <v>2189</v>
      </c>
      <c r="F47" s="173" t="s">
        <v>2190</v>
      </c>
      <c r="G47" s="174" t="s">
        <v>2191</v>
      </c>
      <c r="H47" s="2481"/>
      <c r="I47" s="168"/>
      <c r="J47" s="1809">
        <v>2</v>
      </c>
      <c r="K47" s="3226" t="s">
        <v>2192</v>
      </c>
      <c r="L47" s="3226"/>
      <c r="M47" s="3247">
        <f>'数据-取费表'!B2</f>
        <v>43592</v>
      </c>
      <c r="N47" s="3247"/>
      <c r="O47" s="3247"/>
    </row>
    <row r="48" spans="1:15" ht="25.5">
      <c r="A48" s="3194" t="s">
        <v>2193</v>
      </c>
      <c r="B48" s="3177"/>
      <c r="C48" s="3177"/>
      <c r="D48" s="140">
        <f>IF(H48="情况1",0,IF(H48="情况2",D52,IF(H48="情况3",D53,IF(H48="情况4",D54))))</f>
        <v>0</v>
      </c>
      <c r="E48" s="1798" t="str">
        <f>IF(H48="情况4","(销售额-原购置价)×税（费）率","销售额×税（费）率")</f>
        <v>销售额×税（费）率</v>
      </c>
      <c r="F48" s="175" t="str">
        <f>IF(H48="情况1","免征",'数据-取费表'!B41)</f>
        <v>免征</v>
      </c>
      <c r="G48" s="2482" t="s">
        <v>2194</v>
      </c>
      <c r="H48" s="2483" t="s">
        <v>2195</v>
      </c>
      <c r="I48" s="2481"/>
      <c r="J48" s="1809">
        <v>3</v>
      </c>
      <c r="K48" s="3226" t="s">
        <v>2196</v>
      </c>
      <c r="L48" s="3226"/>
      <c r="M48" s="3248">
        <f ca="1">H101</f>
        <v>74459</v>
      </c>
      <c r="N48" s="3248"/>
      <c r="O48" s="3248"/>
    </row>
    <row r="49" spans="1:35" ht="25.5" customHeight="1">
      <c r="A49" s="176" t="s">
        <v>2197</v>
      </c>
      <c r="B49" s="3162" t="s">
        <v>2198</v>
      </c>
      <c r="C49" s="3162"/>
      <c r="D49" s="177">
        <v>0</v>
      </c>
      <c r="E49" s="23" t="s">
        <v>2199</v>
      </c>
      <c r="F49" s="28" t="s">
        <v>34</v>
      </c>
      <c r="G49" s="3232"/>
      <c r="H49" s="138"/>
      <c r="I49" s="2484"/>
      <c r="J49" s="1809">
        <v>4</v>
      </c>
      <c r="K49" s="3226" t="str">
        <f>IF(项目基本情况!E8="房地产抵押价值","房地产抵押价值","抵押担保权已注销时的房地产抵押价值")</f>
        <v>房地产抵押价值</v>
      </c>
      <c r="L49" s="3226"/>
      <c r="M49" s="3248">
        <f ca="1">IF(项目基本情况!E8="房地产抵押价值",H107,H109)</f>
        <v>74459</v>
      </c>
      <c r="N49" s="3248"/>
      <c r="O49" s="3248"/>
    </row>
    <row r="50" spans="1:35" ht="25.5" customHeight="1">
      <c r="A50" s="178"/>
      <c r="B50" s="3162" t="s">
        <v>2200</v>
      </c>
      <c r="C50" s="3162"/>
      <c r="D50" s="179"/>
      <c r="E50" s="31"/>
      <c r="F50" s="180"/>
      <c r="G50" s="3233"/>
      <c r="H50" s="138"/>
      <c r="I50" s="2484"/>
      <c r="J50" s="3226" t="s">
        <v>2201</v>
      </c>
      <c r="K50" s="3226"/>
      <c r="L50" s="3226"/>
      <c r="M50" s="3226"/>
      <c r="N50" s="3226"/>
      <c r="O50" s="3226"/>
    </row>
    <row r="51" spans="1:35" ht="12" customHeight="1">
      <c r="A51" s="181"/>
      <c r="B51" s="3162" t="s">
        <v>2202</v>
      </c>
      <c r="C51" s="3162"/>
      <c r="D51" s="182"/>
      <c r="E51" s="30"/>
      <c r="F51" s="180"/>
      <c r="G51" s="3234"/>
      <c r="H51" s="138"/>
      <c r="I51" s="2484"/>
      <c r="J51" s="2485" t="s">
        <v>2203</v>
      </c>
      <c r="K51" s="3226" t="s">
        <v>2204</v>
      </c>
      <c r="L51" s="3226"/>
      <c r="M51" s="2485" t="s">
        <v>2205</v>
      </c>
      <c r="N51" s="2485" t="s">
        <v>2206</v>
      </c>
      <c r="O51" s="2485" t="s">
        <v>2207</v>
      </c>
    </row>
    <row r="52" spans="1:35" ht="24" customHeight="1">
      <c r="A52" s="183" t="s">
        <v>2208</v>
      </c>
      <c r="B52" s="3162" t="s">
        <v>2209</v>
      </c>
      <c r="C52" s="3162"/>
      <c r="D52" s="182">
        <f ca="1">ROUND(D45*'数据-取费表'!B41/(1+'数据-取费表'!C42),0)</f>
        <v>3971</v>
      </c>
      <c r="E52" s="11" t="s">
        <v>2210</v>
      </c>
      <c r="F52" s="184">
        <f>'数据-取费表'!B41</f>
        <v>5.6000000000000001E-2</v>
      </c>
      <c r="G52" s="2486"/>
      <c r="H52" s="138"/>
      <c r="I52" s="2484"/>
      <c r="J52" s="1809">
        <v>1</v>
      </c>
      <c r="K52" s="3227" t="s">
        <v>2211</v>
      </c>
      <c r="L52" s="3227"/>
      <c r="M52" s="1751">
        <f>D48</f>
        <v>0</v>
      </c>
      <c r="N52" s="1809" t="str">
        <f>E48</f>
        <v>销售额×税（费）率</v>
      </c>
      <c r="O52" s="1752" t="str">
        <f>F48</f>
        <v>免征</v>
      </c>
    </row>
    <row r="53" spans="1:35" ht="12" customHeight="1">
      <c r="A53" s="183" t="s">
        <v>2212</v>
      </c>
      <c r="B53" s="3185" t="s">
        <v>2213</v>
      </c>
      <c r="C53" s="3186"/>
      <c r="D53" s="182">
        <f ca="1">ROUND(D45*'数据-取费表'!B41/(1+'数据-取费表'!C42),0)</f>
        <v>3971</v>
      </c>
      <c r="E53" s="11" t="s">
        <v>2210</v>
      </c>
      <c r="F53" s="184">
        <f>'数据-取费表'!B41</f>
        <v>5.6000000000000001E-2</v>
      </c>
      <c r="G53" s="2486"/>
      <c r="H53" s="138"/>
      <c r="I53" s="2484"/>
      <c r="J53" s="1809">
        <v>2</v>
      </c>
      <c r="K53" s="3227" t="s">
        <v>2214</v>
      </c>
      <c r="L53" s="3227"/>
      <c r="M53" s="1751">
        <f t="shared" ref="M53:O54" ca="1" si="0">D55</f>
        <v>37</v>
      </c>
      <c r="N53" s="1809" t="str">
        <f t="shared" si="0"/>
        <v>销售额×税（费）率</v>
      </c>
      <c r="O53" s="1752">
        <f t="shared" si="0"/>
        <v>5.0000000000000001E-4</v>
      </c>
    </row>
    <row r="54" spans="1:35" ht="12" customHeight="1">
      <c r="A54" s="183" t="s">
        <v>2215</v>
      </c>
      <c r="B54" s="3185" t="s">
        <v>2216</v>
      </c>
      <c r="C54" s="3186"/>
      <c r="D54" s="182">
        <f ca="1">C68</f>
        <v>3971</v>
      </c>
      <c r="E54" s="30" t="s">
        <v>2217</v>
      </c>
      <c r="F54" s="184">
        <f>'数据-取费表'!B41</f>
        <v>5.6000000000000001E-2</v>
      </c>
      <c r="G54" s="2486"/>
      <c r="H54" s="2487"/>
      <c r="I54" s="2484"/>
      <c r="J54" s="1809">
        <v>3</v>
      </c>
      <c r="K54" s="3227" t="s">
        <v>2218</v>
      </c>
      <c r="L54" s="3227"/>
      <c r="M54" s="1751">
        <f t="shared" ca="1" si="0"/>
        <v>42144</v>
      </c>
      <c r="N54" s="1809" t="str">
        <f t="shared" si="0"/>
        <v>增值额×税（费）率</v>
      </c>
      <c r="O54" s="1753" t="str">
        <f t="shared" si="0"/>
        <v>——</v>
      </c>
    </row>
    <row r="55" spans="1:35" ht="24" customHeight="1">
      <c r="A55" s="3176" t="s">
        <v>2219</v>
      </c>
      <c r="B55" s="3177"/>
      <c r="C55" s="3177"/>
      <c r="D55" s="185">
        <f ca="1">IF(H55="个人住宅",0,ROUND(D45*I55,0))</f>
        <v>37</v>
      </c>
      <c r="E55" s="11" t="s">
        <v>2220</v>
      </c>
      <c r="F55" s="184">
        <f>IF(H55="正常",I55,"免征")</f>
        <v>5.0000000000000001E-4</v>
      </c>
      <c r="G55" s="2486"/>
      <c r="H55" s="2483" t="s">
        <v>2221</v>
      </c>
      <c r="I55" s="186">
        <f>'数据-取费表'!B49</f>
        <v>5.0000000000000001E-4</v>
      </c>
      <c r="J55" s="1809" t="str">
        <f>IF(H59="非个人房产","",4)</f>
        <v/>
      </c>
      <c r="K55" s="3227" t="str">
        <f>IF(H59="非个人房产","——","个人所得税")</f>
        <v>——</v>
      </c>
      <c r="L55" s="3227"/>
      <c r="M55" s="1754" t="str">
        <f>D59</f>
        <v>——</v>
      </c>
      <c r="N55" s="1807" t="str">
        <f>E59</f>
        <v>——</v>
      </c>
      <c r="O55" s="1755" t="str">
        <f>F59</f>
        <v>——</v>
      </c>
    </row>
    <row r="56" spans="1:35" ht="24.75">
      <c r="A56" s="3176" t="s">
        <v>2222</v>
      </c>
      <c r="B56" s="3177"/>
      <c r="C56" s="3177"/>
      <c r="D56" s="185">
        <f ca="1">IF(H56="个人住宅",D57,D58)</f>
        <v>42144</v>
      </c>
      <c r="E56" s="11" t="s">
        <v>2223</v>
      </c>
      <c r="F56" s="184" t="str">
        <f>IF(H56="正常",F58,"免征")</f>
        <v>——</v>
      </c>
      <c r="G56" s="2488" t="s">
        <v>2224</v>
      </c>
      <c r="H56" s="2489" t="s">
        <v>2221</v>
      </c>
      <c r="I56" s="2490"/>
      <c r="J56" s="1809" t="str">
        <f>IF(项目基本情况!K6="上海银行",IF(J55="",4,J55+1),"")</f>
        <v/>
      </c>
      <c r="K56" s="3250" t="str">
        <f>IF(项目基本情况!K6="上海银行","其他处置费用","")</f>
        <v/>
      </c>
      <c r="L56" s="3251"/>
      <c r="M56" s="1751" t="str">
        <f>IF(项目基本情况!K6="上海银行",M69,"")</f>
        <v/>
      </c>
      <c r="N56" s="3253" t="str">
        <f>IF(项目基本情况!K6="上海银行","包含处置中涉及的律师、诉讼、拍卖、评估等费用","")</f>
        <v/>
      </c>
      <c r="O56" s="3254"/>
    </row>
    <row r="57" spans="1:35" ht="12.75">
      <c r="A57" s="183" t="s">
        <v>2197</v>
      </c>
      <c r="B57" s="3192" t="s">
        <v>2225</v>
      </c>
      <c r="C57" s="3201"/>
      <c r="D57" s="187">
        <v>0</v>
      </c>
      <c r="E57" s="23" t="s">
        <v>2199</v>
      </c>
      <c r="F57" s="155"/>
      <c r="G57" s="2486"/>
      <c r="H57" s="2490"/>
      <c r="I57" s="2490"/>
      <c r="J57" s="3227">
        <f>IF(AND(J55="",J56=""),4,IF(项目基本情况!K6="上海银行",结果表!J56+1,结果表!J55+1))</f>
        <v>4</v>
      </c>
      <c r="K57" s="3227" t="s">
        <v>2226</v>
      </c>
      <c r="L57" s="2491" t="s">
        <v>2227</v>
      </c>
      <c r="M57" s="1756"/>
      <c r="N57" s="1757">
        <f ca="1">SUMIF(M52:M56,"&lt;9e307")</f>
        <v>42181</v>
      </c>
      <c r="O57" s="2492"/>
      <c r="P57" s="1750">
        <f ca="1">N57/M49</f>
        <v>0.56649968439006704</v>
      </c>
    </row>
    <row r="58" spans="1:35" ht="24.75">
      <c r="A58" s="183" t="s">
        <v>2208</v>
      </c>
      <c r="B58" s="3192" t="s">
        <v>2228</v>
      </c>
      <c r="C58" s="3193"/>
      <c r="D58" s="185">
        <f ca="1">IF(H58="转让取得",C81,C97)</f>
        <v>42144</v>
      </c>
      <c r="E58" s="11" t="s">
        <v>2223</v>
      </c>
      <c r="F58" s="24" t="s">
        <v>34</v>
      </c>
      <c r="G58" s="2486"/>
      <c r="H58" s="2489" t="s">
        <v>2229</v>
      </c>
      <c r="I58" s="2490"/>
      <c r="J58" s="3227"/>
      <c r="K58" s="3227"/>
      <c r="L58" s="2491" t="s">
        <v>2230</v>
      </c>
      <c r="M58" s="1758"/>
      <c r="N58" s="2493" t="str">
        <f ca="1">NUMBERSTRING(INT(N57*10000),2)&amp;"元整"</f>
        <v>肆亿贰仟壹佰捌拾壹万元整</v>
      </c>
      <c r="O58" s="2494"/>
    </row>
    <row r="59" spans="1:35" ht="24.75" thickBot="1">
      <c r="A59" s="3230" t="s">
        <v>2231</v>
      </c>
      <c r="B59" s="3231"/>
      <c r="C59" s="3231"/>
      <c r="D59" s="188" t="str">
        <f>IF(H59="非个人房产","——",IF(H59="个人住宅",0,ROUND(D45*I59,0)))</f>
        <v>——</v>
      </c>
      <c r="E59" s="189" t="str">
        <f>IF(H59="非个人房产","——","销售额×税（费）率")</f>
        <v>——</v>
      </c>
      <c r="F59" s="190" t="str">
        <f>IF(H59="非个人房产","——",IF(H59="个人住宅","免征",I59))</f>
        <v>——</v>
      </c>
      <c r="G59" s="2495" t="s">
        <v>2224</v>
      </c>
      <c r="H59" s="2489" t="s">
        <v>2232</v>
      </c>
      <c r="I59" s="191">
        <v>0.01</v>
      </c>
      <c r="J59" s="3228">
        <f>J57+1</f>
        <v>5</v>
      </c>
      <c r="K59" s="3227" t="s">
        <v>2233</v>
      </c>
      <c r="L59" s="1809" t="s">
        <v>2227</v>
      </c>
      <c r="M59" s="1759"/>
      <c r="N59" s="1760">
        <f ca="1">M49-N57</f>
        <v>32278</v>
      </c>
      <c r="O59" s="2496"/>
    </row>
    <row r="60" spans="1:35" ht="12" customHeight="1">
      <c r="A60" s="2497"/>
      <c r="B60" s="2419"/>
      <c r="C60" s="2419"/>
      <c r="D60" s="2419"/>
      <c r="E60" s="2166"/>
      <c r="F60" s="2490"/>
      <c r="G60" s="2490"/>
      <c r="H60" s="2498"/>
      <c r="I60" s="138"/>
      <c r="J60" s="3229"/>
      <c r="K60" s="3227"/>
      <c r="L60" s="2491" t="s">
        <v>2230</v>
      </c>
      <c r="M60" s="1758"/>
      <c r="N60" s="2493" t="str">
        <f ca="1">NUMBERSTRING(INT(N59*10000),2)&amp;"元整"</f>
        <v>叁亿贰仟贰佰柒拾捌万元整</v>
      </c>
      <c r="O60" s="2494"/>
    </row>
    <row r="61" spans="1:35" ht="13.5" thickBot="1">
      <c r="A61" s="3174" t="s">
        <v>2234</v>
      </c>
      <c r="B61" s="3174"/>
      <c r="C61" s="3174"/>
      <c r="D61" s="3174"/>
      <c r="E61" s="3174"/>
      <c r="F61" s="2490"/>
      <c r="G61" s="2490"/>
      <c r="H61" s="2498"/>
      <c r="I61" s="138"/>
      <c r="J61" s="1809">
        <f>J59+1</f>
        <v>6</v>
      </c>
      <c r="K61" s="3227" t="s">
        <v>2235</v>
      </c>
      <c r="L61" s="3227"/>
      <c r="M61" s="1761"/>
      <c r="N61" s="1762">
        <f ca="1">ROUND(N59*10000/'数据-汇总表'!E3,0)</f>
        <v>11866</v>
      </c>
      <c r="O61" s="2499"/>
    </row>
    <row r="62" spans="1:35" ht="12.75">
      <c r="A62" s="3190" t="s">
        <v>2236</v>
      </c>
      <c r="B62" s="3191"/>
      <c r="C62" s="1801"/>
      <c r="D62" s="1801" t="s">
        <v>2237</v>
      </c>
      <c r="E62" s="192" t="s">
        <v>2238</v>
      </c>
      <c r="F62" s="2490"/>
      <c r="G62" s="2490"/>
      <c r="H62" s="2498"/>
      <c r="I62" s="138"/>
    </row>
    <row r="63" spans="1:35" ht="12.75">
      <c r="A63" s="203" t="s">
        <v>775</v>
      </c>
      <c r="B63" s="193" t="s">
        <v>2239</v>
      </c>
      <c r="C63" s="194">
        <f ca="1">ROUND((C64+C65)/(1+'数据-取费表'!C42),0)</f>
        <v>70913</v>
      </c>
      <c r="D63" s="195"/>
      <c r="E63" s="196"/>
      <c r="F63" s="2490"/>
      <c r="G63" s="2490"/>
      <c r="H63" s="2498"/>
      <c r="I63" s="138"/>
      <c r="J63" s="3252" t="s">
        <v>2240</v>
      </c>
      <c r="K63" s="2500" t="s">
        <v>2241</v>
      </c>
      <c r="L63" s="1749">
        <f ca="1">IF(M49&gt;10000,M49*0.5%,IF(AND(M49&gt;1000,M49&lt;=10000),M49*1%,IF(AND(M49&gt;100,M49&lt;=1000),M49*3%,IF(AND(M49&gt;10,M49&lt;=100),M49*5%,M49*8%))))</f>
        <v>372.29500000000002</v>
      </c>
      <c r="M63" s="24">
        <f ca="1">ROUND(L63,1)</f>
        <v>372.3</v>
      </c>
      <c r="Z63" s="2424"/>
      <c r="AI63" s="2425"/>
    </row>
    <row r="64" spans="1:35" ht="14.25" customHeight="1">
      <c r="A64" s="197" t="s">
        <v>770</v>
      </c>
      <c r="B64" s="198" t="s">
        <v>2242</v>
      </c>
      <c r="C64" s="199">
        <f ca="1">D45</f>
        <v>74459</v>
      </c>
      <c r="D64" s="200" t="s">
        <v>32</v>
      </c>
      <c r="E64" s="201"/>
      <c r="F64" s="2490"/>
      <c r="G64" s="2490"/>
      <c r="H64" s="2498"/>
      <c r="I64" s="138"/>
      <c r="J64" s="3252"/>
      <c r="K64" s="2500" t="s">
        <v>2243</v>
      </c>
      <c r="L64" s="1749">
        <f ca="1">IF(M49&gt;2000,M49*0.5%,IF(AND(M49&gt;1000,M49&lt;=2000),M49*0.6%,IF(AND(M49&gt;500,M49&lt;=1000),M49*0.7%,IF(AND(M49&gt;200,M49&lt;=500),M49*0.8%,IF(AND(M49&gt;100,M49&lt;=200),M49*0.9%,IF(AND(M49&gt;50,M49&lt;=100),M49*1%,IF(AND(M49&gt;20,M49&lt;=50),M49*1.5%,IF(AND(M49&gt;10,M49&lt;=20),M49*2%,IF(AND(M49&gt;1,M49&lt;=10),M49*2.5%)))))))))</f>
        <v>372.29500000000002</v>
      </c>
      <c r="M64" s="24">
        <f t="shared" ref="M64:M65" ca="1" si="1">ROUND(L64,1)</f>
        <v>372.3</v>
      </c>
      <c r="N64" s="138" t="s">
        <v>2244</v>
      </c>
      <c r="Z64" s="2424"/>
      <c r="AI64" s="2425"/>
    </row>
    <row r="65" spans="1:35" ht="14.25" customHeight="1">
      <c r="A65" s="197" t="s">
        <v>771</v>
      </c>
      <c r="B65" s="198" t="s">
        <v>2245</v>
      </c>
      <c r="C65" s="202"/>
      <c r="D65" s="200"/>
      <c r="E65" s="201"/>
      <c r="F65" s="2490"/>
      <c r="G65" s="2490"/>
      <c r="H65" s="2498"/>
      <c r="I65" s="138"/>
      <c r="J65" s="3252"/>
      <c r="K65" s="2500" t="s">
        <v>2246</v>
      </c>
      <c r="L65" s="1749">
        <f ca="1">IF(M49&gt;1000,M49*0.1%,IF(AND(M49&gt;500,M49&lt;=1000),M49*0.5%,IF(AND(M49&gt;50,M49&lt;=500),M49*1%,IF(AND(M49&gt;1,M49&lt;=50),M49*1.5%))))</f>
        <v>74.459000000000003</v>
      </c>
      <c r="M65" s="24">
        <f t="shared" ca="1" si="1"/>
        <v>74.5</v>
      </c>
      <c r="N65" s="138" t="s">
        <v>2244</v>
      </c>
      <c r="Z65" s="2424"/>
      <c r="AI65" s="2425"/>
    </row>
    <row r="66" spans="1:35" ht="14.25" customHeight="1">
      <c r="A66" s="203" t="s">
        <v>772</v>
      </c>
      <c r="B66" s="204" t="s">
        <v>2247</v>
      </c>
      <c r="C66" s="205"/>
      <c r="D66" s="206" t="s">
        <v>32</v>
      </c>
      <c r="E66" s="1773" t="s">
        <v>1367</v>
      </c>
      <c r="F66" s="2490"/>
      <c r="G66" s="2490"/>
      <c r="H66" s="2498"/>
      <c r="I66" s="138"/>
      <c r="J66" s="3252"/>
      <c r="K66" s="2500" t="s">
        <v>2248</v>
      </c>
      <c r="L66" s="1749">
        <f ca="1">M49*0.5%</f>
        <v>372.29500000000002</v>
      </c>
      <c r="M66" s="24">
        <f ca="1">IF(L66&gt;0.5,0.5,ROUND(L66,0))</f>
        <v>0.5</v>
      </c>
      <c r="N66" s="138" t="s">
        <v>2249</v>
      </c>
      <c r="Z66" s="2424"/>
      <c r="AI66" s="2425"/>
    </row>
    <row r="67" spans="1:35" ht="14.25" customHeight="1">
      <c r="A67" s="203" t="s">
        <v>773</v>
      </c>
      <c r="B67" s="204" t="s">
        <v>2250</v>
      </c>
      <c r="C67" s="207">
        <f ca="1">C63-C66</f>
        <v>70913</v>
      </c>
      <c r="D67" s="200" t="s">
        <v>32</v>
      </c>
      <c r="E67" s="201"/>
      <c r="F67" s="2490"/>
      <c r="G67" s="2490"/>
      <c r="H67" s="2498"/>
      <c r="I67" s="138"/>
      <c r="J67" s="3252"/>
      <c r="K67" s="2500" t="s">
        <v>2251</v>
      </c>
      <c r="L67" s="1749">
        <f ca="1">IF(M49&gt;=10000,(8.25+(M49-10000)*0.01%),IF(AND(M49&gt;=8000,M49&lt;10000),(7.85+(M49-8000)*0.02%),IF(AND(M49&gt;=5000,M49&lt;8000),(6.65+(M49-5000)*0.04%),IF(AND(M49&gt;=2000,M49&lt;5000),(4.25+(PM49-2000)*0.08%),IF(AND(M49&gt;=1000,M49&lt;2000),(2.75+(M49-1000)*0.15%),IF(AND(M49&gt;=100,M49&lt;1000),(0.5+(M49-100)*0.25%),IF(AND(M49&gt;0,M49&lt;100),M49*0.5%)))))))</f>
        <v>14.6959</v>
      </c>
      <c r="M67" s="24">
        <f ca="1">ROUND(L67*0.9,1)</f>
        <v>13.2</v>
      </c>
      <c r="Z67" s="2424"/>
      <c r="AI67" s="2425"/>
    </row>
    <row r="68" spans="1:35" ht="14.25" customHeight="1" thickBot="1">
      <c r="A68" s="208" t="s">
        <v>774</v>
      </c>
      <c r="B68" s="209" t="s">
        <v>2252</v>
      </c>
      <c r="C68" s="210">
        <f ca="1">IF(C67&lt;=0,0,ROUND(C67*D68,0))</f>
        <v>3971</v>
      </c>
      <c r="D68" s="211">
        <f>'数据-取费表'!B41</f>
        <v>5.6000000000000001E-2</v>
      </c>
      <c r="E68" s="212"/>
      <c r="F68" s="2490"/>
      <c r="G68" s="2490"/>
      <c r="H68" s="2498"/>
      <c r="I68" s="138"/>
      <c r="J68" s="3252"/>
      <c r="K68" s="2500" t="s">
        <v>2253</v>
      </c>
      <c r="L68" s="1749">
        <f ca="1">IF(M49&gt;10000,M49*0.5%,IF(AND(M49&gt;5000,M49&lt;=10000),M49*1%,IF(AND(M49&gt;1000,M49&lt;=5000),M49*2%,IF(AND(M49&gt;200,M49&lt;=1000),M49*3%,M49*5%))))</f>
        <v>372.29500000000002</v>
      </c>
      <c r="M68" s="24">
        <f ca="1">ROUND(L68,1)</f>
        <v>372.3</v>
      </c>
      <c r="Z68" s="2424"/>
      <c r="AI68" s="2425"/>
    </row>
    <row r="69" spans="1:35" s="2447" customFormat="1" ht="16.5" customHeight="1">
      <c r="A69" s="2501"/>
      <c r="B69" s="2502"/>
      <c r="C69" s="2503"/>
      <c r="D69" s="2504"/>
      <c r="E69" s="2505"/>
      <c r="F69" s="2166"/>
      <c r="G69" s="2166"/>
      <c r="H69" s="2165"/>
      <c r="I69" s="2419"/>
      <c r="J69" s="3252"/>
      <c r="K69" s="2500" t="s">
        <v>2254</v>
      </c>
      <c r="L69" s="2506"/>
      <c r="M69" s="24">
        <f ca="1">ROUND(SUM(M63:M68),0)</f>
        <v>1205</v>
      </c>
      <c r="N69" s="1750">
        <f ca="1">M69/M49</f>
        <v>1.6183402946588054E-2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211" t="s">
        <v>2255</v>
      </c>
      <c r="B70" s="3212"/>
      <c r="C70" s="3212"/>
      <c r="D70" s="3212"/>
      <c r="E70" s="3212"/>
      <c r="F70" s="3212"/>
      <c r="G70" s="3212"/>
      <c r="H70" s="321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90" t="s">
        <v>2236</v>
      </c>
      <c r="B71" s="3191"/>
      <c r="C71" s="1801"/>
      <c r="D71" s="1801" t="s">
        <v>2237</v>
      </c>
      <c r="E71" s="213" t="s">
        <v>2238</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2256</v>
      </c>
      <c r="C72" s="207">
        <f ca="1">ROUND(D45/(1+'数据-取费表'!C42),0)</f>
        <v>70913</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2257</v>
      </c>
      <c r="C73" s="207">
        <f ca="1">C74+C78</f>
        <v>425</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2258</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2259</v>
      </c>
      <c r="C75" s="218"/>
      <c r="D75" s="200" t="s">
        <v>32</v>
      </c>
      <c r="E75" s="219" t="s">
        <v>2260</v>
      </c>
      <c r="F75" s="2512" t="s">
        <v>2261</v>
      </c>
      <c r="G75" s="219" t="s">
        <v>2262</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2263</v>
      </c>
      <c r="C76" s="200">
        <f>IF(F75="购房发票",ROUND(C75*H75*D76,0),0)</f>
        <v>0</v>
      </c>
      <c r="D76" s="222">
        <v>0.05</v>
      </c>
      <c r="E76" s="3185" t="s">
        <v>2264</v>
      </c>
      <c r="F76" s="3162"/>
      <c r="G76" s="3162"/>
      <c r="H76" s="321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4" t="s">
        <v>2267</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2268</v>
      </c>
      <c r="C78" s="225">
        <f ca="1">ROUND(D45*D78/(1+'数据-取费表'!C42),0)</f>
        <v>425</v>
      </c>
      <c r="D78" s="226">
        <f>'数据-取费表'!B43</f>
        <v>6.000000000000001E-3</v>
      </c>
      <c r="E78" s="3171" t="s">
        <v>2269</v>
      </c>
      <c r="F78" s="3172"/>
      <c r="G78" s="3172"/>
      <c r="H78" s="318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2270</v>
      </c>
      <c r="C79" s="207">
        <f ca="1">C72-C73</f>
        <v>70488</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2271</v>
      </c>
      <c r="C80" s="227">
        <f ca="1">IF(C79&lt;=0,0,C79/C73)</f>
        <v>165.85411764705881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2272</v>
      </c>
      <c r="C81" s="228">
        <f ca="1">ROUND(IF(C79&lt;=0,0,IF(C80&gt;=200%,C79*60%-C73*35%,IF(C80&gt;=100%,C79*50%-C73*15%,IF(C80&gt;=50%,C79*40%-C73*5%,IF(C80&lt;50%,C79*30%,0))))),0)</f>
        <v>42144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11" t="s">
        <v>2273</v>
      </c>
      <c r="B83" s="3212"/>
      <c r="C83" s="3212"/>
      <c r="D83" s="3212"/>
      <c r="E83" s="3212"/>
      <c r="F83" s="3212"/>
      <c r="G83" s="3212"/>
      <c r="H83" s="321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90" t="s">
        <v>2236</v>
      </c>
      <c r="B84" s="3191"/>
      <c r="C84" s="1801"/>
      <c r="D84" s="1801" t="s">
        <v>2237</v>
      </c>
      <c r="E84" s="213" t="s">
        <v>2238</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2256</v>
      </c>
      <c r="C85" s="207">
        <f ca="1">ROUND(D45/(1+'数据-取费表'!C42),0)</f>
        <v>70913</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2257</v>
      </c>
      <c r="C86" s="207">
        <f ca="1">IF(H88="仅含出让金",C87+C90+C91+C92+C93+C94,C87+C91+C92+C93+C94)</f>
        <v>425</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2274</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2275</v>
      </c>
      <c r="C88" s="236"/>
      <c r="D88" s="226"/>
      <c r="E88" s="237" t="s">
        <v>2276</v>
      </c>
      <c r="F88" s="1797"/>
      <c r="G88" s="238" t="s">
        <v>2277</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2265</v>
      </c>
      <c r="C89" s="225">
        <f>ROUND(C88*D89,0)</f>
        <v>0</v>
      </c>
      <c r="D89" s="226">
        <f>'数据-取费表'!B48+'数据-取费表'!B49</f>
        <v>3.0499999999999999E-2</v>
      </c>
      <c r="E89" s="237" t="s">
        <v>2278</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2279</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2280</v>
      </c>
      <c r="B91" s="198" t="s">
        <v>2281</v>
      </c>
      <c r="C91" s="225">
        <f>IF(H91="——",成本法!C33,I91)</f>
        <v>0</v>
      </c>
      <c r="D91" s="226"/>
      <c r="E91" s="3171" t="s">
        <v>2282</v>
      </c>
      <c r="F91" s="3172"/>
      <c r="G91" s="3172"/>
      <c r="H91" s="2519" t="s">
        <v>2283</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2284</v>
      </c>
      <c r="B92" s="198" t="s">
        <v>2285</v>
      </c>
      <c r="C92" s="225">
        <f>ROUND((C87+C90+C91)*D92,0)</f>
        <v>0</v>
      </c>
      <c r="D92" s="226">
        <v>0.1</v>
      </c>
      <c r="E92" s="3171" t="s">
        <v>2286</v>
      </c>
      <c r="F92" s="3172"/>
      <c r="G92" s="3172"/>
      <c r="H92" s="318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2287</v>
      </c>
      <c r="B93" s="198" t="s">
        <v>2268</v>
      </c>
      <c r="C93" s="225">
        <f ca="1">ROUND(D45*D93/(1+'数据-取费表'!C42),0)</f>
        <v>425</v>
      </c>
      <c r="D93" s="226">
        <f>'数据-取费表'!B43</f>
        <v>6.000000000000001E-3</v>
      </c>
      <c r="E93" s="3171" t="s">
        <v>2269</v>
      </c>
      <c r="F93" s="3172"/>
      <c r="G93" s="3172"/>
      <c r="H93" s="318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2288</v>
      </c>
      <c r="B94" s="198" t="s">
        <v>2289</v>
      </c>
      <c r="C94" s="236">
        <f>ROUND((C87+C90+C91)*D94,0)</f>
        <v>0</v>
      </c>
      <c r="D94" s="226">
        <v>0.2</v>
      </c>
      <c r="E94" s="3182" t="s">
        <v>2290</v>
      </c>
      <c r="F94" s="3183"/>
      <c r="G94" s="3183"/>
      <c r="H94" s="318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2270</v>
      </c>
      <c r="C95" s="207">
        <f ca="1">ROUND(C85-C86,0)</f>
        <v>70488</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2271</v>
      </c>
      <c r="C96" s="227">
        <f ca="1">IF(C95&lt;=0,0,C95/C86)</f>
        <v>165.85411764705881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2272</v>
      </c>
      <c r="C97" s="228">
        <f ca="1">ROUND(IF(C95&lt;=0,0,IF(C96&gt;=200%,C95*60%-C86*35%,IF(C96&gt;=100%,C95*50%-C86*15%,IF(C96&gt;=50%,C95*40%-C86*5%,IF(C96&lt;50%,C95*30%,0))))),0)</f>
        <v>42144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2291</v>
      </c>
      <c r="B99" s="2419"/>
      <c r="C99" s="2419"/>
      <c r="D99" s="2419"/>
      <c r="E99" s="2166"/>
      <c r="F99" s="2166"/>
      <c r="G99" s="2166"/>
      <c r="H99" s="2165"/>
      <c r="I99" s="138"/>
    </row>
    <row r="100" spans="1:35" ht="18.75" customHeight="1">
      <c r="A100" s="3156" t="s">
        <v>2292</v>
      </c>
      <c r="B100" s="3157"/>
      <c r="C100" s="3157"/>
      <c r="D100" s="3173"/>
      <c r="E100" s="3157" t="s">
        <v>2293</v>
      </c>
      <c r="F100" s="3157"/>
      <c r="G100" s="3157"/>
      <c r="H100" s="3173"/>
      <c r="I100" s="138"/>
    </row>
    <row r="101" spans="1:35" ht="18.75" customHeight="1">
      <c r="A101" s="3235" t="s">
        <v>2294</v>
      </c>
      <c r="B101" s="3236"/>
      <c r="C101" s="736" t="str">
        <f>C4</f>
        <v>成本法</v>
      </c>
      <c r="D101" s="737" t="str">
        <f>D4</f>
        <v>收益法</v>
      </c>
      <c r="E101" s="3249" t="s">
        <v>2295</v>
      </c>
      <c r="F101" s="3203"/>
      <c r="G101" s="2521" t="s">
        <v>2296</v>
      </c>
      <c r="H101" s="1045">
        <f ca="1">H118</f>
        <v>74459</v>
      </c>
      <c r="I101" s="138"/>
    </row>
    <row r="102" spans="1:35" ht="18.75" customHeight="1">
      <c r="A102" s="3205" t="s">
        <v>2297</v>
      </c>
      <c r="B102" s="2521" t="s">
        <v>2296</v>
      </c>
      <c r="C102" s="736">
        <f ca="1">C19</f>
        <v>40059</v>
      </c>
      <c r="D102" s="737">
        <f ca="1">D19</f>
        <v>97392</v>
      </c>
      <c r="E102" s="3249"/>
      <c r="F102" s="3203"/>
      <c r="G102" s="2521" t="s">
        <v>2298</v>
      </c>
      <c r="H102" s="371">
        <f ca="1">I118</f>
        <v>27372</v>
      </c>
      <c r="I102" s="138"/>
    </row>
    <row r="103" spans="1:35" ht="42.75" customHeight="1">
      <c r="A103" s="3205"/>
      <c r="B103" s="2521" t="s">
        <v>2298</v>
      </c>
      <c r="C103" s="738">
        <f ca="1">C20</f>
        <v>14726</v>
      </c>
      <c r="D103" s="739">
        <f ca="1">D20</f>
        <v>35803</v>
      </c>
      <c r="E103" s="3244" t="s">
        <v>2299</v>
      </c>
      <c r="F103" s="3245"/>
      <c r="G103" s="2522" t="s">
        <v>2300</v>
      </c>
      <c r="H103" s="1045">
        <f>IF(D36="正常操作",H104+H105+H106,H105+H106)</f>
        <v>0</v>
      </c>
      <c r="I103" s="138"/>
    </row>
    <row r="104" spans="1:35" ht="18.75" customHeight="1">
      <c r="A104" s="3205" t="s">
        <v>2301</v>
      </c>
      <c r="B104" s="2523" t="s">
        <v>2296</v>
      </c>
      <c r="C104" s="740">
        <f ca="1">H118</f>
        <v>74459</v>
      </c>
      <c r="D104" s="741"/>
      <c r="E104" s="2267" t="s">
        <v>2302</v>
      </c>
      <c r="F104" s="2258"/>
      <c r="G104" s="2522" t="s">
        <v>2300</v>
      </c>
      <c r="H104" s="1046">
        <f>IF(D36="同一抵押权人同一抵押物续贷",C36&amp;"（未扣减，详见特别提示）",C36)</f>
        <v>0</v>
      </c>
      <c r="I104" s="138"/>
    </row>
    <row r="105" spans="1:35" ht="18.75" customHeight="1" thickBot="1">
      <c r="A105" s="3206"/>
      <c r="B105" s="2524" t="s">
        <v>2298</v>
      </c>
      <c r="C105" s="742">
        <f ca="1">I118</f>
        <v>27372</v>
      </c>
      <c r="D105" s="743"/>
      <c r="E105" s="2267" t="s">
        <v>2303</v>
      </c>
      <c r="F105" s="2258"/>
      <c r="G105" s="2522" t="s">
        <v>2300</v>
      </c>
      <c r="H105" s="1046">
        <f>C37</f>
        <v>0</v>
      </c>
      <c r="I105" s="138"/>
    </row>
    <row r="106" spans="1:35" ht="18.75" customHeight="1">
      <c r="A106" s="2419" t="s">
        <v>2304</v>
      </c>
      <c r="B106" s="2419"/>
      <c r="C106" s="2419"/>
      <c r="D106" s="2419"/>
      <c r="E106" s="2525" t="s">
        <v>2305</v>
      </c>
      <c r="F106" s="2258"/>
      <c r="G106" s="2522" t="s">
        <v>2300</v>
      </c>
      <c r="H106" s="1046">
        <f>C38</f>
        <v>0</v>
      </c>
      <c r="I106" s="138"/>
    </row>
    <row r="107" spans="1:35" ht="18.75" customHeight="1">
      <c r="A107" s="138"/>
      <c r="B107" s="138"/>
      <c r="C107" s="138"/>
      <c r="D107" s="138"/>
      <c r="E107" s="3202" t="str">
        <f>IF(项目基本情况!E8="已注销","——","3.房地产抵押价值")</f>
        <v>3.房地产抵押价值</v>
      </c>
      <c r="F107" s="3203"/>
      <c r="G107" s="2521" t="s">
        <v>2296</v>
      </c>
      <c r="H107" s="1045">
        <f ca="1">IF(E107="——","——",H101-H103)</f>
        <v>74459</v>
      </c>
      <c r="I107" s="138"/>
    </row>
    <row r="108" spans="1:35" ht="18.75" customHeight="1">
      <c r="A108" s="138"/>
      <c r="B108" s="138"/>
      <c r="C108" s="138"/>
      <c r="D108" s="138"/>
      <c r="E108" s="3202"/>
      <c r="F108" s="3203"/>
      <c r="G108" s="2521" t="s">
        <v>2298</v>
      </c>
      <c r="H108" s="371">
        <f ca="1">ROUND(H107*10000/'数据-汇总表'!E3,0)</f>
        <v>27372</v>
      </c>
      <c r="I108" s="138"/>
    </row>
    <row r="109" spans="1:35" ht="18.75" customHeight="1">
      <c r="A109" s="138"/>
      <c r="B109" s="138"/>
      <c r="C109" s="138"/>
      <c r="D109" s="138"/>
      <c r="E109" s="3202" t="str">
        <f>IF(项目基本情况!E8="已注销及未注销","4.抵押担保权已注销时的房地产抵押价值",IF(项目基本情况!E8="已注销","3.抵押担保权已注销时的房地产抵押价值","——"))</f>
        <v>——</v>
      </c>
      <c r="F109" s="3203"/>
      <c r="G109" s="2521" t="s">
        <v>2296</v>
      </c>
      <c r="H109" s="348" t="str">
        <f>IF(E109="——","——",H101-H105-H106)</f>
        <v>——</v>
      </c>
      <c r="I109" s="138"/>
    </row>
    <row r="110" spans="1:35" ht="18.75" customHeight="1">
      <c r="A110" s="138"/>
      <c r="B110" s="138"/>
      <c r="C110" s="138"/>
      <c r="D110" s="138"/>
      <c r="E110" s="3202"/>
      <c r="F110" s="3203"/>
      <c r="G110" s="2521" t="s">
        <v>2298</v>
      </c>
      <c r="H110" s="371" t="str">
        <f>IF(H109="——","——",ROUND(H109*10000/'数据-汇总表'!E3,0))</f>
        <v>——</v>
      </c>
      <c r="I110" s="138"/>
    </row>
    <row r="111" spans="1:35" ht="18.75" customHeight="1">
      <c r="A111" s="138"/>
      <c r="B111" s="138"/>
      <c r="C111" s="138"/>
      <c r="D111" s="138"/>
      <c r="E111" s="3237" t="str">
        <f>IF(项目基本情况!E9="抵押净值",IF(OR(项目基本情况!E8="已注销",项目基本情况!E8="房地产抵押价值"),"4.抵押净值","5.抵押净值"),"——")</f>
        <v>——</v>
      </c>
      <c r="F111" s="3238"/>
      <c r="G111" s="2521" t="s">
        <v>2296</v>
      </c>
      <c r="H111" s="1045" t="str">
        <f>IF(E111="——","——",N59)</f>
        <v>——</v>
      </c>
      <c r="I111" s="138"/>
    </row>
    <row r="112" spans="1:35" ht="18.75" customHeight="1" thickBot="1">
      <c r="A112" s="138"/>
      <c r="B112" s="138"/>
      <c r="C112" s="138"/>
      <c r="D112" s="138"/>
      <c r="E112" s="3239"/>
      <c r="F112" s="3240"/>
      <c r="G112" s="2526" t="s">
        <v>2298</v>
      </c>
      <c r="H112" s="790" t="str">
        <f>IF(E111="——","——",N61)</f>
        <v>——</v>
      </c>
      <c r="I112" s="138"/>
    </row>
    <row r="113" spans="1:11" ht="18.75" customHeight="1">
      <c r="A113" s="138"/>
      <c r="B113" s="138"/>
      <c r="C113" s="138"/>
      <c r="D113" s="138"/>
      <c r="E113" s="3207" t="s">
        <v>2304</v>
      </c>
      <c r="F113" s="3207"/>
      <c r="G113" s="3207"/>
      <c r="H113" s="3207"/>
      <c r="I113" s="138"/>
    </row>
    <row r="114" spans="1:11" ht="3.75" customHeight="1">
      <c r="A114" s="2419"/>
      <c r="B114" s="2419"/>
      <c r="C114" s="2419"/>
      <c r="D114" s="2419"/>
      <c r="E114" s="2497"/>
      <c r="F114" s="2497"/>
      <c r="G114" s="2497"/>
      <c r="H114" s="2497"/>
      <c r="I114" s="2419"/>
    </row>
    <row r="115" spans="1:11" ht="18.75" customHeight="1">
      <c r="A115" s="3220" t="s">
        <v>2306</v>
      </c>
      <c r="B115" s="3221"/>
      <c r="C115" s="3221"/>
      <c r="D115" s="3221"/>
      <c r="E115" s="3221"/>
      <c r="F115" s="3221"/>
      <c r="G115" s="3221"/>
      <c r="H115" s="3221"/>
      <c r="I115" s="3222"/>
    </row>
    <row r="116" spans="1:11" ht="27" customHeight="1">
      <c r="A116" s="3088" t="s">
        <v>2307</v>
      </c>
      <c r="B116" s="3208" t="s">
        <v>3189</v>
      </c>
      <c r="C116" s="3208" t="s">
        <v>3190</v>
      </c>
      <c r="D116" s="3224" t="s">
        <v>2308</v>
      </c>
      <c r="E116" s="3225"/>
      <c r="F116" s="3216" t="s">
        <v>3191</v>
      </c>
      <c r="G116" s="3216"/>
      <c r="H116" s="3088" t="s">
        <v>2309</v>
      </c>
      <c r="I116" s="3088"/>
    </row>
    <row r="117" spans="1:11" ht="18.75" customHeight="1">
      <c r="A117" s="3088"/>
      <c r="B117" s="3209"/>
      <c r="C117" s="3209"/>
      <c r="D117" s="1795" t="s">
        <v>2310</v>
      </c>
      <c r="E117" s="1795" t="s">
        <v>2311</v>
      </c>
      <c r="F117" s="1795" t="s">
        <v>2310</v>
      </c>
      <c r="G117" s="1795" t="s">
        <v>2312</v>
      </c>
      <c r="H117" s="1795" t="s">
        <v>2310</v>
      </c>
      <c r="I117" s="1795" t="s">
        <v>2312</v>
      </c>
    </row>
    <row r="118" spans="1:11" ht="24.75" customHeight="1">
      <c r="A118" s="2527" t="str">
        <f>项目基本情况!S2</f>
        <v>北京市朝阳区建国门外郎家园6号“郎园Vintage”项目房地产</v>
      </c>
      <c r="B118" s="1795">
        <f>M18</f>
        <v>27202.3</v>
      </c>
      <c r="C118" s="1795">
        <f>M19</f>
        <v>18455.759999999998</v>
      </c>
      <c r="D118" s="1795">
        <f ca="1">ROUND(IF(D32="总价",C34,E118*B118/10000),0)</f>
        <v>59493</v>
      </c>
      <c r="E118" s="1795">
        <f ca="1">ROUND(IF(C33="自定义",IF(D32="楼面单价",C34,D118*10000/B118),I118-G118),0)</f>
        <v>21870</v>
      </c>
      <c r="F118" s="1795">
        <f ca="1">ROUND(IF(D32="总价",C35,G118*B118/10000),0)</f>
        <v>14966</v>
      </c>
      <c r="G118" s="1795">
        <f ca="1">ROUND(IF(D32="楼面单价",C35,F118*10000/B118),0)</f>
        <v>5502</v>
      </c>
      <c r="H118" s="1795">
        <f ca="1">ROUND(IF(D32="总价",C32,I118*B118/10000),0)</f>
        <v>74459</v>
      </c>
      <c r="I118" s="1795">
        <f ca="1">ROUND(IF(D32="楼面单价",C32,H118*10000/B118),0)</f>
        <v>27372</v>
      </c>
    </row>
    <row r="119" spans="1:11" ht="18.75" customHeight="1">
      <c r="A119" s="3088" t="s">
        <v>2313</v>
      </c>
      <c r="B119" s="3088"/>
      <c r="C119" s="3088"/>
      <c r="D119" s="3213" t="str">
        <f ca="1">NUMBERSTRING(INT(D118*10000),2)&amp;"元整"</f>
        <v>伍亿玖仟肆佰玖拾叁万元整</v>
      </c>
      <c r="E119" s="3215"/>
      <c r="F119" s="3213" t="str">
        <f ca="1">NUMBERSTRING(INT(F118*10000),2)&amp;"元整"</f>
        <v>壹亿肆仟玖佰陆拾陆万元整</v>
      </c>
      <c r="G119" s="3215"/>
      <c r="H119" s="3213" t="str">
        <f ca="1">NUMBERSTRING(INT(H118*10000),2)&amp;"元整"</f>
        <v>柒亿肆仟肆佰伍拾玖万元整</v>
      </c>
      <c r="I119" s="3215"/>
    </row>
    <row r="120" spans="1:11" ht="18.75" customHeight="1">
      <c r="A120" s="3241" t="str">
        <f>IF(项目基本情况!B9="房地产市场价值","",MID(E103,3,LEN(E103)-2))</f>
        <v>估价师知悉的法定优先受偿款</v>
      </c>
      <c r="B120" s="3242"/>
      <c r="C120" s="3243"/>
      <c r="D120" s="3241">
        <f>H103</f>
        <v>0</v>
      </c>
      <c r="E120" s="3242"/>
      <c r="F120" s="3242"/>
      <c r="G120" s="3242"/>
      <c r="H120" s="3242"/>
      <c r="I120" s="3243"/>
      <c r="K120" s="2424" t="str">
        <f>IF(D120=0,"故，本次评估不存在"&amp;A120,"故，本次评估"&amp;A120&amp;"为人民币"&amp;D120&amp;"万元整。")</f>
        <v>故，本次评估不存在估价师知悉的法定优先受偿款</v>
      </c>
    </row>
    <row r="121" spans="1:11" ht="18.75" customHeight="1">
      <c r="A121" s="3217" t="s">
        <v>2313</v>
      </c>
      <c r="B121" s="3218"/>
      <c r="C121" s="3219"/>
      <c r="D121" s="3213" t="str">
        <f>IF(D120=0,"零元整",NUMBERSTRING(INT(D120*10000),2)&amp;"元整")</f>
        <v>零元整</v>
      </c>
      <c r="E121" s="3214"/>
      <c r="F121" s="3214"/>
      <c r="G121" s="3214"/>
      <c r="H121" s="3214"/>
      <c r="I121" s="3215"/>
    </row>
    <row r="122" spans="1:11" ht="18.75" customHeight="1">
      <c r="A122" s="3204" t="str">
        <f>IF(项目基本情况!B9="房地产市场价值","",MID(E107,3,LEN(E107)-2))</f>
        <v>房地产抵押价值</v>
      </c>
      <c r="B122" s="3204"/>
      <c r="C122" s="3204"/>
      <c r="D122" s="3241">
        <f ca="1">H107</f>
        <v>74459</v>
      </c>
      <c r="E122" s="3242"/>
      <c r="F122" s="3242"/>
      <c r="G122" s="3242"/>
      <c r="H122" s="3242"/>
      <c r="I122" s="3243"/>
    </row>
    <row r="123" spans="1:11" ht="18.75" customHeight="1">
      <c r="A123" s="3088" t="s">
        <v>2313</v>
      </c>
      <c r="B123" s="3088"/>
      <c r="C123" s="3088"/>
      <c r="D123" s="3213" t="str">
        <f ca="1">NUMBERSTRING(INT(D122*10000),2)&amp;"元整"</f>
        <v>柒亿肆仟肆佰伍拾玖万元整</v>
      </c>
      <c r="E123" s="3214"/>
      <c r="F123" s="3214"/>
      <c r="G123" s="3214"/>
      <c r="H123" s="3214"/>
      <c r="I123" s="3215"/>
    </row>
    <row r="124" spans="1:11" ht="18.75" customHeight="1">
      <c r="A124" s="3204" t="str">
        <f>IF(项目基本情况!B9="房地产市场价值","",MID(E109,3,LEN(E109)-2))</f>
        <v/>
      </c>
      <c r="B124" s="3204"/>
      <c r="C124" s="3204"/>
      <c r="D124" s="3241" t="str">
        <f>H109</f>
        <v>——</v>
      </c>
      <c r="E124" s="3242"/>
      <c r="F124" s="3242"/>
      <c r="G124" s="3242"/>
      <c r="H124" s="3242"/>
      <c r="I124" s="3243"/>
    </row>
    <row r="125" spans="1:11" ht="18.75" customHeight="1">
      <c r="A125" s="3088" t="s">
        <v>2313</v>
      </c>
      <c r="B125" s="3088"/>
      <c r="C125" s="3088"/>
      <c r="D125" s="3213" t="e">
        <f>NUMBERSTRING(INT(D124*10000),2)&amp;"元整"</f>
        <v>#VALUE!</v>
      </c>
      <c r="E125" s="3214"/>
      <c r="F125" s="3214"/>
      <c r="G125" s="3214"/>
      <c r="H125" s="3214"/>
      <c r="I125" s="3215"/>
    </row>
    <row r="126" spans="1:11" ht="18.75" customHeight="1">
      <c r="A126" s="3204" t="str">
        <f>IF(项目基本情况!B9="房地产市场价值","",MID(E111,3,LEN(E111)-2))</f>
        <v/>
      </c>
      <c r="B126" s="3204"/>
      <c r="C126" s="3204"/>
      <c r="D126" s="3241" t="str">
        <f>H111</f>
        <v>——</v>
      </c>
      <c r="E126" s="3242"/>
      <c r="F126" s="3242"/>
      <c r="G126" s="3242"/>
      <c r="H126" s="3242"/>
      <c r="I126" s="3243"/>
    </row>
    <row r="127" spans="1:11" ht="18.75" customHeight="1">
      <c r="A127" s="3088" t="s">
        <v>2313</v>
      </c>
      <c r="B127" s="3088"/>
      <c r="C127" s="3088"/>
      <c r="D127" s="3213" t="e">
        <f>NUMBERSTRING(INT(D126*10000),2)&amp;"元整"</f>
        <v>#VALUE!</v>
      </c>
      <c r="E127" s="3214"/>
      <c r="F127" s="3214"/>
      <c r="G127" s="3214"/>
      <c r="H127" s="3214"/>
      <c r="I127" s="3215"/>
    </row>
    <row r="128" spans="1:11" ht="21.75" customHeight="1">
      <c r="A128" s="3223" t="s">
        <v>2314</v>
      </c>
      <c r="B128" s="3223"/>
      <c r="C128" s="3223"/>
      <c r="D128" s="3223"/>
      <c r="E128" s="3223"/>
      <c r="F128" s="3223"/>
      <c r="G128" s="3223"/>
      <c r="H128" s="3223"/>
      <c r="I128" s="3223"/>
    </row>
    <row r="129" spans="1:35" ht="21.75" customHeight="1">
      <c r="A129" s="2528" t="s">
        <v>2315</v>
      </c>
      <c r="B129" s="2529"/>
      <c r="C129" s="2530" t="s">
        <v>2316</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2317</v>
      </c>
      <c r="G135" s="2545"/>
      <c r="H135" s="2545"/>
      <c r="I135" s="2546" t="s">
        <v>2318</v>
      </c>
    </row>
    <row r="136" spans="1:35" ht="21.75" customHeight="1">
      <c r="A136" s="795"/>
      <c r="B136" s="2547"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2320</v>
      </c>
    </row>
    <row r="139" spans="1:35" ht="21.75" customHeight="1">
      <c r="A139" s="795"/>
      <c r="B139" s="2547" t="s">
        <v>2321</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2320</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1"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A4" sqref="A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7"/>
      <c r="C1" s="242"/>
      <c r="D1" s="242"/>
      <c r="E1" s="242"/>
      <c r="F1" s="242"/>
      <c r="G1" s="1379">
        <f>MATCH(B1,'数据-取费表'!A6:A16,0)+5</f>
        <v>7</v>
      </c>
    </row>
    <row r="2" spans="1:9" s="244" customFormat="1" ht="18" customHeight="1">
      <c r="A2" s="245" t="s">
        <v>2323</v>
      </c>
      <c r="B2" s="246">
        <f ca="1">IF(D2="——",C52,C52-E2)</f>
        <v>40059</v>
      </c>
      <c r="C2" s="243" t="s">
        <v>2324</v>
      </c>
      <c r="D2" s="2550" t="s">
        <v>70</v>
      </c>
      <c r="E2" s="1440" t="e">
        <f ca="1">SUMIF(INDIRECT("'"&amp;G2&amp;"'"&amp;"!A:A"),"承租人权益价值",INDIRECT("'"&amp;G2&amp;"'"&amp;"!c:c"))</f>
        <v>#REF!</v>
      </c>
      <c r="F2" s="2551" t="s">
        <v>2324</v>
      </c>
      <c r="G2" s="2552"/>
    </row>
    <row r="3" spans="1:9" s="244" customFormat="1" ht="18" customHeight="1" thickBot="1">
      <c r="A3" s="247" t="s">
        <v>2325</v>
      </c>
      <c r="B3" s="248">
        <f ca="1">ROUND(B2*10000/(IF(B1="",'数据-汇总表'!E3,INDIRECT("'数据-取费表'!k"&amp;$G$1))),0)</f>
        <v>14726</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20747</v>
      </c>
      <c r="D5" s="255" t="s">
        <v>2330</v>
      </c>
      <c r="E5" s="256" t="s">
        <v>2331</v>
      </c>
      <c r="F5" s="256" t="s">
        <v>2332</v>
      </c>
      <c r="G5" s="257"/>
    </row>
    <row r="6" spans="1:9" s="258" customFormat="1" ht="13.5" customHeight="1">
      <c r="A6" s="949" t="s">
        <v>2333</v>
      </c>
      <c r="B6" s="259" t="s">
        <v>2334</v>
      </c>
      <c r="C6" s="260">
        <f ca="1">基准地价修正!B2</f>
        <v>19605</v>
      </c>
      <c r="D6" s="261"/>
      <c r="E6" s="262"/>
      <c r="F6" s="262"/>
      <c r="G6" s="263"/>
    </row>
    <row r="7" spans="1:9" s="258" customFormat="1" ht="13.5" customHeight="1">
      <c r="A7" s="949" t="s">
        <v>2335</v>
      </c>
      <c r="B7" s="259" t="s">
        <v>2336</v>
      </c>
      <c r="C7" s="264">
        <f ca="1">ROUND(C6*F7,0)</f>
        <v>598</v>
      </c>
      <c r="D7" s="264"/>
      <c r="E7" s="262"/>
      <c r="F7" s="265">
        <f>'数据-取费表'!B48+'数据-取费表'!B49</f>
        <v>3.0499999999999999E-2</v>
      </c>
      <c r="G7" s="263"/>
    </row>
    <row r="8" spans="1:9" s="267" customFormat="1">
      <c r="A8" s="949" t="s">
        <v>2337</v>
      </c>
      <c r="B8" s="259" t="s">
        <v>2338</v>
      </c>
      <c r="C8" s="264">
        <f>IF(G8="已包含在土地购买价格中","0",IF(B1="",'数据-取费表'!B29,IF(G9="全部缴纳",C9+C10,H9)))</f>
        <v>544</v>
      </c>
      <c r="D8" s="266"/>
      <c r="E8" s="264"/>
      <c r="F8" s="265"/>
      <c r="G8" s="2553" t="s">
        <v>3180</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160</v>
      </c>
      <c r="F9" s="265"/>
      <c r="G9" s="2554"/>
      <c r="H9" s="1390"/>
      <c r="I9" s="2555" t="s">
        <v>2340</v>
      </c>
    </row>
    <row r="10" spans="1:9" s="258" customFormat="1" ht="13.5" customHeight="1">
      <c r="A10" s="950" t="s">
        <v>801</v>
      </c>
      <c r="B10" s="268" t="s">
        <v>2341</v>
      </c>
      <c r="C10" s="269">
        <f ca="1">ROUND(D10*E10/10000,0)</f>
        <v>544</v>
      </c>
      <c r="D10" s="1032">
        <f ca="1">IF(B1="",'数据-汇总表'!E6,IF(INDIRECT("'数据-取费表'!c"&amp;$G$1)="住宅",INDIRECT("'数据-取费表'!s"&amp;$G$1),INDIRECT("'数据-取费表'!k"&amp;$G$1)+INDIRECT("'数据-取费表'!s"&amp;$G$1)))</f>
        <v>27202.3</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27202.3</v>
      </c>
      <c r="E19" s="255">
        <f>'数据-取费表'!B31</f>
        <v>200</v>
      </c>
      <c r="F19" s="275"/>
      <c r="G19" s="2553" t="s">
        <v>3181</v>
      </c>
    </row>
    <row r="20" spans="1:7" s="258" customFormat="1" ht="13.5" customHeight="1">
      <c r="A20" s="299" t="s">
        <v>2354</v>
      </c>
      <c r="B20" s="254" t="s">
        <v>2355</v>
      </c>
      <c r="C20" s="276">
        <f ca="1">ROUND((C5+C19)*F20,0)</f>
        <v>415</v>
      </c>
      <c r="D20" s="276"/>
      <c r="E20" s="276"/>
      <c r="F20" s="277">
        <f>'数据-取费表'!B37</f>
        <v>0.02</v>
      </c>
      <c r="G20" s="278" t="s">
        <v>2356</v>
      </c>
    </row>
    <row r="21" spans="1:7" s="258" customFormat="1" ht="13.5" customHeight="1">
      <c r="A21" s="299" t="s">
        <v>2357</v>
      </c>
      <c r="B21" s="254" t="s">
        <v>2358</v>
      </c>
      <c r="C21" s="279">
        <f>F21</f>
        <v>0.03</v>
      </c>
      <c r="D21" s="280" t="s">
        <v>2359</v>
      </c>
      <c r="E21" s="276"/>
      <c r="F21" s="277">
        <f>'数据-取费表'!B38</f>
        <v>0.03</v>
      </c>
      <c r="G21" s="278" t="s">
        <v>2360</v>
      </c>
    </row>
    <row r="22" spans="1:7" s="258" customFormat="1" ht="13.5" customHeight="1">
      <c r="A22" s="299" t="s">
        <v>2361</v>
      </c>
      <c r="B22" s="254" t="s">
        <v>2362</v>
      </c>
      <c r="C22" s="1354">
        <f ca="1">ROUND(SUM(C23:C25),0)</f>
        <v>1511</v>
      </c>
      <c r="D22" s="279">
        <f ca="1">C26</f>
        <v>1.1000000000000001E-3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1496</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15</v>
      </c>
      <c r="D25" s="282"/>
      <c r="E25" s="285"/>
      <c r="F25" s="283"/>
      <c r="G25" s="286" t="s">
        <v>2371</v>
      </c>
    </row>
    <row r="26" spans="1:7" s="258" customFormat="1">
      <c r="A26" s="951" t="s">
        <v>795</v>
      </c>
      <c r="B26" s="259" t="s">
        <v>2372</v>
      </c>
      <c r="C26" s="282">
        <f ca="1">ROUND(IF('数据-取费表'!B22&lt;=1,F21*F22*'数据-取费表'!B23/2,F21*(POWER((1+F22),'数据-取费表'!B23/2)-1)),4)</f>
        <v>1.1000000000000001E-3</v>
      </c>
      <c r="D26" s="282"/>
      <c r="E26" s="285"/>
      <c r="F26" s="283"/>
      <c r="G26" s="287"/>
    </row>
    <row r="27" spans="1:7" s="258" customFormat="1" ht="24.75">
      <c r="A27" s="299" t="s">
        <v>2373</v>
      </c>
      <c r="B27" s="288" t="s">
        <v>2374</v>
      </c>
      <c r="C27" s="289">
        <f ca="1">C28</f>
        <v>6349</v>
      </c>
      <c r="D27" s="279">
        <f ca="1">C29</f>
        <v>8.9999999999999993E-3</v>
      </c>
      <c r="E27" s="280" t="s">
        <v>2375</v>
      </c>
      <c r="F27" s="290">
        <f ca="1">IF(B1="",'数据-取费表'!Q16,INDIRECT("'数据-取费表'!q"&amp;$G$1))</f>
        <v>0.3</v>
      </c>
      <c r="G27" s="291" t="s">
        <v>2376</v>
      </c>
    </row>
    <row r="28" spans="1:7" s="258" customFormat="1" ht="13.5" customHeight="1">
      <c r="A28" s="951" t="s">
        <v>791</v>
      </c>
      <c r="B28" s="292" t="s">
        <v>2377</v>
      </c>
      <c r="C28" s="293">
        <f ca="1">ROUND((C5+C19+C20)*F27*'数据-取费表'!B21/'数据-取费表'!B20,0)</f>
        <v>6349</v>
      </c>
      <c r="D28" s="279"/>
      <c r="E28" s="280"/>
      <c r="F28" s="290"/>
      <c r="G28" s="291"/>
    </row>
    <row r="29" spans="1:7" s="258" customFormat="1" ht="13.5" customHeight="1">
      <c r="A29" s="951" t="s">
        <v>792</v>
      </c>
      <c r="B29" s="292" t="s">
        <v>2378</v>
      </c>
      <c r="C29" s="282">
        <f ca="1">ROUND(C21*F27*'数据-取费表'!B21/'数据-取费表'!B20,4)</f>
        <v>8.9999999999999993E-3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32012</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7651</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6801</v>
      </c>
      <c r="D34" s="261"/>
      <c r="E34" s="264"/>
      <c r="F34" s="301">
        <f ca="1">IF('数据-取费表'!B24=0,1,IF(B1="",'数据-取费表'!N16,INDIRECT("'数据-取费表'!n"&amp;$G$1)))</f>
        <v>1</v>
      </c>
      <c r="G34" s="263" t="s">
        <v>2387</v>
      </c>
    </row>
    <row r="35" spans="1:7" ht="13.5" customHeight="1">
      <c r="A35" s="951" t="s">
        <v>796</v>
      </c>
      <c r="B35" s="259" t="s">
        <v>2388</v>
      </c>
      <c r="C35" s="264">
        <f ca="1">ROUND(C34*F35,0)</f>
        <v>204</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544</v>
      </c>
      <c r="D37" s="261">
        <f ca="1">D19</f>
        <v>27202.3</v>
      </c>
      <c r="E37" s="293">
        <f>'数据-取费表'!B35</f>
        <v>200</v>
      </c>
      <c r="F37" s="303"/>
      <c r="G37" s="305" t="s">
        <v>2393</v>
      </c>
    </row>
    <row r="38" spans="1:7" ht="13.5" customHeight="1">
      <c r="A38" s="951" t="s">
        <v>799</v>
      </c>
      <c r="B38" s="259" t="s">
        <v>2394</v>
      </c>
      <c r="C38" s="264">
        <f ca="1">ROUND(C34*F38,0)</f>
        <v>102</v>
      </c>
      <c r="D38" s="264"/>
      <c r="E38" s="264"/>
      <c r="F38" s="303">
        <f>'数据-取费表'!B36</f>
        <v>1.4999999999999999E-2</v>
      </c>
      <c r="G38" s="263" t="s">
        <v>2389</v>
      </c>
    </row>
    <row r="39" spans="1:7" s="258" customFormat="1" ht="13.5" customHeight="1">
      <c r="A39" s="299" t="s">
        <v>2395</v>
      </c>
      <c r="B39" s="254" t="s">
        <v>2396</v>
      </c>
      <c r="C39" s="276">
        <f ca="1">ROUND(C33*F20,0)</f>
        <v>153</v>
      </c>
      <c r="D39" s="276"/>
      <c r="E39" s="276"/>
      <c r="F39" s="277"/>
      <c r="G39" s="278" t="s">
        <v>2397</v>
      </c>
    </row>
    <row r="40" spans="1:7" s="258" customFormat="1" ht="13.5" customHeight="1">
      <c r="A40" s="299" t="s">
        <v>2398</v>
      </c>
      <c r="B40" s="254" t="s">
        <v>2399</v>
      </c>
      <c r="C40" s="1728">
        <f>F21</f>
        <v>0.03</v>
      </c>
      <c r="D40" s="280" t="s">
        <v>2400</v>
      </c>
      <c r="E40" s="276"/>
      <c r="F40" s="277"/>
      <c r="G40" s="278" t="s">
        <v>2401</v>
      </c>
    </row>
    <row r="41" spans="1:7" s="258" customFormat="1" ht="13.5" customHeight="1">
      <c r="A41" s="299" t="s">
        <v>2402</v>
      </c>
      <c r="B41" s="254" t="s">
        <v>2403</v>
      </c>
      <c r="C41" s="276">
        <f ca="1">ROUND(SUM(C42:C43),0)</f>
        <v>276</v>
      </c>
      <c r="D41" s="279">
        <f ca="1">C44</f>
        <v>1.1000000000000001E-3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271</v>
      </c>
      <c r="D42" s="282"/>
      <c r="E42" s="282"/>
      <c r="F42" s="283"/>
      <c r="G42" s="3255" t="s">
        <v>2405</v>
      </c>
    </row>
    <row r="43" spans="1:7" ht="13.5" customHeight="1">
      <c r="A43" s="951" t="s">
        <v>792</v>
      </c>
      <c r="B43" s="259" t="s">
        <v>2406</v>
      </c>
      <c r="C43" s="282">
        <f ca="1">ROUND(IF('数据-取费表'!B22&lt;=1,C39*F22*'数据-取费表'!B21/2,C39*(POWER((1+F22),'数据-取费表'!B21/2)-1)),0)</f>
        <v>5</v>
      </c>
      <c r="D43" s="282"/>
      <c r="E43" s="282"/>
      <c r="F43" s="283"/>
      <c r="G43" s="3256"/>
    </row>
    <row r="44" spans="1:7" ht="13.5" customHeight="1">
      <c r="A44" s="951" t="s">
        <v>793</v>
      </c>
      <c r="B44" s="259" t="s">
        <v>2407</v>
      </c>
      <c r="C44" s="282">
        <f ca="1">ROUND(IF('数据-取费表'!B22&lt;=1,C40*F22*'数据-取费表'!B21/2,C40*(POWER((1+F22),'数据-取费表'!B21/2)-1)),4)</f>
        <v>1.1000000000000001E-3</v>
      </c>
      <c r="D44" s="282"/>
      <c r="E44" s="282"/>
      <c r="F44" s="283"/>
      <c r="G44" s="3257"/>
    </row>
    <row r="45" spans="1:7" s="258" customFormat="1" ht="13.5" customHeight="1">
      <c r="A45" s="299" t="s">
        <v>2408</v>
      </c>
      <c r="B45" s="288" t="s">
        <v>2374</v>
      </c>
      <c r="C45" s="289">
        <f ca="1">C46</f>
        <v>2341</v>
      </c>
      <c r="D45" s="279">
        <f ca="1">C47</f>
        <v>8.9999999999999993E-3</v>
      </c>
      <c r="E45" s="280" t="s">
        <v>2400</v>
      </c>
      <c r="F45" s="290"/>
      <c r="G45" s="291" t="s">
        <v>2409</v>
      </c>
    </row>
    <row r="46" spans="1:7" s="258" customFormat="1" ht="13.5" customHeight="1">
      <c r="A46" s="951" t="s">
        <v>791</v>
      </c>
      <c r="B46" s="292" t="s">
        <v>2410</v>
      </c>
      <c r="C46" s="293">
        <f ca="1">ROUND((C33+C39)*F27,0)</f>
        <v>2341</v>
      </c>
      <c r="D46" s="307"/>
      <c r="E46" s="280"/>
      <c r="F46" s="290"/>
      <c r="G46" s="291"/>
    </row>
    <row r="47" spans="1:7" s="258" customFormat="1" ht="13.5" customHeight="1">
      <c r="A47" s="951" t="s">
        <v>792</v>
      </c>
      <c r="B47" s="292" t="s">
        <v>2411</v>
      </c>
      <c r="C47" s="282">
        <f ca="1">ROUND(C40*F27,4)</f>
        <v>8.9999999999999993E-3</v>
      </c>
      <c r="D47" s="307"/>
      <c r="E47" s="280"/>
      <c r="F47" s="290"/>
      <c r="G47" s="291"/>
    </row>
    <row r="48" spans="1:7" s="258" customFormat="1" ht="13.5" customHeight="1">
      <c r="A48" s="299" t="s">
        <v>2373</v>
      </c>
      <c r="B48" s="254" t="s">
        <v>2412</v>
      </c>
      <c r="C48" s="1728">
        <f>ROUND(F30/(1+'数据-取费表'!C42),4)</f>
        <v>5.33E-2</v>
      </c>
      <c r="D48" s="280" t="s">
        <v>2400</v>
      </c>
      <c r="E48" s="276"/>
      <c r="F48" s="281"/>
      <c r="G48" s="278" t="s">
        <v>2413</v>
      </c>
    </row>
    <row r="49" spans="1:7" ht="16.5" customHeight="1">
      <c r="A49" s="299" t="s">
        <v>2379</v>
      </c>
      <c r="B49" s="254" t="s">
        <v>2414</v>
      </c>
      <c r="C49" s="276">
        <f ca="1">ROUND((C33+C39+C41+C45)/(1-C40-D41-D45-C48),0)</f>
        <v>11495</v>
      </c>
      <c r="D49" s="276"/>
      <c r="E49" s="276"/>
      <c r="F49" s="308"/>
      <c r="G49" s="278" t="s">
        <v>2415</v>
      </c>
    </row>
    <row r="50" spans="1:7" s="302" customFormat="1" ht="24">
      <c r="A50" s="299" t="s">
        <v>2416</v>
      </c>
      <c r="B50" s="254" t="s">
        <v>2417</v>
      </c>
      <c r="C50" s="276"/>
      <c r="D50" s="276"/>
      <c r="E50" s="276"/>
      <c r="F50" s="308">
        <f>IF('数据-取费表'!B24=0,'数据-取费表'!N16,1)</f>
        <v>0.7</v>
      </c>
      <c r="G50" s="291" t="s">
        <v>2418</v>
      </c>
    </row>
    <row r="51" spans="1:7" ht="16.5" customHeight="1">
      <c r="A51" s="299" t="s">
        <v>2419</v>
      </c>
      <c r="B51" s="254" t="s">
        <v>2420</v>
      </c>
      <c r="C51" s="276">
        <f ca="1">ROUND(C49*F50,0)</f>
        <v>8047</v>
      </c>
      <c r="D51" s="276"/>
      <c r="E51" s="276"/>
      <c r="F51" s="308"/>
      <c r="G51" s="278" t="s">
        <v>2421</v>
      </c>
    </row>
    <row r="52" spans="1:7" s="252" customFormat="1" ht="16.5" thickBot="1">
      <c r="A52" s="309" t="s">
        <v>2422</v>
      </c>
      <c r="B52" s="310"/>
      <c r="C52" s="311">
        <f ca="1">C31+C51</f>
        <v>40059</v>
      </c>
      <c r="D52" s="310"/>
      <c r="E52" s="310"/>
      <c r="F52" s="310"/>
      <c r="G52" s="312"/>
    </row>
    <row r="55" spans="1:7" ht="15">
      <c r="B55" s="314" t="s">
        <v>2423</v>
      </c>
      <c r="C55" s="315"/>
    </row>
    <row r="56" spans="1:7">
      <c r="B56" s="317" t="s">
        <v>1508</v>
      </c>
      <c r="C56" s="319">
        <f ca="1">1-C57</f>
        <v>0.79899999999999993</v>
      </c>
    </row>
    <row r="57" spans="1:7">
      <c r="B57" s="317" t="s">
        <v>1509</v>
      </c>
      <c r="C57" s="318">
        <f ca="1">ROUND(C51/C52,3)</f>
        <v>0.20100000000000001</v>
      </c>
    </row>
  </sheetData>
  <sheetProtection password="C66D" sheet="1" objects="1" scenarios="1" formatCells="0"/>
  <mergeCells count="1">
    <mergeCell ref="G42:G44"/>
  </mergeCells>
  <phoneticPr fontId="14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35" sqref="D3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7"/>
      <c r="C1" s="2556"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9725</v>
      </c>
      <c r="C2" s="243" t="s">
        <v>2324</v>
      </c>
      <c r="D2" s="2550" t="s">
        <v>70</v>
      </c>
      <c r="E2" s="1440" t="e">
        <f ca="1">SUMIF(INDIRECT("'"&amp;G2&amp;"'"&amp;"!A:A"),"承租人权益价值",INDIRECT("'"&amp;G2&amp;"'"&amp;"!c:c"))</f>
        <v>#REF!</v>
      </c>
      <c r="F2" s="2551" t="s">
        <v>2324</v>
      </c>
      <c r="G2" s="2552"/>
    </row>
    <row r="3" spans="1:8" s="244" customFormat="1" ht="18" customHeight="1" thickBot="1">
      <c r="A3" s="247" t="s">
        <v>2325</v>
      </c>
      <c r="B3" s="248">
        <f ca="1">ROUND(B2*10000/(IF(B1="",'数据-汇总表'!E3,INDIRECT("'数据-取费表'!k"&amp;$G$1))),0)</f>
        <v>3575</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5440460</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'数据-取费表'!B48+'数据-取费表'!B49</f>
        <v>3.0499999999999999E-2</v>
      </c>
      <c r="G7" s="263"/>
    </row>
    <row r="8" spans="1:8" s="267" customFormat="1">
      <c r="A8" s="949" t="s">
        <v>2337</v>
      </c>
      <c r="B8" s="259" t="s">
        <v>2338</v>
      </c>
      <c r="C8" s="264">
        <f ca="1">IF(G8="已包含在土地购买价格中",0,C9+C10)</f>
        <v>5440460</v>
      </c>
      <c r="D8" s="266"/>
      <c r="E8" s="264"/>
      <c r="F8" s="265"/>
      <c r="G8" s="2553"/>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2341</v>
      </c>
      <c r="C10" s="269">
        <f ca="1">ROUND(D10*E10,0)</f>
        <v>5440460</v>
      </c>
      <c r="D10" s="1032">
        <f ca="1">IF(B1="",'数据-汇总表'!E6,IF(INDIRECT("'数据-取费表'!c"&amp;$G$1)="住宅",INDIRECT("'数据-取费表'!s"&amp;$G$1),INDIRECT("'数据-取费表'!k"&amp;$G$1)+INDIRECT("'数据-取费表'!s"&amp;$G$1)))</f>
        <v>27202.3</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5440460</v>
      </c>
      <c r="D19" s="1036">
        <f ca="1">D9+D10</f>
        <v>27202.3</v>
      </c>
      <c r="E19" s="255">
        <f>'数据-取费表'!B31</f>
        <v>200</v>
      </c>
      <c r="F19" s="275"/>
      <c r="G19" s="2553"/>
    </row>
    <row r="20" spans="1:7" s="258" customFormat="1" ht="13.5" customHeight="1">
      <c r="A20" s="299" t="s">
        <v>2435</v>
      </c>
      <c r="B20" s="254" t="s">
        <v>2436</v>
      </c>
      <c r="C20" s="276">
        <f ca="1">ROUND((C5+C19)*F20,0)</f>
        <v>217618</v>
      </c>
      <c r="D20" s="276"/>
      <c r="E20" s="276"/>
      <c r="F20" s="277">
        <f>'数据-取费表'!B37</f>
        <v>0.02</v>
      </c>
      <c r="G20" s="278" t="s">
        <v>2437</v>
      </c>
    </row>
    <row r="21" spans="1:7" s="258" customFormat="1" ht="13.5" customHeight="1">
      <c r="A21" s="299" t="s">
        <v>2438</v>
      </c>
      <c r="B21" s="254" t="s">
        <v>2439</v>
      </c>
      <c r="C21" s="279">
        <f>F21</f>
        <v>0.03</v>
      </c>
      <c r="D21" s="280" t="s">
        <v>2440</v>
      </c>
      <c r="E21" s="276"/>
      <c r="F21" s="277">
        <f>'数据-取费表'!B38</f>
        <v>0.03</v>
      </c>
      <c r="G21" s="278" t="s">
        <v>2441</v>
      </c>
    </row>
    <row r="22" spans="1:7" s="258" customFormat="1" ht="13.5" customHeight="1">
      <c r="A22" s="299" t="s">
        <v>2442</v>
      </c>
      <c r="B22" s="254" t="s">
        <v>2443</v>
      </c>
      <c r="C22" s="1380">
        <f ca="1">ROUND(SUM(C23:C25),0)</f>
        <v>792107</v>
      </c>
      <c r="D22" s="279">
        <f ca="1">C26</f>
        <v>1.1000000000000001E-3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392200</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392200</v>
      </c>
      <c r="D24" s="282"/>
      <c r="E24" s="282"/>
      <c r="F24" s="283"/>
      <c r="G24" s="284" t="s">
        <v>2447</v>
      </c>
    </row>
    <row r="25" spans="1:7" s="258" customFormat="1" ht="24">
      <c r="A25" s="951" t="s">
        <v>2337</v>
      </c>
      <c r="B25" s="259" t="s">
        <v>2448</v>
      </c>
      <c r="C25" s="1381">
        <f ca="1">ROUND(IF('数据-取费表'!B22&lt;=1,C20*F22*'数据-取费表'!B22/2,C20*(POWER((1+F22),'数据-取费表'!B22/2)-1)),0)</f>
        <v>7707</v>
      </c>
      <c r="D25" s="282"/>
      <c r="E25" s="285"/>
      <c r="F25" s="283"/>
      <c r="G25" s="286" t="s">
        <v>2449</v>
      </c>
    </row>
    <row r="26" spans="1:7" s="258" customFormat="1">
      <c r="A26" s="951" t="s">
        <v>795</v>
      </c>
      <c r="B26" s="259" t="s">
        <v>2372</v>
      </c>
      <c r="C26" s="282">
        <f ca="1">ROUND(IF('数据-取费表'!B22&lt;=1,F21*F22*'数据-取费表'!B22/2,F21*(POWER((1+F22),'数据-取费表'!B22/2)-1)),4)</f>
        <v>1.1000000000000001E-3</v>
      </c>
      <c r="D26" s="282"/>
      <c r="E26" s="285"/>
      <c r="F26" s="283"/>
      <c r="G26" s="287"/>
    </row>
    <row r="27" spans="1:7" s="258" customFormat="1" ht="24.75">
      <c r="A27" s="299" t="s">
        <v>2373</v>
      </c>
      <c r="B27" s="288" t="s">
        <v>2374</v>
      </c>
      <c r="C27" s="289">
        <f ca="1">C28</f>
        <v>3329561</v>
      </c>
      <c r="D27" s="279">
        <f ca="1">C29</f>
        <v>8.9999999999999993E-3</v>
      </c>
      <c r="E27" s="280" t="s">
        <v>2375</v>
      </c>
      <c r="F27" s="290">
        <f ca="1">IF(B1="",'数据-取费表'!Q16,INDIRECT("'数据-取费表'!q"&amp;$G$1))</f>
        <v>0.3</v>
      </c>
      <c r="G27" s="291" t="s">
        <v>2376</v>
      </c>
    </row>
    <row r="28" spans="1:7" s="258" customFormat="1" ht="13.5" customHeight="1">
      <c r="A28" s="951" t="s">
        <v>791</v>
      </c>
      <c r="B28" s="292" t="s">
        <v>2377</v>
      </c>
      <c r="C28" s="293">
        <f ca="1">ROUND((C5+C19+C20)*F27,0)</f>
        <v>3329561</v>
      </c>
      <c r="D28" s="279"/>
      <c r="E28" s="280"/>
      <c r="F28" s="290"/>
      <c r="G28" s="291"/>
    </row>
    <row r="29" spans="1:7" s="258" customFormat="1" ht="13.5" customHeight="1">
      <c r="A29" s="951" t="s">
        <v>792</v>
      </c>
      <c r="B29" s="292" t="s">
        <v>2378</v>
      </c>
      <c r="C29" s="282">
        <f ca="1">ROUND(C21*F27,4)</f>
        <v>8.9999999999999993E-3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16788226</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76506469</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68005750</v>
      </c>
      <c r="D34" s="261"/>
      <c r="E34" s="264"/>
      <c r="F34" s="301"/>
      <c r="G34" s="263"/>
    </row>
    <row r="35" spans="1:7" ht="13.5" customHeight="1">
      <c r="A35" s="951" t="s">
        <v>796</v>
      </c>
      <c r="B35" s="259" t="s">
        <v>2388</v>
      </c>
      <c r="C35" s="264">
        <f ca="1">ROUND(C34*F35,0)</f>
        <v>2040173</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5440460</v>
      </c>
      <c r="D37" s="261">
        <f ca="1">D19</f>
        <v>27202.3</v>
      </c>
      <c r="E37" s="293">
        <f>'数据-取费表'!B35</f>
        <v>200</v>
      </c>
      <c r="F37" s="303"/>
      <c r="G37" s="305"/>
    </row>
    <row r="38" spans="1:7" ht="13.5" customHeight="1">
      <c r="A38" s="951" t="s">
        <v>799</v>
      </c>
      <c r="B38" s="259" t="s">
        <v>2394</v>
      </c>
      <c r="C38" s="264">
        <f ca="1">ROUND(C34*F38,0)</f>
        <v>1020086</v>
      </c>
      <c r="D38" s="264"/>
      <c r="E38" s="264"/>
      <c r="F38" s="303">
        <f>'数据-取费表'!B36</f>
        <v>1.4999999999999999E-2</v>
      </c>
      <c r="G38" s="263" t="s">
        <v>2389</v>
      </c>
    </row>
    <row r="39" spans="1:7" s="258" customFormat="1" ht="13.5" customHeight="1">
      <c r="A39" s="299" t="s">
        <v>2395</v>
      </c>
      <c r="B39" s="254" t="s">
        <v>2396</v>
      </c>
      <c r="C39" s="276">
        <f ca="1">ROUND(C33*F20,0)</f>
        <v>1530129</v>
      </c>
      <c r="D39" s="276"/>
      <c r="E39" s="276"/>
      <c r="F39" s="277"/>
      <c r="G39" s="278" t="s">
        <v>2397</v>
      </c>
    </row>
    <row r="40" spans="1:7" s="258" customFormat="1" ht="13.5" customHeight="1">
      <c r="A40" s="299" t="s">
        <v>2398</v>
      </c>
      <c r="B40" s="254" t="s">
        <v>2399</v>
      </c>
      <c r="C40" s="1728">
        <f>F21</f>
        <v>0.03</v>
      </c>
      <c r="D40" s="280" t="s">
        <v>2400</v>
      </c>
      <c r="E40" s="276"/>
      <c r="F40" s="277"/>
      <c r="G40" s="278" t="s">
        <v>2401</v>
      </c>
    </row>
    <row r="41" spans="1:7" s="258" customFormat="1" ht="13.5" customHeight="1">
      <c r="A41" s="299" t="s">
        <v>2402</v>
      </c>
      <c r="B41" s="254" t="s">
        <v>2403</v>
      </c>
      <c r="C41" s="276">
        <f ca="1">ROUND(SUM(C42:C43),0)</f>
        <v>2763865</v>
      </c>
      <c r="D41" s="279">
        <f ca="1">C44</f>
        <v>1.1000000000000001E-3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2709672</v>
      </c>
      <c r="D42" s="282"/>
      <c r="E42" s="282"/>
      <c r="F42" s="283"/>
      <c r="G42" s="3255" t="s">
        <v>2452</v>
      </c>
    </row>
    <row r="43" spans="1:7" ht="13.5" customHeight="1">
      <c r="A43" s="951" t="s">
        <v>792</v>
      </c>
      <c r="B43" s="259" t="s">
        <v>2406</v>
      </c>
      <c r="C43" s="282">
        <f ca="1">ROUND(IF('数据-取费表'!B22&lt;=1,C39*F22*'数据-取费表'!B20/2,C39*(POWER((1+F22),'数据-取费表'!B20/2)-1)),0)</f>
        <v>54193</v>
      </c>
      <c r="D43" s="282"/>
      <c r="E43" s="282"/>
      <c r="F43" s="283"/>
      <c r="G43" s="3256"/>
    </row>
    <row r="44" spans="1:7" ht="13.5" customHeight="1">
      <c r="A44" s="951" t="s">
        <v>793</v>
      </c>
      <c r="B44" s="259" t="s">
        <v>2407</v>
      </c>
      <c r="C44" s="282">
        <f ca="1">ROUND(IF('数据-取费表'!B22&lt;=1,C40*F22*'数据-取费表'!B20/2,C40*(POWER((1+F22),'数据-取费表'!B20/2)-1)),4)</f>
        <v>1.1000000000000001E-3</v>
      </c>
      <c r="D44" s="282"/>
      <c r="E44" s="282"/>
      <c r="F44" s="283"/>
      <c r="G44" s="3257"/>
    </row>
    <row r="45" spans="1:7" s="258" customFormat="1" ht="13.5" customHeight="1">
      <c r="A45" s="299" t="s">
        <v>2408</v>
      </c>
      <c r="B45" s="288" t="s">
        <v>2374</v>
      </c>
      <c r="C45" s="289">
        <f ca="1">C46</f>
        <v>23410979</v>
      </c>
      <c r="D45" s="279">
        <f ca="1">C47</f>
        <v>8.9999999999999993E-3</v>
      </c>
      <c r="E45" s="280" t="s">
        <v>2400</v>
      </c>
      <c r="F45" s="290"/>
      <c r="G45" s="291" t="s">
        <v>2409</v>
      </c>
    </row>
    <row r="46" spans="1:7" s="258" customFormat="1" ht="13.5" customHeight="1">
      <c r="A46" s="951" t="s">
        <v>791</v>
      </c>
      <c r="B46" s="292" t="s">
        <v>2410</v>
      </c>
      <c r="C46" s="293">
        <f ca="1">ROUND((C33+C39)*F27,0)</f>
        <v>23410979</v>
      </c>
      <c r="D46" s="307"/>
      <c r="E46" s="280"/>
      <c r="F46" s="290"/>
      <c r="G46" s="291"/>
    </row>
    <row r="47" spans="1:7" s="258" customFormat="1" ht="13.5" customHeight="1">
      <c r="A47" s="951" t="s">
        <v>792</v>
      </c>
      <c r="B47" s="292" t="s">
        <v>2411</v>
      </c>
      <c r="C47" s="282">
        <f ca="1">ROUND(C40*F27,4)</f>
        <v>8.9999999999999993E-3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114947542</v>
      </c>
      <c r="D49" s="276"/>
      <c r="E49" s="276"/>
      <c r="F49" s="308"/>
      <c r="G49" s="278" t="s">
        <v>2415</v>
      </c>
    </row>
    <row r="50" spans="1:7" s="302" customFormat="1">
      <c r="A50" s="299" t="s">
        <v>2416</v>
      </c>
      <c r="B50" s="254" t="s">
        <v>2417</v>
      </c>
      <c r="C50" s="276"/>
      <c r="D50" s="276"/>
      <c r="E50" s="276"/>
      <c r="F50" s="308">
        <f>IF('数据-取费表'!B24=0,'数据-取费表'!N16,1)</f>
        <v>0.7</v>
      </c>
      <c r="G50" s="291"/>
    </row>
    <row r="51" spans="1:7" ht="16.5" customHeight="1">
      <c r="A51" s="299" t="s">
        <v>2419</v>
      </c>
      <c r="B51" s="254" t="s">
        <v>2454</v>
      </c>
      <c r="C51" s="276">
        <f ca="1">ROUND(C49*F50,0)</f>
        <v>80463279</v>
      </c>
      <c r="D51" s="276"/>
      <c r="E51" s="276"/>
      <c r="F51" s="308"/>
      <c r="G51" s="278" t="s">
        <v>2421</v>
      </c>
    </row>
    <row r="52" spans="1:7" s="252" customFormat="1" ht="16.5" thickBot="1">
      <c r="A52" s="309" t="s">
        <v>2422</v>
      </c>
      <c r="B52" s="310"/>
      <c r="C52" s="311">
        <f ca="1">C31+C51</f>
        <v>97251505</v>
      </c>
      <c r="D52" s="310"/>
      <c r="E52" s="310"/>
      <c r="F52" s="310"/>
      <c r="G52" s="312"/>
    </row>
    <row r="55" spans="1:7" ht="15">
      <c r="B55" s="314" t="s">
        <v>2423</v>
      </c>
      <c r="C55" s="315"/>
    </row>
    <row r="56" spans="1:7">
      <c r="B56" s="317" t="s">
        <v>1508</v>
      </c>
      <c r="C56" s="319">
        <f ca="1">1-C57</f>
        <v>0.17300000000000004</v>
      </c>
    </row>
    <row r="57" spans="1:7">
      <c r="B57" s="317" t="s">
        <v>1509</v>
      </c>
      <c r="C57" s="318">
        <f ca="1">ROUND(C51/C52,3)</f>
        <v>0.82699999999999996</v>
      </c>
    </row>
  </sheetData>
  <sheetProtection password="C66D" sheet="1" objects="1" scenarios="1" formatCells="0"/>
  <mergeCells count="1">
    <mergeCell ref="G42:G44"/>
  </mergeCells>
  <phoneticPr fontId="14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7" t="s">
        <v>2461</v>
      </c>
      <c r="D5" s="2557" t="s">
        <v>2462</v>
      </c>
      <c r="E5" s="2557" t="s">
        <v>2463</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27202.3</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27202.3</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0</v>
      </c>
      <c r="D18" s="1033"/>
      <c r="E18" s="24"/>
      <c r="F18" s="976"/>
      <c r="G18" s="2559"/>
      <c r="H18" s="1577"/>
      <c r="I18" s="2560"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2491</v>
      </c>
      <c r="C20" s="24">
        <f ca="1">ROUND(D20*E20/10000,0)</f>
        <v>544</v>
      </c>
      <c r="D20" s="1033">
        <f ca="1">IF(C1="",'数据-汇总表'!E6,IF(INDIRECT("'数据-取费表'!c"&amp;$K$1)="住宅",INDIRECT("'数据-取费表'!s"&amp;$K$1),INDIRECT("'数据-取费表'!k"&amp;$K$1)+INDIRECT("'数据-取费表'!s"&amp;$K$1)))</f>
        <v>27202.3</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0.03</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2505</v>
      </c>
      <c r="B28" s="2562" t="s">
        <v>2506</v>
      </c>
      <c r="C28" s="331">
        <f ca="1">C30</f>
        <v>0</v>
      </c>
      <c r="D28" s="324">
        <f ca="1">C29</f>
        <v>0</v>
      </c>
      <c r="E28" s="326" t="s">
        <v>15</v>
      </c>
      <c r="F28" s="332">
        <f ca="1">IF(C1="",'数据-取费表'!Q16,INDIRECT("'数据-取费表'!q"&amp;$K$1))</f>
        <v>0.3</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63"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23" sqref="G23"/>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2800</v>
      </c>
      <c r="B1" s="241"/>
      <c r="C1" s="245" t="s">
        <v>2801</v>
      </c>
      <c r="D1" s="388">
        <f>SUM(D29:D30,D33:D39)</f>
        <v>27202.3</v>
      </c>
      <c r="E1" s="2720"/>
      <c r="F1" s="2720"/>
      <c r="G1" s="2720"/>
      <c r="H1" s="2720"/>
      <c r="I1" s="2720"/>
      <c r="J1" s="2720"/>
      <c r="K1" s="1370"/>
      <c r="L1" s="2721" t="s">
        <v>2802</v>
      </c>
      <c r="M1" s="1080">
        <f>SUMPRODUCT((区片价!B5:B9=I2)*(区片价!C3:F3=E2)*(区片价!C5:F9))</f>
        <v>0</v>
      </c>
      <c r="N1" s="1083">
        <f>SUMPRODUCT((因素修正幅度!B5:B9=I2)*(因素修正幅度!C3:F3=E2)*(因素修正幅度!C5:F9))</f>
        <v>0</v>
      </c>
      <c r="O1" s="2722"/>
      <c r="P1" s="2722"/>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f ca="1">C26</f>
        <v>19605</v>
      </c>
      <c r="C2" s="2724" t="s">
        <v>2809</v>
      </c>
      <c r="D2" s="2725" t="s">
        <v>2810</v>
      </c>
      <c r="E2" s="2726" t="s">
        <v>6</v>
      </c>
      <c r="F2" s="2725" t="s">
        <v>2811</v>
      </c>
      <c r="G2" s="2727" t="str">
        <f>IF(E2="商业",项目基本情况!B37,IF(E2="办公",项目基本情况!C37,IF(E2="住宅",项目基本情况!D37,项目基本情况!E37)))</f>
        <v>三级</v>
      </c>
      <c r="H2" s="2725" t="s">
        <v>2812</v>
      </c>
      <c r="I2" s="2727" t="str">
        <f>IF(E2="商业",项目基本情况!B38,IF(E2="办公",项目基本情况!C38,IF(E2="住宅",项目基本情况!D38,项目基本情况!E38)))</f>
        <v>Ⅲ—08</v>
      </c>
      <c r="J2" s="2728"/>
      <c r="K2" s="1370"/>
      <c r="L2" s="2729" t="s">
        <v>2813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13355</v>
      </c>
      <c r="U2" s="1603"/>
      <c r="V2" s="1602">
        <f ca="1">ROUND(T2*U2/10000,0)</f>
        <v>0</v>
      </c>
      <c r="W2" s="1606"/>
      <c r="X2" s="1606"/>
      <c r="Y2" s="1606"/>
      <c r="Z2" s="1606"/>
      <c r="AA2" s="1606"/>
      <c r="AB2" s="1606"/>
      <c r="AC2" s="1607"/>
      <c r="AD2" s="1608"/>
      <c r="AE2" s="1608"/>
      <c r="AF2" s="1608"/>
      <c r="AG2" s="1608"/>
      <c r="AH2" s="1608"/>
      <c r="AI2" s="1608"/>
      <c r="AJ2" s="1609"/>
    </row>
    <row r="3" spans="1:36" ht="15.75">
      <c r="A3" s="247" t="s">
        <v>2814</v>
      </c>
      <c r="B3" s="248">
        <f ca="1">ROUND(B2*10000/D1,0)</f>
        <v>7207</v>
      </c>
      <c r="C3" s="2724" t="s">
        <v>2815</v>
      </c>
      <c r="D3" s="2725" t="s">
        <v>2816</v>
      </c>
      <c r="E3" s="2730" t="s">
        <v>3172</v>
      </c>
      <c r="F3" s="2731" t="s">
        <v>3466</v>
      </c>
      <c r="G3" s="916">
        <f>IF(F3="宗地容积率",'数据-汇总表'!I4,IF(F3="估价对象容积率",'数据-汇总表'!I6,'数据-汇总表'!I7))</f>
        <v>1.48</v>
      </c>
      <c r="H3" s="198" t="s">
        <v>2817</v>
      </c>
      <c r="I3" s="944"/>
      <c r="J3" s="2728" t="s">
        <v>2818</v>
      </c>
      <c r="K3" s="1370"/>
      <c r="L3" s="2729" t="s">
        <v>2819</v>
      </c>
      <c r="M3" s="1081">
        <f>SUMPRODUCT((区片价!B29:B48=I2)*(区片价!C3:F3=E2)*(区片价!C29:F48))</f>
        <v>6520</v>
      </c>
      <c r="N3" s="1083">
        <f>SUMPRODUCT((因素修正幅度!B29:B48=I2)*(因素修正幅度!C3:F3=E2)*(因素修正幅度!C29:F48))</f>
        <v>0.1</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9586</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1"/>
      <c r="B4" s="3262"/>
      <c r="C4" s="3262"/>
      <c r="D4" s="3263"/>
      <c r="E4" s="3263"/>
      <c r="F4" s="3263"/>
      <c r="G4" s="3263"/>
      <c r="H4" s="3263"/>
      <c r="I4" s="3263"/>
      <c r="J4" s="3264"/>
      <c r="K4" s="1370"/>
      <c r="L4" s="2729" t="s">
        <v>2820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7734</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2821</v>
      </c>
      <c r="C5" s="917">
        <f>ROUND(IF(E2="商业",C6*C7+C16,(IF(E2="住宅",C6*C12+C16,C6+C16))),0)</f>
        <v>6520</v>
      </c>
      <c r="D5" s="1787">
        <f>ROUND(IF(F17="增加",C6+C16,C6-C16),0)</f>
        <v>6520</v>
      </c>
      <c r="E5" s="1787"/>
      <c r="F5" s="2734"/>
      <c r="G5" s="2735"/>
      <c r="H5" s="2735"/>
      <c r="I5" s="2735"/>
      <c r="J5" s="2736"/>
      <c r="K5" s="2737"/>
      <c r="L5" s="2729" t="s">
        <v>2822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6205</v>
      </c>
      <c r="U5" s="1603"/>
      <c r="V5" s="1602">
        <f t="shared" ca="1" si="1"/>
        <v>0</v>
      </c>
      <c r="W5" s="1606"/>
      <c r="X5" s="1606"/>
      <c r="Y5" s="1606"/>
      <c r="Z5" s="1606"/>
      <c r="AA5" s="1606"/>
      <c r="AB5" s="1606"/>
      <c r="AC5" s="2738"/>
      <c r="AD5" s="2739"/>
      <c r="AE5" s="2739"/>
      <c r="AF5" s="2739"/>
      <c r="AG5" s="2739"/>
      <c r="AH5" s="2739"/>
      <c r="AI5" s="2739"/>
      <c r="AJ5" s="2740"/>
    </row>
    <row r="6" spans="1:36" ht="15.75" hidden="1" thickBot="1">
      <c r="A6" s="2742" t="s">
        <v>2823</v>
      </c>
      <c r="B6" s="2743" t="s">
        <v>2824</v>
      </c>
      <c r="C6" s="918">
        <f>SUMIF(L1:L12,G2,M1:M12)</f>
        <v>6520</v>
      </c>
      <c r="D6" s="2744" t="s">
        <v>2825</v>
      </c>
      <c r="E6" s="2745"/>
      <c r="F6" s="2745"/>
      <c r="G6" s="2746"/>
      <c r="H6" s="2746"/>
      <c r="I6" s="2746"/>
      <c r="J6" s="2747"/>
      <c r="K6" s="1842"/>
      <c r="L6" s="2729" t="s">
        <v>2826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5284</v>
      </c>
      <c r="U6" s="1603"/>
      <c r="V6" s="1602">
        <f t="shared" ca="1" si="1"/>
        <v>0</v>
      </c>
      <c r="W6" s="1606"/>
      <c r="X6" s="1606"/>
      <c r="Y6" s="1606"/>
      <c r="Z6" s="1606"/>
      <c r="AA6" s="1606"/>
      <c r="AB6" s="1606"/>
      <c r="AC6" s="2738"/>
      <c r="AD6" s="2739"/>
      <c r="AE6" s="2739"/>
      <c r="AF6" s="2739"/>
      <c r="AG6" s="2739"/>
      <c r="AH6" s="2739"/>
      <c r="AI6" s="2739"/>
      <c r="AJ6" s="2740"/>
    </row>
    <row r="7" spans="1:36" ht="24" hidden="1">
      <c r="A7" s="3265" t="str">
        <f>IF(E2="商业",IF(C8="不临58条商业街","",2),"")</f>
        <v/>
      </c>
      <c r="B7" s="2748" t="s">
        <v>2827</v>
      </c>
      <c r="C7" s="919" t="e">
        <f>IF(C8="不临58条商业街",1,ROUND(1+(1.6*E8+1.2*E9+0.8*E10+0.4*E11)*C9,4))</f>
        <v>#DIV/0!</v>
      </c>
      <c r="D7" s="2749" t="s">
        <v>2828</v>
      </c>
      <c r="E7" s="945"/>
      <c r="F7" s="2750"/>
      <c r="G7" s="2751"/>
      <c r="H7" s="2751"/>
      <c r="I7" s="2751"/>
      <c r="J7" s="2752"/>
      <c r="K7" s="1842"/>
      <c r="L7" s="2729" t="s">
        <v>2829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4647</v>
      </c>
      <c r="U7" s="1603"/>
      <c r="V7" s="1602">
        <f t="shared" ca="1" si="1"/>
        <v>0</v>
      </c>
      <c r="W7" s="1816" t="s">
        <v>2830</v>
      </c>
      <c r="X7" s="1604" t="str">
        <f>G2</f>
        <v>三级</v>
      </c>
      <c r="Y7" s="1604" t="s">
        <v>2831</v>
      </c>
      <c r="Z7" s="1605">
        <f>G3</f>
        <v>1.48</v>
      </c>
      <c r="AA7" s="1606"/>
      <c r="AB7" s="1606"/>
      <c r="AC7" s="1607"/>
      <c r="AD7" s="1608"/>
      <c r="AE7" s="1608"/>
      <c r="AF7" s="1608"/>
      <c r="AG7" s="1608"/>
      <c r="AH7" s="1608"/>
      <c r="AI7" s="1608"/>
      <c r="AJ7" s="1609"/>
    </row>
    <row r="8" spans="1:36" ht="15" hidden="1">
      <c r="A8" s="3266"/>
      <c r="B8" s="198" t="s">
        <v>2832</v>
      </c>
      <c r="C8" s="2753"/>
      <c r="D8" s="920" t="s">
        <v>139</v>
      </c>
      <c r="E8" s="921" t="e">
        <f>ROUND(C11/E7,4)</f>
        <v>#DIV/0!</v>
      </c>
      <c r="F8" s="2754" t="s">
        <v>2833</v>
      </c>
      <c r="G8" s="2755"/>
      <c r="H8" s="2755"/>
      <c r="I8" s="2755"/>
      <c r="J8" s="2756"/>
      <c r="K8" s="1370"/>
      <c r="L8" s="2729"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8" t="s">
        <v>2835</v>
      </c>
      <c r="X8" s="3259"/>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hidden="1">
      <c r="A9" s="3266"/>
      <c r="B9" s="198" t="s">
        <v>2848</v>
      </c>
      <c r="C9" s="922">
        <f>SUMIF(修正!C59:C119,C8,修正!E59:E119)</f>
        <v>0</v>
      </c>
      <c r="D9" s="200" t="s">
        <v>140</v>
      </c>
      <c r="E9" s="200" t="e">
        <f>ROUND(C11/E7,4)</f>
        <v>#DIV/0!</v>
      </c>
      <c r="F9" s="2754" t="s">
        <v>2849</v>
      </c>
      <c r="G9" s="2755"/>
      <c r="H9" s="2755"/>
      <c r="I9" s="2755"/>
      <c r="J9" s="2756"/>
      <c r="K9" s="1370"/>
      <c r="L9" s="2729"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0" t="s">
        <v>2851</v>
      </c>
      <c r="X9" s="1611" t="s">
        <v>2852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hidden="1">
      <c r="A10" s="3266"/>
      <c r="B10" s="198" t="s">
        <v>2853</v>
      </c>
      <c r="C10" s="200">
        <f>SUMIF(修正!C59:C119,C8,修正!F59:F119)</f>
        <v>0</v>
      </c>
      <c r="D10" s="200" t="s">
        <v>141</v>
      </c>
      <c r="E10" s="200" t="e">
        <f>ROUND(C11/E7,4)</f>
        <v>#DIV/0!</v>
      </c>
      <c r="F10" s="2754" t="s">
        <v>2854</v>
      </c>
      <c r="G10" s="2755"/>
      <c r="H10" s="2755"/>
      <c r="I10" s="2755"/>
      <c r="J10" s="2756"/>
      <c r="K10" s="1370"/>
      <c r="L10" s="2729"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hidden="1" thickBot="1">
      <c r="A11" s="3266"/>
      <c r="B11" s="2757" t="s">
        <v>2856</v>
      </c>
      <c r="C11" s="923">
        <f>C10/4</f>
        <v>0</v>
      </c>
      <c r="D11" s="923" t="s">
        <v>142</v>
      </c>
      <c r="E11" s="923" t="e">
        <f>ROUND(C11/E7,4)</f>
        <v>#DIV/0!</v>
      </c>
      <c r="F11" s="2758" t="s">
        <v>2857</v>
      </c>
      <c r="G11" s="2759"/>
      <c r="H11" s="2759"/>
      <c r="I11" s="2759"/>
      <c r="J11" s="2760"/>
      <c r="K11" s="1370"/>
      <c r="L11" s="2729"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0" t="s">
        <v>2859</v>
      </c>
      <c r="X11" s="1614" t="s">
        <v>2860</v>
      </c>
      <c r="Y11" s="1615">
        <f>$G$3</f>
        <v>1.48</v>
      </c>
      <c r="Z11" s="1615">
        <f t="shared" ref="Z11:AJ11" si="3">$G$3</f>
        <v>1.48</v>
      </c>
      <c r="AA11" s="1615">
        <f t="shared" si="3"/>
        <v>1.48</v>
      </c>
      <c r="AB11" s="1615">
        <f t="shared" si="3"/>
        <v>1.48</v>
      </c>
      <c r="AC11" s="1615">
        <f t="shared" si="3"/>
        <v>1.48</v>
      </c>
      <c r="AD11" s="1615">
        <f t="shared" si="3"/>
        <v>1.48</v>
      </c>
      <c r="AE11" s="1615">
        <f t="shared" si="3"/>
        <v>1.48</v>
      </c>
      <c r="AF11" s="1615">
        <f t="shared" si="3"/>
        <v>1.48</v>
      </c>
      <c r="AG11" s="1615">
        <f t="shared" si="3"/>
        <v>1.48</v>
      </c>
      <c r="AH11" s="1615">
        <f t="shared" si="3"/>
        <v>1.48</v>
      </c>
      <c r="AI11" s="1615">
        <f t="shared" si="3"/>
        <v>1.48</v>
      </c>
      <c r="AJ11" s="1615">
        <f t="shared" si="3"/>
        <v>1.48</v>
      </c>
    </row>
    <row r="12" spans="1:36" ht="25.5" hidden="1" thickBot="1">
      <c r="A12" s="3265" t="s">
        <v>2861</v>
      </c>
      <c r="B12" s="2761" t="s">
        <v>2862</v>
      </c>
      <c r="C12" s="919">
        <f>ROUND(C15*D15*E15*F15*G15*H15*I15*J15,4)</f>
        <v>1</v>
      </c>
      <c r="D12" s="2762" t="s">
        <v>2863</v>
      </c>
      <c r="E12" s="2763"/>
      <c r="F12" s="2763"/>
      <c r="G12" s="2764"/>
      <c r="H12" s="2764"/>
      <c r="I12" s="2764"/>
      <c r="J12" s="2765"/>
      <c r="K12" s="1370"/>
      <c r="L12" s="2766"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0"/>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hidden="1">
      <c r="A13" s="3267"/>
      <c r="B13" s="2767" t="s">
        <v>2866</v>
      </c>
      <c r="C13" s="2768" t="s">
        <v>2867</v>
      </c>
      <c r="D13" s="1808" t="s">
        <v>2868</v>
      </c>
      <c r="E13" s="1808" t="s">
        <v>2869</v>
      </c>
      <c r="F13" s="30" t="s">
        <v>2870</v>
      </c>
      <c r="G13" s="2769" t="s">
        <v>2871</v>
      </c>
      <c r="H13" s="2769" t="s">
        <v>2871</v>
      </c>
      <c r="I13" s="2769" t="s">
        <v>2871</v>
      </c>
      <c r="J13" s="2770" t="s">
        <v>2871</v>
      </c>
      <c r="K13" s="1370"/>
      <c r="L13" s="1370"/>
      <c r="M13" s="1370"/>
      <c r="N13" s="1370"/>
      <c r="O13" s="1370"/>
      <c r="P13" s="1370"/>
      <c r="Q13" s="1370"/>
      <c r="R13" s="1602">
        <v>12</v>
      </c>
      <c r="S13" s="1603"/>
      <c r="T13" s="1602">
        <f t="shared" ca="1" si="0"/>
        <v>0</v>
      </c>
      <c r="U13" s="1603"/>
      <c r="V13" s="1602">
        <f t="shared" ca="1" si="1"/>
        <v>0</v>
      </c>
      <c r="W13" s="3260"/>
      <c r="X13" s="1616"/>
      <c r="Y13" s="1613">
        <f>(-0.163*(Y12^2)-0.59*Y12+7617)*(10^(-4))/Y11</f>
        <v>0.51466216216216221</v>
      </c>
      <c r="Z13" s="1613">
        <f t="shared" ref="Z13:AJ13" si="5">(-0.163*(Z12^2)-0.59*Z12+7617)*(10^(-4))/Z11</f>
        <v>0.51466216216216221</v>
      </c>
      <c r="AA13" s="1613">
        <f t="shared" si="5"/>
        <v>0.51466216216216221</v>
      </c>
      <c r="AB13" s="1613">
        <f t="shared" si="5"/>
        <v>0.51466216216216221</v>
      </c>
      <c r="AC13" s="1613">
        <f t="shared" si="5"/>
        <v>0.51466216216216221</v>
      </c>
      <c r="AD13" s="1613">
        <f t="shared" si="5"/>
        <v>0.51466216216216221</v>
      </c>
      <c r="AE13" s="1613">
        <f t="shared" si="5"/>
        <v>0.51466216216216221</v>
      </c>
      <c r="AF13" s="1613">
        <f t="shared" si="5"/>
        <v>0.51466216216216221</v>
      </c>
      <c r="AG13" s="1613">
        <f t="shared" si="5"/>
        <v>0.51466216216216221</v>
      </c>
      <c r="AH13" s="1613">
        <f t="shared" si="5"/>
        <v>0.51466216216216221</v>
      </c>
      <c r="AI13" s="1613">
        <f t="shared" si="5"/>
        <v>0.51466216216216221</v>
      </c>
      <c r="AJ13" s="1613">
        <f t="shared" si="5"/>
        <v>0.51466216216216221</v>
      </c>
    </row>
    <row r="14" spans="1:36" ht="15" hidden="1">
      <c r="A14" s="3267"/>
      <c r="B14" s="2771"/>
      <c r="C14" s="2772"/>
      <c r="D14" s="2773"/>
      <c r="E14" s="2773"/>
      <c r="F14" s="2774"/>
      <c r="G14" s="2775" t="s">
        <v>2872</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hidden="1" thickBot="1">
      <c r="A15" s="3268"/>
      <c r="B15" s="2779"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65" t="s">
        <v>2878</v>
      </c>
      <c r="B16" s="2748" t="s">
        <v>2879</v>
      </c>
      <c r="C16" s="2938">
        <f>ROUND(IF(F17="与级别开发程度一致",0,(G17-E17)/C17),0)</f>
        <v>0</v>
      </c>
      <c r="D16" s="3279" t="s">
        <v>2883</v>
      </c>
      <c r="E16" s="3280"/>
      <c r="F16" s="3279" t="s">
        <v>2880</v>
      </c>
      <c r="G16" s="3280"/>
      <c r="H16" s="2782" t="s">
        <v>3054</v>
      </c>
      <c r="I16" s="2782" t="s">
        <v>3055</v>
      </c>
      <c r="J16" s="2942" t="s">
        <v>3056</v>
      </c>
      <c r="K16" s="2782" t="s">
        <v>3057</v>
      </c>
      <c r="L16" s="2782" t="s">
        <v>3058</v>
      </c>
      <c r="M16" s="2782" t="s">
        <v>3060</v>
      </c>
      <c r="N16" s="2782" t="s">
        <v>3059</v>
      </c>
      <c r="O16" s="2783" t="s">
        <v>3173</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69"/>
      <c r="B17" s="2949" t="s">
        <v>2882</v>
      </c>
      <c r="C17" s="2950">
        <f>SUMPRODUCT((修正!A2:A5=E2)*(修正!B1:M1=G2)*(修正!B2:M5))</f>
        <v>1.5</v>
      </c>
      <c r="D17" s="229" t="str">
        <f>IF(OR(G2="八级",G2="九级",G2="十级",G2="十一级",G2="十二级"),"五通一平","七通一平")</f>
        <v>七通一平</v>
      </c>
      <c r="E17" s="2939">
        <f>SUMPRODUCT((修正!B1:M1=G2)*(修正!B15:M15))</f>
        <v>300</v>
      </c>
      <c r="F17" s="2940" t="s">
        <v>3174</v>
      </c>
      <c r="G17" s="2941">
        <f>SUM(H17:O17)</f>
        <v>300</v>
      </c>
      <c r="H17" s="2950">
        <f>SUMPRODUCT((七通一平=H16)*(修正!B1:M1=G2)*(修正!B6:M14))</f>
        <v>65</v>
      </c>
      <c r="I17" s="2950">
        <f>SUMPRODUCT((七通一平=I16)*(修正!B1:M1=G2)*(修正!B6:M14))</f>
        <v>55</v>
      </c>
      <c r="J17" s="2951">
        <f>SUMPRODUCT((七通一平=J16)*(修正!B1:M1=G2)*(修正!B6:M14))</f>
        <v>15</v>
      </c>
      <c r="K17" s="2950">
        <f>SUMPRODUCT((七通一平=K16)*(修正!B1:M1=G2)*(修正!B6:M14))</f>
        <v>25</v>
      </c>
      <c r="L17" s="2950">
        <f>SUMPRODUCT((七通一平=L16)*(修正!B1:M1=G2)*(修正!B6:M14))</f>
        <v>35</v>
      </c>
      <c r="M17" s="2950">
        <f>SUMPRODUCT((七通一平=M16)*(修正!B1:M1=G2)*(修正!B6:M14))</f>
        <v>50</v>
      </c>
      <c r="N17" s="2950">
        <f>SUMPRODUCT((七通一平=N16)*(修正!B1:M1=G2)*(修正!B6:M14))</f>
        <v>40</v>
      </c>
      <c r="O17" s="2952">
        <f>SUMPRODUCT((七通一平=O16)*(修正!B1:M1=G2)*(修正!B6:M14))</f>
        <v>15</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3" t="s">
        <v>808</v>
      </c>
      <c r="B18" s="2944" t="s">
        <v>2885</v>
      </c>
      <c r="C18" s="2945">
        <f>SUMIF(修正!C18:C39,E3,修正!E18:E39)</f>
        <v>1</v>
      </c>
      <c r="D18" s="2946"/>
      <c r="E18" s="2947"/>
      <c r="F18" s="2947"/>
      <c r="G18" s="2947"/>
      <c r="H18" s="2947"/>
      <c r="I18" s="2947"/>
      <c r="J18" s="2948"/>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9.25" thickBot="1">
      <c r="A19" s="2787" t="s">
        <v>809</v>
      </c>
      <c r="B19" s="2788" t="s">
        <v>2886</v>
      </c>
      <c r="C19" s="924">
        <f>ROUND(IF(H19="按公示增长率计算",SUMPRODUCT((地价!A3:A26=YEAR(G19)&amp;"-"&amp;ROUNDUP(MONTH(G19)/3,0))*(地价!X2:AB2=E2)*(地价!X3:AB26)),IF(H19="地价指数",M20/M19,(1+I19)^O19)),4)</f>
        <v>1.3405</v>
      </c>
      <c r="D19" s="2792" t="s">
        <v>2887</v>
      </c>
      <c r="E19" s="925">
        <v>41640</v>
      </c>
      <c r="F19" s="2792" t="s">
        <v>2888</v>
      </c>
      <c r="G19" s="926">
        <f>'数据-取费表'!B2</f>
        <v>43592</v>
      </c>
      <c r="H19" s="2793" t="s">
        <v>3179</v>
      </c>
      <c r="I19" s="927" t="str">
        <f>IF(H19="季度增幅（自定义）",SUMIF(N21:N24,E2,O21:O24),"")</f>
        <v/>
      </c>
      <c r="J19" s="2790"/>
      <c r="K19" s="1377"/>
      <c r="L19" s="2794" t="s">
        <v>2889</v>
      </c>
      <c r="M19" s="1734">
        <f>ROUND(SUMIF(地价!B2:F2,E2,地价!B26:F26),0)</f>
        <v>230</v>
      </c>
      <c r="N19" s="2795" t="s">
        <v>2890</v>
      </c>
      <c r="O19" s="928">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2891</v>
      </c>
      <c r="C20" s="929">
        <f ca="1">ROUND(POWER(1+G20,J20-I20)*(POWER(1+G20,I20)-1)/(POWER(1+G20,J20)-1),4)</f>
        <v>0.80689999999999995</v>
      </c>
      <c r="D20" s="2801" t="s">
        <v>2892</v>
      </c>
      <c r="E20" s="1768">
        <f ca="1">存贷款利率!D4/100</f>
        <v>4.3499999999999997E-2</v>
      </c>
      <c r="F20" s="2801" t="s">
        <v>2884</v>
      </c>
      <c r="G20" s="934">
        <f ca="1">SUMIF(M26:P26,E2,M28:P28)</f>
        <v>4.8000000000000001E-2</v>
      </c>
      <c r="H20" s="2801" t="s">
        <v>2893</v>
      </c>
      <c r="I20" s="935">
        <f>SUMIF('数据-取费表'!C6:C15,E2,'数据-取费表'!F6:F15)/COUNTIF('数据-取费表'!C6:C15,E2)</f>
        <v>27.89</v>
      </c>
      <c r="J20" s="936">
        <f>IF(E2="住宅",70,IF(E2="商业",40,50))</f>
        <v>50</v>
      </c>
      <c r="K20" s="1377"/>
      <c r="L20" s="2802" t="s">
        <v>2894</v>
      </c>
      <c r="M20" s="1735">
        <f>ROUND(SUMPRODUCT((地价!A4:A26=YEAR(G19)&amp;"-"&amp;ROUNDUP(MONTH(G19)/3,0))*(地价!B2:F2=E2)*(地价!B4:F26)),0)</f>
        <v>308</v>
      </c>
      <c r="N20" s="2803" t="s">
        <v>2895</v>
      </c>
      <c r="O20" s="2804" t="s">
        <v>2896</v>
      </c>
      <c r="P20" s="2805" t="s">
        <v>2897</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3175</v>
      </c>
      <c r="C21" s="937">
        <f>IF(B21="容积率修正",IF(G3&lt;=10,D22,J22),C23)</f>
        <v>1.0054000000000001</v>
      </c>
      <c r="D21" s="2808"/>
      <c r="E21" s="2808"/>
      <c r="F21" s="2808"/>
      <c r="G21" s="2808"/>
      <c r="H21" s="2808"/>
      <c r="I21" s="2808"/>
      <c r="J21" s="2809"/>
      <c r="K21" s="1377"/>
      <c r="N21" s="2810" t="s">
        <v>2898</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1" customFormat="1" ht="14.25">
      <c r="A22" s="2667" t="s">
        <v>2899</v>
      </c>
      <c r="B22" s="2811" t="s">
        <v>2900</v>
      </c>
      <c r="C22" s="1810" t="s">
        <v>2901</v>
      </c>
      <c r="D22" s="1810">
        <f>IF(E22=G22,F22,IF(G3&lt;=10,ROUND(F22+(H22-F22)*(G3-E22)/(G22-E22),4),"——"))</f>
        <v>1.0054000000000001</v>
      </c>
      <c r="E22" s="916">
        <f>ROUNDDOWN(G3,1)</f>
        <v>1.4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1.0271999999999999</v>
      </c>
      <c r="G22" s="916">
        <f>ROUNDUP(G3,1)</f>
        <v>1.5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10" t="s">
        <v>2902</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7" t="s">
        <v>2903</v>
      </c>
      <c r="B23" s="2812" t="s">
        <v>2904</v>
      </c>
      <c r="C23" s="1013">
        <f>ROUND(IF(G3&gt;1,IF(I3&lt;7,SUMPRODUCT((B93:B98=I3)*(C92:N92=G2)*(C93:N98)),SUMIF(C92:N92,G2,C100:N100)),IF(I3&lt;7,SUMPRODUCT((B102:B107=I3)*(C92:N92=G2)*(C102:N107)),SUMIF(C92:N92,G2,C109:N109))),4)</f>
        <v>0</v>
      </c>
      <c r="D23" s="2776"/>
      <c r="E23" s="2776"/>
      <c r="F23" s="2813"/>
      <c r="G23" s="2814"/>
      <c r="H23" s="2815"/>
      <c r="I23" s="2816"/>
      <c r="J23" s="2817"/>
      <c r="K23" s="1370"/>
      <c r="N23" s="2810" t="s">
        <v>2905</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2906</v>
      </c>
      <c r="C24" s="924">
        <f>SUMIF(A45:A88,E2,B45:B88)</f>
        <v>1.0165</v>
      </c>
      <c r="D24" s="2789"/>
      <c r="E24" s="2818"/>
      <c r="F24" s="2818"/>
      <c r="G24" s="2818"/>
      <c r="H24" s="2818"/>
      <c r="I24" s="2818"/>
      <c r="J24" s="2819"/>
      <c r="K24" s="1377"/>
      <c r="N24" s="2820" t="s">
        <v>2907</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2908</v>
      </c>
      <c r="C25" s="930"/>
      <c r="D25" s="2751"/>
      <c r="E25" s="2751"/>
      <c r="F25" s="2822"/>
      <c r="G25" s="2751"/>
      <c r="H25" s="2751"/>
      <c r="I25" s="2751"/>
      <c r="J25" s="2752"/>
      <c r="K25" s="1370"/>
      <c r="N25" s="2823" t="s">
        <v>2909</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4"/>
      <c r="B26" s="2811" t="s">
        <v>2910</v>
      </c>
      <c r="C26" s="206">
        <f ca="1">E29+SUM(E33:E39)</f>
        <v>19605</v>
      </c>
      <c r="D26" s="2825"/>
      <c r="E26" s="2776"/>
      <c r="F26" s="2826"/>
      <c r="G26" s="2776"/>
      <c r="H26" s="2776"/>
      <c r="I26" s="2776"/>
      <c r="J26" s="2827"/>
      <c r="K26" s="1370"/>
      <c r="L26" s="2780" t="s">
        <v>2810</v>
      </c>
      <c r="M26" s="920" t="s">
        <v>2874</v>
      </c>
      <c r="N26" s="920" t="s">
        <v>2875</v>
      </c>
      <c r="O26" s="920" t="s">
        <v>2876</v>
      </c>
      <c r="P26" s="2781" t="s">
        <v>2877</v>
      </c>
      <c r="R26" s="1376"/>
      <c r="S26" s="1376"/>
      <c r="T26" s="1371"/>
      <c r="U26" s="1371"/>
      <c r="V26" s="1371"/>
      <c r="W26" s="1370"/>
      <c r="X26" s="1370"/>
      <c r="Y26" s="1370"/>
      <c r="Z26" s="1377"/>
      <c r="AA26" s="1378"/>
      <c r="AB26" s="1378"/>
      <c r="AC26" s="1378"/>
      <c r="AD26" s="1378"/>
    </row>
    <row r="27" spans="1:37" ht="15.75" thickBot="1">
      <c r="A27" s="2824"/>
      <c r="B27" s="2828" t="s">
        <v>2911</v>
      </c>
      <c r="C27" s="931">
        <f ca="1">E30+SUM(I33:I39)</f>
        <v>0</v>
      </c>
      <c r="D27" s="2829"/>
      <c r="E27" s="2830"/>
      <c r="F27" s="2831"/>
      <c r="G27" s="2830"/>
      <c r="H27" s="2830"/>
      <c r="I27" s="2830"/>
      <c r="J27" s="2832"/>
      <c r="K27" s="1370"/>
      <c r="L27" s="2784"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2912</v>
      </c>
      <c r="C28" s="2835" t="s">
        <v>2913</v>
      </c>
      <c r="D28" s="2835" t="s">
        <v>2914</v>
      </c>
      <c r="E28" s="2836" t="s">
        <v>2915</v>
      </c>
      <c r="F28" s="2837"/>
      <c r="G28" s="2764"/>
      <c r="H28" s="2764"/>
      <c r="I28" s="2764"/>
      <c r="J28" s="2765"/>
      <c r="K28" s="1370"/>
      <c r="L28" s="2785"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2916</v>
      </c>
      <c r="C29" s="206">
        <f ca="1">ROUND(C5*C18*C19*C20*C21*C24,0)</f>
        <v>7207</v>
      </c>
      <c r="D29" s="2840">
        <f>'数据-汇总表'!E3</f>
        <v>27202.3</v>
      </c>
      <c r="E29" s="942">
        <f ca="1">ROUND(C29*D29/10000,0)</f>
        <v>19605</v>
      </c>
      <c r="F29" s="2841" t="s">
        <v>2917</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2918</v>
      </c>
      <c r="C30" s="229">
        <f ca="1">ROUND(IF(E2="工业",C29*M39,C29*M38),0)</f>
        <v>1081</v>
      </c>
      <c r="D30" s="2846"/>
      <c r="E30" s="942">
        <f ca="1">ROUND(C30*D30/10000,0)</f>
        <v>0</v>
      </c>
      <c r="F30" s="2847" t="s">
        <v>2919</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hidden="1">
      <c r="A31" s="2850"/>
      <c r="B31" s="2851" t="s">
        <v>2920</v>
      </c>
      <c r="C31" s="2852" t="s">
        <v>2921</v>
      </c>
      <c r="D31" s="2764"/>
      <c r="E31" s="2852"/>
      <c r="F31" s="2852"/>
      <c r="G31" s="2762" t="s">
        <v>2922</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hidden="1">
      <c r="A32" s="2838"/>
      <c r="B32" s="2854"/>
      <c r="C32" s="501" t="s">
        <v>2913</v>
      </c>
      <c r="D32" s="498" t="s">
        <v>2914</v>
      </c>
      <c r="E32" s="498" t="s">
        <v>2915</v>
      </c>
      <c r="F32" s="388" t="s">
        <v>2923</v>
      </c>
      <c r="G32" s="2855" t="s">
        <v>2913</v>
      </c>
      <c r="H32" s="2855" t="s">
        <v>2914</v>
      </c>
      <c r="I32" s="2855"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hidden="1" customHeight="1">
      <c r="A33" s="3276" t="s">
        <v>2924</v>
      </c>
      <c r="B33" s="2856" t="s">
        <v>2925</v>
      </c>
      <c r="C33" s="206">
        <f ca="1">ROUND(D5*C19*C20*C24*F33,0)</f>
        <v>5018</v>
      </c>
      <c r="D33" s="2840"/>
      <c r="E33" s="200">
        <f ca="1">ROUND(C33*D33/10000,0)</f>
        <v>0</v>
      </c>
      <c r="F33" s="200">
        <f>SUMIF(修正!A45:A56,G2,修正!B45:B56)</f>
        <v>0.7</v>
      </c>
      <c r="G33" s="200">
        <f t="shared" ref="G33" ca="1" si="6">ROUND(IF(E2="工业",C33*$M$39,C33*$M$38),0)</f>
        <v>753</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hidden="1">
      <c r="A34" s="3277"/>
      <c r="B34" s="2768" t="s">
        <v>2926</v>
      </c>
      <c r="C34" s="206">
        <f ca="1">ROUND(D5*C19*C20*C24*F34,0)</f>
        <v>2867</v>
      </c>
      <c r="D34" s="2840"/>
      <c r="E34" s="200">
        <f t="shared" ref="E34:E39" ca="1" si="7">ROUND(C34*D34/10000,0)</f>
        <v>0</v>
      </c>
      <c r="F34" s="200">
        <f>SUMIF(修正!A45:A56,G2,修正!C45:C56)</f>
        <v>0.4</v>
      </c>
      <c r="G34" s="200">
        <f ca="1">ROUND(IF(E2="工业",C34*$M$39,C34*$M$38),0)</f>
        <v>430</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hidden="1">
      <c r="A35" s="3277"/>
      <c r="B35" s="2768" t="s">
        <v>2927</v>
      </c>
      <c r="C35" s="206">
        <f ca="1">ROUND(D5*C19*C20*C24*F35,0)</f>
        <v>2007</v>
      </c>
      <c r="D35" s="2840"/>
      <c r="E35" s="200">
        <f t="shared" ca="1" si="7"/>
        <v>0</v>
      </c>
      <c r="F35" s="200">
        <f>SUMIF(修正!A45:A56,G2,修正!D45:D56)</f>
        <v>0.28000000000000003</v>
      </c>
      <c r="G35" s="200">
        <f ca="1">ROUND(IF(E2="工业",C35*$M$39,C35*$M$38),0)</f>
        <v>301</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hidden="1" thickBot="1">
      <c r="A36" s="3278"/>
      <c r="B36" s="2768" t="s">
        <v>2928</v>
      </c>
      <c r="C36" s="206">
        <f ca="1">ROUND(D5*C19*C20*C24*F36,0)</f>
        <v>1792</v>
      </c>
      <c r="D36" s="2840"/>
      <c r="E36" s="200">
        <f t="shared" ca="1" si="7"/>
        <v>0</v>
      </c>
      <c r="F36" s="200">
        <f>SUMIF(修正!A45:A56,G2,修正!E45:E56)</f>
        <v>0.25</v>
      </c>
      <c r="G36" s="200">
        <f ca="1">ROUND(IF(E2="工业",C36*$M$39,C36*$M$38),0)</f>
        <v>269</v>
      </c>
      <c r="H36" s="200">
        <f t="shared" si="8"/>
        <v>0</v>
      </c>
      <c r="I36" s="200">
        <f t="shared" ca="1" si="9"/>
        <v>0</v>
      </c>
      <c r="J36" s="2857"/>
      <c r="K36" s="1370"/>
      <c r="L36" s="2722"/>
      <c r="M36" s="2722"/>
      <c r="N36" s="1370"/>
      <c r="O36" s="1370"/>
      <c r="P36" s="1370"/>
      <c r="Q36" s="1370"/>
      <c r="R36" s="1370"/>
      <c r="S36" s="1370"/>
      <c r="T36" s="1370"/>
      <c r="U36" s="1370"/>
      <c r="V36" s="1370"/>
      <c r="W36" s="1370"/>
      <c r="X36" s="1370"/>
      <c r="Y36" s="1370"/>
      <c r="Z36" s="1371"/>
    </row>
    <row r="37" spans="1:37" hidden="1">
      <c r="A37" s="2858"/>
      <c r="B37" s="2768" t="s">
        <v>2929</v>
      </c>
      <c r="C37" s="200">
        <f ca="1">ROUND(D5*C19*C20*C24*F37,0)</f>
        <v>1792</v>
      </c>
      <c r="D37" s="2840"/>
      <c r="E37" s="200">
        <f t="shared" ca="1" si="7"/>
        <v>0</v>
      </c>
      <c r="F37" s="206">
        <f>SUMIF(修正!A45:A56,G2,修正!F45:F56)</f>
        <v>0.25</v>
      </c>
      <c r="G37" s="200">
        <f ca="1">ROUND(IF(E2="工业",C37*$M$39,C37*$M$38),0)</f>
        <v>269</v>
      </c>
      <c r="H37" s="200">
        <f t="shared" si="8"/>
        <v>0</v>
      </c>
      <c r="I37" s="200">
        <f t="shared" ca="1" si="9"/>
        <v>0</v>
      </c>
      <c r="J37" s="2857"/>
      <c r="K37" s="1370"/>
      <c r="L37" s="2859" t="s">
        <v>2930</v>
      </c>
      <c r="M37" s="2860"/>
      <c r="N37" s="1370"/>
      <c r="O37" s="1370"/>
      <c r="P37" s="1370"/>
      <c r="Q37" s="1370"/>
      <c r="R37" s="1370"/>
      <c r="S37" s="1370"/>
      <c r="T37" s="1370"/>
      <c r="U37" s="1370"/>
      <c r="V37" s="1370"/>
      <c r="W37" s="1370"/>
      <c r="X37" s="1370"/>
      <c r="Y37" s="1370"/>
      <c r="Z37" s="1371"/>
    </row>
    <row r="38" spans="1:37" hidden="1">
      <c r="A38" s="2858"/>
      <c r="B38" s="2768" t="s">
        <v>2931</v>
      </c>
      <c r="C38" s="200">
        <f ca="1">ROUND(D5*C19*C41*C24*F38,0)</f>
        <v>1792</v>
      </c>
      <c r="D38" s="2840"/>
      <c r="E38" s="200">
        <f t="shared" ca="1" si="7"/>
        <v>0</v>
      </c>
      <c r="F38" s="206">
        <f>SUMIF(修正!A45:A56,G2,修正!G45:G56)</f>
        <v>0.25</v>
      </c>
      <c r="G38" s="200">
        <f ca="1">ROUND(IF(E2="工业",C38*$M$39,C38*$M$38),0)</f>
        <v>269</v>
      </c>
      <c r="H38" s="200">
        <f t="shared" si="8"/>
        <v>0</v>
      </c>
      <c r="I38" s="200">
        <f t="shared" ca="1" si="9"/>
        <v>0</v>
      </c>
      <c r="J38" s="2857"/>
      <c r="K38" s="1370"/>
      <c r="L38" s="1887" t="s">
        <v>2932</v>
      </c>
      <c r="M38" s="2861">
        <v>0.25</v>
      </c>
      <c r="N38" s="1370"/>
      <c r="O38" s="1370"/>
      <c r="P38" s="1370"/>
      <c r="Q38" s="1370"/>
      <c r="R38" s="1370"/>
      <c r="S38" s="1370"/>
      <c r="T38" s="1370"/>
      <c r="U38" s="1370"/>
      <c r="V38" s="1370"/>
      <c r="W38" s="1370"/>
      <c r="X38" s="1370"/>
      <c r="Y38" s="1370"/>
      <c r="Z38" s="1371"/>
    </row>
    <row r="39" spans="1:37" ht="13.5" hidden="1" thickBot="1">
      <c r="A39" s="2844"/>
      <c r="B39" s="2862" t="s">
        <v>2933</v>
      </c>
      <c r="C39" s="229">
        <f ca="1">ROUND(D5*C19*C41*C24*F39,0)</f>
        <v>1434</v>
      </c>
      <c r="D39" s="2846"/>
      <c r="E39" s="229">
        <f t="shared" ca="1" si="7"/>
        <v>0</v>
      </c>
      <c r="F39" s="932">
        <f>SUMIF(修正!A45:A56,G2,修正!H45:H56)</f>
        <v>0.2</v>
      </c>
      <c r="G39" s="229">
        <f ca="1">ROUND(IF(E2="工业",C39*$M$39,C39*$M$38),0)</f>
        <v>215</v>
      </c>
      <c r="H39" s="229">
        <f t="shared" si="8"/>
        <v>0</v>
      </c>
      <c r="I39" s="229">
        <f t="shared" ca="1" si="9"/>
        <v>0</v>
      </c>
      <c r="J39" s="2863"/>
      <c r="K39" s="1370"/>
      <c r="L39" s="2864" t="s">
        <v>2877</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7" customHeight="1">
      <c r="A41" s="1371"/>
      <c r="B41" s="2933" t="s">
        <v>3044</v>
      </c>
      <c r="C41" s="388">
        <f ca="1">ROUND(POWER(1+E41,H41-G41)*(POWER(1+E41,G41)-1)/(POWER(1+E41,H41)-1),4)</f>
        <v>0.80689999999999995</v>
      </c>
      <c r="D41" s="200" t="s">
        <v>2884</v>
      </c>
      <c r="E41" s="2932">
        <f ca="1">G20</f>
        <v>4.8000000000000001E-2</v>
      </c>
      <c r="F41" s="200" t="s">
        <v>2893</v>
      </c>
      <c r="G41" s="218">
        <f>项目基本情况!I15</f>
        <v>27.89</v>
      </c>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2934</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hidden="1">
      <c r="A46" s="2869" t="s">
        <v>2935</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hidden="1">
      <c r="A47" s="2873" t="s">
        <v>2936</v>
      </c>
      <c r="B47" s="1809" t="s">
        <v>2937</v>
      </c>
      <c r="C47" s="1809" t="s">
        <v>2938</v>
      </c>
      <c r="D47" s="1809" t="s">
        <v>2939</v>
      </c>
      <c r="E47" s="819" t="s">
        <v>2940</v>
      </c>
      <c r="F47" s="2874" t="s">
        <v>2941</v>
      </c>
      <c r="G47" s="1809" t="s">
        <v>754</v>
      </c>
      <c r="H47" s="2875" t="s">
        <v>2942</v>
      </c>
      <c r="I47" s="1809" t="s">
        <v>2943</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hidden="1">
      <c r="A48" s="2873" t="s">
        <v>2944</v>
      </c>
      <c r="B48" s="2876" t="str">
        <f>估价对象房地状况!C4</f>
        <v>估价对象位于XX商圈，周边商业氛围成熟，人流量大，商业繁华度好</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3" t="s">
        <v>2945</v>
      </c>
      <c r="B49" s="2877" t="str">
        <f>估价对象房地状况!C18</f>
        <v>估价对象周边道路状况、公共交通通达情况、停车便捷程度，综合评价交通便捷度较好</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3" t="s">
        <v>2946</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3" t="s">
        <v>2947</v>
      </c>
      <c r="B51" s="2878" t="s">
        <v>2948</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3" t="s">
        <v>2949</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3" t="s">
        <v>2950</v>
      </c>
      <c r="B53" s="2879" t="s">
        <v>2951</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80" t="s">
        <v>2952</v>
      </c>
      <c r="B54" s="1725" t="str">
        <f>估价对象房地状况!C21</f>
        <v>估价对象所在区域公共配套设施齐备情况</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80" t="s">
        <v>2953</v>
      </c>
      <c r="B55" s="2877" t="str">
        <f>估价对象房地状况!C22</f>
        <v>估价对象所在区域基础设施水平</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81" t="s">
        <v>2954</v>
      </c>
      <c r="B56" s="2882" t="str">
        <f>估价对象房地状况!C20</f>
        <v>区域自然环境：；人文环境；综合评价环境状况一般</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9" t="s">
        <v>2955</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3" t="s">
        <v>2936</v>
      </c>
      <c r="B58" s="1809"/>
      <c r="C58" s="1809" t="s">
        <v>2938</v>
      </c>
      <c r="D58" s="1809" t="s">
        <v>2939</v>
      </c>
      <c r="E58" s="819" t="s">
        <v>2940</v>
      </c>
      <c r="F58" s="2874" t="s">
        <v>2956</v>
      </c>
      <c r="G58" s="1809" t="s">
        <v>754</v>
      </c>
      <c r="H58" s="2875" t="s">
        <v>2942</v>
      </c>
      <c r="I58" s="1809" t="s">
        <v>2943</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hidden="1">
      <c r="A59" s="2873" t="s">
        <v>2957</v>
      </c>
      <c r="B59" s="2876" t="str">
        <f>估价对象房地状况!C17</f>
        <v>估价对象位于XX商圈，周边办公楼项目较多，入驻率高，办公集聚程度较好</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3" t="s">
        <v>2945</v>
      </c>
      <c r="B60" s="2877" t="str">
        <f>估价对象房地状况!C18</f>
        <v>估价对象周边道路状况、公共交通通达情况、停车便捷程度，综合评价交通便捷度较好</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3" t="s">
        <v>2946</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3" t="s">
        <v>2947</v>
      </c>
      <c r="B62" s="2878" t="s">
        <v>2948</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3" t="s">
        <v>2949</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3" t="s">
        <v>2950</v>
      </c>
      <c r="B64" s="2879" t="s">
        <v>2951</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3" t="s">
        <v>2952</v>
      </c>
      <c r="B65" s="1725" t="str">
        <f>估价对象房地状况!C21</f>
        <v>估价对象所在区域公共配套设施齐备情况</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3" t="s">
        <v>2953</v>
      </c>
      <c r="B66" s="1725" t="str">
        <f>估价对象房地状况!C22</f>
        <v>估价对象所在区域基础设施水平</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81" t="s">
        <v>2954</v>
      </c>
      <c r="B67" s="2883" t="str">
        <f>估价对象房地状况!C20</f>
        <v>区域自然环境：；人文环境；综合评价环境状况一般</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9" t="s">
        <v>2958</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3" t="s">
        <v>2936</v>
      </c>
      <c r="B69" s="1809"/>
      <c r="C69" s="1809" t="s">
        <v>2938</v>
      </c>
      <c r="D69" s="1809" t="s">
        <v>2939</v>
      </c>
      <c r="E69" s="819" t="s">
        <v>2940</v>
      </c>
      <c r="F69" s="2874" t="s">
        <v>2956</v>
      </c>
      <c r="G69" s="1809" t="s">
        <v>754</v>
      </c>
      <c r="H69" s="2875" t="s">
        <v>2942</v>
      </c>
      <c r="I69" s="1809" t="s">
        <v>2943</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hidden="1">
      <c r="A70" s="2873" t="s">
        <v>2959</v>
      </c>
      <c r="B70" s="2876" t="str">
        <f>估价对象房地状况!C15</f>
        <v>估价对象周边居住用地比例、居住小区规模和社区发展完善程度，综合评价居住社区成熟度一般</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73" t="s">
        <v>2945</v>
      </c>
      <c r="B71" s="2877" t="str">
        <f>估价对象房地状况!C18</f>
        <v>估价对象周边道路状况、公共交通通达情况、停车便捷程度，综合评价交通便捷度较好</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3" t="s">
        <v>2946</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3" t="s">
        <v>2960</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73" t="s">
        <v>2952</v>
      </c>
      <c r="B74" s="1725" t="str">
        <f>估价对象房地状况!C21</f>
        <v>估价对象所在区域公共配套设施齐备情况</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3" t="s">
        <v>2953</v>
      </c>
      <c r="B75" s="1725" t="str">
        <f>估价对象房地状况!C22</f>
        <v>估价对象所在区域基础设施水平</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hidden="1">
      <c r="A76" s="2873" t="s">
        <v>2950</v>
      </c>
      <c r="B76" s="2879" t="s">
        <v>2951</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8.25" hidden="1">
      <c r="A77" s="2873" t="s">
        <v>2954</v>
      </c>
      <c r="B77" s="2876" t="str">
        <f>估价对象房地状况!C20</f>
        <v>区域自然环境：；人文环境；综合评价环境状况一般</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hidden="1" thickBot="1">
      <c r="A78" s="2881" t="s">
        <v>2961</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2962</v>
      </c>
      <c r="B79" s="2870">
        <f>1+E81</f>
        <v>1.0165</v>
      </c>
      <c r="C79" s="814"/>
      <c r="D79" s="814"/>
      <c r="E79" s="815"/>
      <c r="F79" s="2872"/>
      <c r="G79" s="6"/>
      <c r="H79" s="6"/>
      <c r="I79" s="6"/>
      <c r="J79" s="7"/>
      <c r="K79" s="7"/>
      <c r="L79" s="7"/>
      <c r="M79" s="7"/>
      <c r="N79" s="7"/>
      <c r="Z79" s="2723"/>
      <c r="AA79" s="2791"/>
      <c r="AG79" s="1372"/>
      <c r="AK79" s="2791"/>
    </row>
    <row r="80" spans="1:37" ht="24.75">
      <c r="A80" s="2873" t="s">
        <v>2936</v>
      </c>
      <c r="B80" s="1809"/>
      <c r="C80" s="1809" t="s">
        <v>2938</v>
      </c>
      <c r="D80" s="1809" t="s">
        <v>2939</v>
      </c>
      <c r="E80" s="819" t="s">
        <v>2940</v>
      </c>
      <c r="F80" s="2874" t="s">
        <v>2956</v>
      </c>
      <c r="G80" s="1809" t="s">
        <v>754</v>
      </c>
      <c r="H80" s="2875" t="s">
        <v>2942</v>
      </c>
      <c r="I80" s="1809" t="s">
        <v>2943</v>
      </c>
      <c r="J80" s="603" t="s">
        <v>2593</v>
      </c>
      <c r="K80" s="603" t="s">
        <v>2594</v>
      </c>
      <c r="L80" s="603" t="s">
        <v>2595</v>
      </c>
      <c r="M80" s="603" t="s">
        <v>2596</v>
      </c>
      <c r="N80" s="603" t="s">
        <v>2597</v>
      </c>
      <c r="Z80" s="2723"/>
      <c r="AA80" s="2791"/>
      <c r="AG80" s="1372"/>
      <c r="AK80" s="2791"/>
    </row>
    <row r="81" spans="1:37" ht="38.25">
      <c r="A81" s="2873" t="s">
        <v>2963</v>
      </c>
      <c r="B81" s="2877" t="str">
        <f>估价对象房地状况!G15</f>
        <v>估价对象位于XX开发区，园区建设成熟度XX，产业集聚程度XX</v>
      </c>
      <c r="C81" s="2773" t="s">
        <v>3176</v>
      </c>
      <c r="D81" s="1286">
        <f t="shared" ref="D81:D88" si="25">SUMIF($J$80:$N$80,C81,J81:N81)</f>
        <v>-1.2999999999999999E-2</v>
      </c>
      <c r="E81" s="821">
        <f>ROUND(SUM(D81:D88),4)</f>
        <v>1.6500000000000001E-2</v>
      </c>
      <c r="F81" s="2504">
        <f>IF(E2="工业",SUMIF(L1:L12,G2,N1:N12),"——")</f>
        <v>0.1</v>
      </c>
      <c r="G81" s="1284">
        <f>H81</f>
        <v>1.2999999999999999E-2</v>
      </c>
      <c r="H81" s="1288">
        <f t="shared" ref="H81:H88" si="26">IFERROR(ROUNDDOWN($F$81*I81/2,4),"——")</f>
        <v>1.2999999999999999E-2</v>
      </c>
      <c r="I81" s="820">
        <v>0.26</v>
      </c>
      <c r="J81" s="1285">
        <f t="shared" ref="J81:J88" si="27">K81+$G81</f>
        <v>2.5999999999999999E-2</v>
      </c>
      <c r="K81" s="1285">
        <f t="shared" ref="K81:K88" si="28">$L81+$G81</f>
        <v>1.2999999999999999E-2</v>
      </c>
      <c r="L81" s="1285">
        <v>0</v>
      </c>
      <c r="M81" s="1285">
        <f t="shared" ref="M81:N88" si="29">L81-$G81</f>
        <v>-1.2999999999999999E-2</v>
      </c>
      <c r="N81" s="1285">
        <f t="shared" si="29"/>
        <v>-2.5999999999999999E-2</v>
      </c>
      <c r="Z81" s="2723"/>
      <c r="AA81" s="2791"/>
      <c r="AG81" s="1372"/>
      <c r="AK81" s="2791"/>
    </row>
    <row r="82" spans="1:37" ht="51">
      <c r="A82" s="2873" t="s">
        <v>2945</v>
      </c>
      <c r="B82" s="2877" t="str">
        <f>估价对象房地状况!G16</f>
        <v>估价对象周边道路状况、公共交通通达情况、停车便捷程度，综合评价交通便捷度较好</v>
      </c>
      <c r="C82" s="2773" t="s">
        <v>3177</v>
      </c>
      <c r="D82" s="1286">
        <f t="shared" si="25"/>
        <v>1.6500000000000001E-2</v>
      </c>
      <c r="E82" s="826"/>
      <c r="F82" s="2504"/>
      <c r="G82" s="1284">
        <f t="shared" ref="G82:G88" si="30">H82</f>
        <v>1.6500000000000001E-2</v>
      </c>
      <c r="H82" s="1288">
        <f t="shared" si="26"/>
        <v>1.6500000000000001E-2</v>
      </c>
      <c r="I82" s="820">
        <v>0.33</v>
      </c>
      <c r="J82" s="1285">
        <f t="shared" si="27"/>
        <v>3.3000000000000002E-2</v>
      </c>
      <c r="K82" s="1285">
        <f t="shared" si="28"/>
        <v>1.6500000000000001E-2</v>
      </c>
      <c r="L82" s="1285">
        <v>0</v>
      </c>
      <c r="M82" s="1285">
        <f t="shared" si="29"/>
        <v>-1.6500000000000001E-2</v>
      </c>
      <c r="N82" s="1285">
        <f t="shared" si="29"/>
        <v>-3.3000000000000002E-2</v>
      </c>
      <c r="Z82" s="2723"/>
      <c r="AA82" s="2791"/>
      <c r="AG82" s="1372"/>
      <c r="AK82" s="2791"/>
    </row>
    <row r="83" spans="1:37" ht="24">
      <c r="A83" s="2873" t="s">
        <v>2946</v>
      </c>
      <c r="B83" s="2877">
        <f>估价对象房地状况!G17</f>
        <v>0</v>
      </c>
      <c r="C83" s="2773" t="s">
        <v>3176</v>
      </c>
      <c r="D83" s="1286">
        <f t="shared" si="25"/>
        <v>-2.5000000000000001E-3</v>
      </c>
      <c r="E83" s="826"/>
      <c r="F83" s="2504"/>
      <c r="G83" s="1284">
        <f t="shared" si="30"/>
        <v>2.5000000000000001E-3</v>
      </c>
      <c r="H83" s="1288">
        <f t="shared" si="26"/>
        <v>2.5000000000000001E-3</v>
      </c>
      <c r="I83" s="820">
        <v>0.05</v>
      </c>
      <c r="J83" s="1285">
        <f t="shared" si="27"/>
        <v>5.0000000000000001E-3</v>
      </c>
      <c r="K83" s="1285">
        <f t="shared" si="28"/>
        <v>2.5000000000000001E-3</v>
      </c>
      <c r="L83" s="1285">
        <v>0</v>
      </c>
      <c r="M83" s="1285">
        <f t="shared" si="29"/>
        <v>-2.5000000000000001E-3</v>
      </c>
      <c r="N83" s="1285">
        <f t="shared" si="29"/>
        <v>-5.0000000000000001E-3</v>
      </c>
      <c r="Z83" s="2723"/>
      <c r="AA83" s="2791"/>
      <c r="AG83" s="1372"/>
      <c r="AK83" s="2791"/>
    </row>
    <row r="84" spans="1:37" ht="14.25">
      <c r="A84" s="2873" t="s">
        <v>2960</v>
      </c>
      <c r="B84" s="2877">
        <f>估价对象房地状况!G22</f>
        <v>0</v>
      </c>
      <c r="C84" s="2773" t="s">
        <v>3177</v>
      </c>
      <c r="D84" s="1286">
        <f t="shared" si="25"/>
        <v>2E-3</v>
      </c>
      <c r="E84" s="826"/>
      <c r="F84" s="2504"/>
      <c r="G84" s="1284">
        <f t="shared" si="30"/>
        <v>2E-3</v>
      </c>
      <c r="H84" s="1288">
        <f t="shared" si="26"/>
        <v>2E-3</v>
      </c>
      <c r="I84" s="820">
        <v>0.04</v>
      </c>
      <c r="J84" s="1285">
        <f t="shared" si="27"/>
        <v>4.0000000000000001E-3</v>
      </c>
      <c r="K84" s="1285">
        <f t="shared" si="28"/>
        <v>2E-3</v>
      </c>
      <c r="L84" s="1285">
        <v>0</v>
      </c>
      <c r="M84" s="1285">
        <f t="shared" si="29"/>
        <v>-2E-3</v>
      </c>
      <c r="N84" s="1285">
        <f t="shared" si="29"/>
        <v>-4.0000000000000001E-3</v>
      </c>
      <c r="Z84" s="2723"/>
      <c r="AA84" s="2791"/>
      <c r="AG84" s="1372"/>
      <c r="AK84" s="2791"/>
    </row>
    <row r="85" spans="1:37" ht="25.5">
      <c r="A85" s="2873" t="s">
        <v>2952</v>
      </c>
      <c r="B85" s="1725" t="str">
        <f>估价对象房地状况!G19</f>
        <v>估价对象所在区域公共配套设施齐备情况</v>
      </c>
      <c r="C85" s="2773" t="s">
        <v>3177</v>
      </c>
      <c r="D85" s="1286">
        <f t="shared" si="25"/>
        <v>3.0000000000000001E-3</v>
      </c>
      <c r="E85" s="826"/>
      <c r="F85" s="2504"/>
      <c r="G85" s="1284">
        <f t="shared" si="30"/>
        <v>3.0000000000000001E-3</v>
      </c>
      <c r="H85" s="1288">
        <f t="shared" si="26"/>
        <v>3.0000000000000001E-3</v>
      </c>
      <c r="I85" s="820">
        <v>0.06</v>
      </c>
      <c r="J85" s="1285">
        <f t="shared" si="27"/>
        <v>6.0000000000000001E-3</v>
      </c>
      <c r="K85" s="1285">
        <f t="shared" si="28"/>
        <v>3.0000000000000001E-3</v>
      </c>
      <c r="L85" s="1285">
        <v>0</v>
      </c>
      <c r="M85" s="1285">
        <f t="shared" si="29"/>
        <v>-3.0000000000000001E-3</v>
      </c>
      <c r="N85" s="1285">
        <f t="shared" si="29"/>
        <v>-6.0000000000000001E-3</v>
      </c>
      <c r="Z85" s="2723"/>
      <c r="AA85" s="2791"/>
      <c r="AG85" s="1372"/>
      <c r="AK85" s="2791"/>
    </row>
    <row r="86" spans="1:37" ht="25.5">
      <c r="A86" s="2873" t="s">
        <v>2953</v>
      </c>
      <c r="B86" s="1725" t="str">
        <f>估价对象房地状况!G20</f>
        <v>估价对象所在区域基础设施水平</v>
      </c>
      <c r="C86" s="2773" t="s">
        <v>3177</v>
      </c>
      <c r="D86" s="1286">
        <f t="shared" si="25"/>
        <v>7.4999999999999997E-3</v>
      </c>
      <c r="E86" s="826"/>
      <c r="F86" s="2504"/>
      <c r="G86" s="1284">
        <f t="shared" si="30"/>
        <v>7.4999999999999997E-3</v>
      </c>
      <c r="H86" s="1288">
        <f t="shared" si="26"/>
        <v>7.4999999999999997E-3</v>
      </c>
      <c r="I86" s="820">
        <v>0.15</v>
      </c>
      <c r="J86" s="1285">
        <f t="shared" si="27"/>
        <v>1.4999999999999999E-2</v>
      </c>
      <c r="K86" s="1285">
        <f t="shared" si="28"/>
        <v>7.4999999999999997E-3</v>
      </c>
      <c r="L86" s="1285">
        <v>0</v>
      </c>
      <c r="M86" s="1285">
        <f t="shared" si="29"/>
        <v>-7.4999999999999997E-3</v>
      </c>
      <c r="N86" s="1285">
        <f t="shared" si="29"/>
        <v>-1.4999999999999999E-2</v>
      </c>
      <c r="Z86" s="2723"/>
      <c r="AA86" s="2791"/>
      <c r="AG86" s="1372"/>
      <c r="AK86" s="2791"/>
    </row>
    <row r="87" spans="1:37" ht="24">
      <c r="A87" s="2873" t="s">
        <v>2950</v>
      </c>
      <c r="B87" s="2879" t="s">
        <v>2964</v>
      </c>
      <c r="C87" s="2773" t="s">
        <v>3178</v>
      </c>
      <c r="D87" s="1286">
        <f t="shared" si="25"/>
        <v>0</v>
      </c>
      <c r="E87" s="826"/>
      <c r="F87" s="2504"/>
      <c r="G87" s="1284">
        <f t="shared" si="30"/>
        <v>2.5000000000000001E-3</v>
      </c>
      <c r="H87" s="1288">
        <f t="shared" si="26"/>
        <v>2.5000000000000001E-3</v>
      </c>
      <c r="I87" s="820">
        <v>0.05</v>
      </c>
      <c r="J87" s="1285">
        <f t="shared" si="27"/>
        <v>5.0000000000000001E-3</v>
      </c>
      <c r="K87" s="1285">
        <f t="shared" si="28"/>
        <v>2.5000000000000001E-3</v>
      </c>
      <c r="L87" s="1285">
        <v>0</v>
      </c>
      <c r="M87" s="1285">
        <f t="shared" si="29"/>
        <v>-2.5000000000000001E-3</v>
      </c>
      <c r="N87" s="1285">
        <f t="shared" si="29"/>
        <v>-5.0000000000000001E-3</v>
      </c>
      <c r="Z87" s="2723"/>
      <c r="AA87" s="2791"/>
      <c r="AG87" s="1372"/>
      <c r="AK87" s="2791"/>
    </row>
    <row r="88" spans="1:37" ht="39" thickBot="1">
      <c r="A88" s="2881" t="s">
        <v>2965</v>
      </c>
      <c r="B88" s="2886" t="str">
        <f>估价对象房地状况!G18</f>
        <v>该园区内是否有污染型企业，绿化情况，卫生条件，整体环境状况判断</v>
      </c>
      <c r="C88" s="2773" t="s">
        <v>3177</v>
      </c>
      <c r="D88" s="1286">
        <f t="shared" si="25"/>
        <v>3.0000000000000001E-3</v>
      </c>
      <c r="E88" s="827"/>
      <c r="F88" s="2504"/>
      <c r="G88" s="1284">
        <f t="shared" si="30"/>
        <v>3.0000000000000001E-3</v>
      </c>
      <c r="H88" s="1288">
        <f t="shared" si="26"/>
        <v>3.0000000000000001E-3</v>
      </c>
      <c r="I88" s="824">
        <v>0.06</v>
      </c>
      <c r="J88" s="1285">
        <f t="shared" si="27"/>
        <v>6.0000000000000001E-3</v>
      </c>
      <c r="K88" s="1285">
        <f t="shared" si="28"/>
        <v>3.0000000000000001E-3</v>
      </c>
      <c r="L88" s="1285">
        <v>0</v>
      </c>
      <c r="M88" s="1285">
        <f t="shared" si="29"/>
        <v>-3.0000000000000001E-3</v>
      </c>
      <c r="N88" s="1285">
        <f t="shared" si="29"/>
        <v>-6.0000000000000001E-3</v>
      </c>
      <c r="Z88" s="2723"/>
      <c r="AA88" s="2791"/>
      <c r="AG88" s="1372"/>
      <c r="AK88" s="2791"/>
    </row>
    <row r="90" spans="1:37">
      <c r="A90" s="3270" t="s">
        <v>2966</v>
      </c>
      <c r="B90" s="3270"/>
      <c r="C90" s="3270"/>
      <c r="D90" s="3270"/>
      <c r="E90" s="3270"/>
      <c r="F90" s="3270"/>
      <c r="G90" s="3270"/>
      <c r="H90" s="3270"/>
      <c r="I90" s="3270"/>
      <c r="J90" s="3270"/>
      <c r="K90" s="2887"/>
      <c r="L90" s="2887"/>
      <c r="M90" s="2887"/>
      <c r="N90" s="2887"/>
    </row>
    <row r="91" spans="1:37">
      <c r="A91" s="3272" t="s">
        <v>2967</v>
      </c>
      <c r="B91" s="3272" t="s">
        <v>2968</v>
      </c>
      <c r="C91" s="2841" t="s">
        <v>2969</v>
      </c>
      <c r="D91" s="2842"/>
      <c r="E91" s="2842"/>
      <c r="F91" s="2842"/>
      <c r="G91" s="2842"/>
      <c r="H91" s="2842"/>
      <c r="I91" s="2842"/>
      <c r="J91" s="2888"/>
      <c r="K91" s="2889"/>
      <c r="L91" s="2889"/>
      <c r="M91" s="2889"/>
      <c r="N91" s="2889"/>
    </row>
    <row r="92" spans="1:37">
      <c r="A92" s="3272"/>
      <c r="B92" s="3272"/>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73" t="s">
        <v>2970</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74"/>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74"/>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74"/>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74"/>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74"/>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74"/>
      <c r="B99" s="2890" t="s">
        <v>2852</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275"/>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73" t="s">
        <v>2971</v>
      </c>
      <c r="B101" s="2894" t="s">
        <v>2972</v>
      </c>
      <c r="C101" s="2895">
        <f>$G$3</f>
        <v>1.48</v>
      </c>
      <c r="D101" s="2895">
        <f t="shared" ref="D101:N101" si="32">$G$3</f>
        <v>1.48</v>
      </c>
      <c r="E101" s="2895">
        <f t="shared" si="32"/>
        <v>1.48</v>
      </c>
      <c r="F101" s="2895">
        <f t="shared" si="32"/>
        <v>1.48</v>
      </c>
      <c r="G101" s="2895">
        <f t="shared" si="32"/>
        <v>1.48</v>
      </c>
      <c r="H101" s="2895">
        <f t="shared" si="32"/>
        <v>1.48</v>
      </c>
      <c r="I101" s="2895">
        <f t="shared" si="32"/>
        <v>1.48</v>
      </c>
      <c r="J101" s="2895">
        <f t="shared" si="32"/>
        <v>1.48</v>
      </c>
      <c r="K101" s="2895">
        <f t="shared" si="32"/>
        <v>1.48</v>
      </c>
      <c r="L101" s="2895">
        <f t="shared" si="32"/>
        <v>1.48</v>
      </c>
      <c r="M101" s="2895">
        <f t="shared" si="32"/>
        <v>1.48</v>
      </c>
      <c r="N101" s="2895">
        <f t="shared" si="32"/>
        <v>1.48</v>
      </c>
    </row>
    <row r="102" spans="1:14">
      <c r="A102" s="3274"/>
      <c r="B102" s="2890">
        <v>1</v>
      </c>
      <c r="C102" s="2891">
        <f>1.9362/C101</f>
        <v>1.3082432432432431</v>
      </c>
      <c r="D102" s="2891">
        <f>1.9362/D101</f>
        <v>1.3082432432432431</v>
      </c>
      <c r="E102" s="2891">
        <f>1.8629/E101</f>
        <v>1.2587162162162162</v>
      </c>
      <c r="F102" s="2891">
        <f>1.8629/F101</f>
        <v>1.2587162162162162</v>
      </c>
      <c r="G102" s="2891">
        <f>1.8629/G101</f>
        <v>1.2587162162162162</v>
      </c>
      <c r="H102" s="2891">
        <f>1.8629/H101</f>
        <v>1.2587162162162162</v>
      </c>
      <c r="I102" s="2891">
        <f>1.8629/I101</f>
        <v>1.2587162162162162</v>
      </c>
      <c r="J102" s="2891">
        <f>1.942/J101</f>
        <v>1.3121621621621622</v>
      </c>
      <c r="K102" s="2891">
        <f>1.942/K101</f>
        <v>1.3121621621621622</v>
      </c>
      <c r="L102" s="2891">
        <f>1.942/L101</f>
        <v>1.3121621621621622</v>
      </c>
      <c r="M102" s="2891">
        <f>1.942/M101</f>
        <v>1.3121621621621622</v>
      </c>
      <c r="N102" s="2891">
        <f>1.942/N101</f>
        <v>1.3121621621621622</v>
      </c>
    </row>
    <row r="103" spans="1:14">
      <c r="A103" s="3274"/>
      <c r="B103" s="2890">
        <v>2</v>
      </c>
      <c r="C103" s="2891">
        <f>1.4198/C101</f>
        <v>0.95932432432432435</v>
      </c>
      <c r="D103" s="2891">
        <f>1.4198/D101</f>
        <v>0.95932432432432435</v>
      </c>
      <c r="E103" s="2891">
        <f>1.3372/E101</f>
        <v>0.9035135135135135</v>
      </c>
      <c r="F103" s="2891">
        <f>1.3372/F101</f>
        <v>0.9035135135135135</v>
      </c>
      <c r="G103" s="2891">
        <f>1.3372/G101</f>
        <v>0.9035135135135135</v>
      </c>
      <c r="H103" s="2891">
        <f>1.3372/H101</f>
        <v>0.9035135135135135</v>
      </c>
      <c r="I103" s="2891">
        <f>1.3372/I101</f>
        <v>0.9035135135135135</v>
      </c>
      <c r="J103" s="2891">
        <f>1.2799/J101</f>
        <v>0.86479729729729737</v>
      </c>
      <c r="K103" s="2891">
        <f>1.2799/K101</f>
        <v>0.86479729729729737</v>
      </c>
      <c r="L103" s="2891">
        <f>1.2799/L101</f>
        <v>0.86479729729729737</v>
      </c>
      <c r="M103" s="2891">
        <f>1.2799/M101</f>
        <v>0.86479729729729737</v>
      </c>
      <c r="N103" s="2891">
        <f>1.2799/N101</f>
        <v>0.86479729729729737</v>
      </c>
    </row>
    <row r="104" spans="1:14">
      <c r="A104" s="3274"/>
      <c r="B104" s="2890">
        <v>3</v>
      </c>
      <c r="C104" s="2891">
        <f>1.1594/C101</f>
        <v>0.78337837837837843</v>
      </c>
      <c r="D104" s="2891">
        <f>1.1594/D101</f>
        <v>0.78337837837837843</v>
      </c>
      <c r="E104" s="2891">
        <f>1.0788/E101</f>
        <v>0.72891891891891891</v>
      </c>
      <c r="F104" s="2891">
        <f>1.0788/F101</f>
        <v>0.72891891891891891</v>
      </c>
      <c r="G104" s="2891">
        <f>1.0788/G101</f>
        <v>0.72891891891891891</v>
      </c>
      <c r="H104" s="2891">
        <f>1.0788/H101</f>
        <v>0.72891891891891891</v>
      </c>
      <c r="I104" s="2891">
        <f>1.0788/I101</f>
        <v>0.72891891891891891</v>
      </c>
      <c r="J104" s="2891">
        <f>1.0072/J101</f>
        <v>0.68054054054054058</v>
      </c>
      <c r="K104" s="2891">
        <f>1.0072/K101</f>
        <v>0.68054054054054058</v>
      </c>
      <c r="L104" s="2891">
        <f>1.0072/L101</f>
        <v>0.68054054054054058</v>
      </c>
      <c r="M104" s="2891">
        <f>1.0072/M101</f>
        <v>0.68054054054054058</v>
      </c>
      <c r="N104" s="2891">
        <f>1.0072/N101</f>
        <v>0.68054054054054058</v>
      </c>
    </row>
    <row r="105" spans="1:14">
      <c r="A105" s="3274"/>
      <c r="B105" s="2890">
        <v>4</v>
      </c>
      <c r="C105" s="2891">
        <f>0.9622/C101</f>
        <v>0.65013513513513521</v>
      </c>
      <c r="D105" s="2891">
        <f>0.9622/D101</f>
        <v>0.65013513513513521</v>
      </c>
      <c r="E105" s="2891">
        <f>0.8656/E101</f>
        <v>0.58486486486486489</v>
      </c>
      <c r="F105" s="2891">
        <f>0.8656/F101</f>
        <v>0.58486486486486489</v>
      </c>
      <c r="G105" s="2891">
        <f>0.8656/G101</f>
        <v>0.58486486486486489</v>
      </c>
      <c r="H105" s="2891">
        <f>0.8656/H101</f>
        <v>0.58486486486486489</v>
      </c>
      <c r="I105" s="2891">
        <f>0.8656/I101</f>
        <v>0.58486486486486489</v>
      </c>
      <c r="J105" s="2891">
        <f>0.7525/J101</f>
        <v>0.50844594594594594</v>
      </c>
      <c r="K105" s="2891">
        <f>0.7525/K101</f>
        <v>0.50844594594594594</v>
      </c>
      <c r="L105" s="2891">
        <f>0.7525/L101</f>
        <v>0.50844594594594594</v>
      </c>
      <c r="M105" s="2891">
        <f>0.7525/M101</f>
        <v>0.50844594594594594</v>
      </c>
      <c r="N105" s="2891">
        <f>0.7525/N101</f>
        <v>0.50844594594594594</v>
      </c>
    </row>
    <row r="106" spans="1:14">
      <c r="A106" s="3274"/>
      <c r="B106" s="2890">
        <v>5</v>
      </c>
      <c r="C106" s="2891">
        <f>0.8417/C101</f>
        <v>0.56871621621621626</v>
      </c>
      <c r="D106" s="2891">
        <f>0.8417/D101</f>
        <v>0.56871621621621626</v>
      </c>
      <c r="E106" s="2891">
        <f>0.7371/E101</f>
        <v>0.49804054054054053</v>
      </c>
      <c r="F106" s="2891">
        <f>0.7371/F101</f>
        <v>0.49804054054054053</v>
      </c>
      <c r="G106" s="2891">
        <f>0.7371/G101</f>
        <v>0.49804054054054053</v>
      </c>
      <c r="H106" s="2891">
        <f>0.7371/H101</f>
        <v>0.49804054054054053</v>
      </c>
      <c r="I106" s="2891">
        <f>0.7371/I101</f>
        <v>0.49804054054054053</v>
      </c>
      <c r="J106" s="2891">
        <f>0.5659/J101</f>
        <v>0.38236486486486482</v>
      </c>
      <c r="K106" s="2891">
        <f>0.5659/K101</f>
        <v>0.38236486486486482</v>
      </c>
      <c r="L106" s="2891">
        <f>0.5659/L101</f>
        <v>0.38236486486486482</v>
      </c>
      <c r="M106" s="2891">
        <f>0.5659/M101</f>
        <v>0.38236486486486482</v>
      </c>
      <c r="N106" s="2891">
        <f>0.5659/N101</f>
        <v>0.38236486486486482</v>
      </c>
    </row>
    <row r="107" spans="1:14">
      <c r="A107" s="3274"/>
      <c r="B107" s="2890">
        <v>6</v>
      </c>
      <c r="C107" s="2891">
        <f>0.7608/C101</f>
        <v>0.51405405405405413</v>
      </c>
      <c r="D107" s="2891">
        <f>0.7608/D101</f>
        <v>0.51405405405405413</v>
      </c>
      <c r="E107" s="2891">
        <f>0.6482/E101</f>
        <v>0.437972972972973</v>
      </c>
      <c r="F107" s="2891">
        <f>0.6482/F101</f>
        <v>0.437972972972973</v>
      </c>
      <c r="G107" s="2891">
        <f>0.6482/G101</f>
        <v>0.437972972972973</v>
      </c>
      <c r="H107" s="2891">
        <f>0.6482/H101</f>
        <v>0.437972972972973</v>
      </c>
      <c r="I107" s="2891">
        <f>0.6482/I101</f>
        <v>0.437972972972973</v>
      </c>
      <c r="J107" s="2891">
        <f>0.4525/J101</f>
        <v>0.30574324324324326</v>
      </c>
      <c r="K107" s="2891">
        <f>0.4525/K101</f>
        <v>0.30574324324324326</v>
      </c>
      <c r="L107" s="2891">
        <f>0.4525/L101</f>
        <v>0.30574324324324326</v>
      </c>
      <c r="M107" s="2891">
        <f>0.4525/M101</f>
        <v>0.30574324324324326</v>
      </c>
      <c r="N107" s="2891">
        <f>0.4525/N101</f>
        <v>0.30574324324324326</v>
      </c>
    </row>
    <row r="108" spans="1:14">
      <c r="A108" s="3274"/>
      <c r="B108" s="3228" t="s">
        <v>2973</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275"/>
      <c r="B109" s="3229"/>
      <c r="C109" s="2893">
        <f>(-0.163*(C108^2)-0.59*C108+7617)*(10^(-4))/C101</f>
        <v>0.51466216216216221</v>
      </c>
      <c r="D109" s="2893">
        <f>(-0.163*(D108^2)-0.59*D108+7617)*(10^(-4))/D101</f>
        <v>0.51466216216216221</v>
      </c>
      <c r="E109" s="2893">
        <f>(-0.161*(E108^2)-7.509*E108+6533)*(10^(-4))/E101</f>
        <v>0.44141891891891893</v>
      </c>
      <c r="F109" s="2893">
        <f>(-0.161*(F108^2)-7.509*F108+6533)*(10^(-4))/F101</f>
        <v>0.44141891891891893</v>
      </c>
      <c r="G109" s="2893">
        <f>(-0.161*(G108^2)-7.509*G108+6533)*(10^(-4))/G101</f>
        <v>0.44141891891891893</v>
      </c>
      <c r="H109" s="2893">
        <f>(-0.161*(H108^2)-7.509*H108+6533)*(10^(-4))/H101</f>
        <v>0.44141891891891893</v>
      </c>
      <c r="I109" s="2893">
        <f>(-0.161*(I108^2)-7.509*I108+6533)*(10^(-4))/I101</f>
        <v>0.44141891891891893</v>
      </c>
      <c r="J109" s="2893">
        <f>(-0.214*(J108^2)-21.991*J108+4665)*(10^(-4))/J101</f>
        <v>0.31520270270270273</v>
      </c>
      <c r="K109" s="2893">
        <f>(-0.214*(K108^2)-21.991*K108+4665)*(10^(-4))/K101</f>
        <v>0.31520270270270273</v>
      </c>
      <c r="L109" s="2893">
        <f>(-0.214*(L108^2)-21.991*L108+4665)*(10^(-4))/L101</f>
        <v>0.31520270270270273</v>
      </c>
      <c r="M109" s="2893">
        <f>(-0.214*(M108^2)-21.991*M108+4665)*(10^(-4))/M101</f>
        <v>0.31520270270270273</v>
      </c>
      <c r="N109" s="2893">
        <f>(-0.214*(N108^2)-21.991*N108+4665)*(10^(-4))/N101</f>
        <v>0.31520270270270273</v>
      </c>
    </row>
    <row r="110" spans="1:14">
      <c r="A110" s="3271" t="s">
        <v>2974</v>
      </c>
      <c r="B110" s="3271"/>
      <c r="C110" s="3271"/>
      <c r="D110" s="3271"/>
      <c r="E110" s="3271"/>
      <c r="F110" s="3271"/>
      <c r="G110" s="3271"/>
      <c r="H110" s="3271"/>
      <c r="I110" s="3271"/>
      <c r="J110" s="3271"/>
      <c r="K110" s="2896"/>
      <c r="L110" s="2896"/>
      <c r="M110" s="2896"/>
      <c r="N110" s="2896"/>
    </row>
    <row r="112" spans="1:14" ht="13.5" thickBot="1"/>
    <row r="113" spans="1:13" ht="25.5" thickBot="1">
      <c r="A113" s="903" t="s">
        <v>2975</v>
      </c>
      <c r="B113" s="1287">
        <f>G3</f>
        <v>1.48</v>
      </c>
      <c r="C113" s="904" t="s">
        <v>2976</v>
      </c>
      <c r="D113" s="905">
        <f>SUMPRODUCT((A115:A118=F113)*(B114:M114=H113)*B115:M118)</f>
        <v>0.6865</v>
      </c>
      <c r="E113" s="2727" t="s">
        <v>2810</v>
      </c>
      <c r="F113" s="2898" t="str">
        <f>E2</f>
        <v>工业</v>
      </c>
      <c r="G113" s="2727" t="s">
        <v>2811</v>
      </c>
      <c r="H113" s="2898" t="str">
        <f>G2</f>
        <v>三级</v>
      </c>
      <c r="I113" s="2727"/>
      <c r="J113" s="2899"/>
      <c r="K113" s="2899"/>
      <c r="L113" s="2899"/>
      <c r="M113" s="2899"/>
    </row>
    <row r="114" spans="1:13">
      <c r="A114" s="908"/>
      <c r="B114" s="2900" t="s">
        <v>2977</v>
      </c>
      <c r="C114" s="2900" t="s">
        <v>2978</v>
      </c>
      <c r="D114" s="2900" t="s">
        <v>2979</v>
      </c>
      <c r="E114" s="2901" t="s">
        <v>2980</v>
      </c>
      <c r="F114" s="2901" t="s">
        <v>2981</v>
      </c>
      <c r="G114" s="2901" t="s">
        <v>2982</v>
      </c>
      <c r="H114" s="2902" t="s">
        <v>2983</v>
      </c>
      <c r="I114" s="2902" t="s">
        <v>2984</v>
      </c>
      <c r="J114" s="2903" t="s">
        <v>2985</v>
      </c>
      <c r="K114" s="2903" t="s">
        <v>2986</v>
      </c>
      <c r="L114" s="2903" t="s">
        <v>2987</v>
      </c>
      <c r="M114" s="2904" t="s">
        <v>2988</v>
      </c>
    </row>
    <row r="115" spans="1:13">
      <c r="A115" s="909" t="s">
        <v>2874</v>
      </c>
      <c r="B115" s="910">
        <f>ROUND(0.9335-0.0094*B113,4)</f>
        <v>0.91959999999999997</v>
      </c>
      <c r="C115" s="910">
        <f>B115</f>
        <v>0.91959999999999997</v>
      </c>
      <c r="D115" s="910">
        <f>ROUND(0.8331-0.0109*B113,4)</f>
        <v>0.81699999999999995</v>
      </c>
      <c r="E115" s="910">
        <f>D115</f>
        <v>0.81699999999999995</v>
      </c>
      <c r="F115" s="910">
        <f>E115</f>
        <v>0.81699999999999995</v>
      </c>
      <c r="G115" s="910">
        <f>F115</f>
        <v>0.81699999999999995</v>
      </c>
      <c r="H115" s="910">
        <f>G115</f>
        <v>0.81699999999999995</v>
      </c>
      <c r="I115" s="910">
        <f>ROUND(0.689-0.0155*B113,4)</f>
        <v>0.66610000000000003</v>
      </c>
      <c r="J115" s="910">
        <f t="shared" ref="J115:M118" si="34">I115</f>
        <v>0.66610000000000003</v>
      </c>
      <c r="K115" s="910">
        <f t="shared" si="34"/>
        <v>0.66610000000000003</v>
      </c>
      <c r="L115" s="910">
        <f t="shared" si="34"/>
        <v>0.66610000000000003</v>
      </c>
      <c r="M115" s="911">
        <f t="shared" si="34"/>
        <v>0.66610000000000003</v>
      </c>
    </row>
    <row r="116" spans="1:13">
      <c r="A116" s="909" t="s">
        <v>2875</v>
      </c>
      <c r="B116" s="910">
        <f>ROUND(0.949-0.012*B113,4)</f>
        <v>0.93120000000000003</v>
      </c>
      <c r="C116" s="910">
        <f>B116</f>
        <v>0.93120000000000003</v>
      </c>
      <c r="D116" s="910">
        <f>ROUND(0.8567-0.013*B113,4)</f>
        <v>0.83750000000000002</v>
      </c>
      <c r="E116" s="910">
        <f t="shared" ref="E116:H117" si="35">D116</f>
        <v>0.83750000000000002</v>
      </c>
      <c r="F116" s="910">
        <f t="shared" si="35"/>
        <v>0.83750000000000002</v>
      </c>
      <c r="G116" s="910">
        <f t="shared" si="35"/>
        <v>0.83750000000000002</v>
      </c>
      <c r="H116" s="910">
        <f t="shared" si="35"/>
        <v>0.83750000000000002</v>
      </c>
      <c r="I116" s="910">
        <f>ROUND(0.7694-0.014*B113,4)</f>
        <v>0.74870000000000003</v>
      </c>
      <c r="J116" s="910">
        <f t="shared" si="34"/>
        <v>0.74870000000000003</v>
      </c>
      <c r="K116" s="910">
        <f t="shared" si="34"/>
        <v>0.74870000000000003</v>
      </c>
      <c r="L116" s="910">
        <f t="shared" si="34"/>
        <v>0.74870000000000003</v>
      </c>
      <c r="M116" s="911">
        <f t="shared" si="34"/>
        <v>0.74870000000000003</v>
      </c>
    </row>
    <row r="117" spans="1:13">
      <c r="A117" s="909" t="s">
        <v>2876</v>
      </c>
      <c r="B117" s="910">
        <f>ROUND(0.8808-0.006*B113,4)</f>
        <v>0.87190000000000001</v>
      </c>
      <c r="C117" s="910">
        <f>B117</f>
        <v>0.87190000000000001</v>
      </c>
      <c r="D117" s="910">
        <f>ROUND(0.8748-0.008*B113,4)</f>
        <v>0.86299999999999999</v>
      </c>
      <c r="E117" s="910">
        <f t="shared" si="35"/>
        <v>0.86299999999999999</v>
      </c>
      <c r="F117" s="910">
        <f t="shared" si="35"/>
        <v>0.86299999999999999</v>
      </c>
      <c r="G117" s="910">
        <f t="shared" si="35"/>
        <v>0.86299999999999999</v>
      </c>
      <c r="H117" s="910">
        <f t="shared" si="35"/>
        <v>0.86299999999999999</v>
      </c>
      <c r="I117" s="910">
        <f>ROUND(0.7412-0.0095*B113,4)</f>
        <v>0.72709999999999997</v>
      </c>
      <c r="J117" s="910">
        <f t="shared" si="34"/>
        <v>0.72709999999999997</v>
      </c>
      <c r="K117" s="910">
        <f t="shared" si="34"/>
        <v>0.72709999999999997</v>
      </c>
      <c r="L117" s="910">
        <f t="shared" si="34"/>
        <v>0.72709999999999997</v>
      </c>
      <c r="M117" s="911">
        <f t="shared" si="34"/>
        <v>0.72709999999999997</v>
      </c>
    </row>
    <row r="118" spans="1:13" ht="13.5" thickBot="1">
      <c r="A118" s="714" t="s">
        <v>2877</v>
      </c>
      <c r="B118" s="912">
        <f>ROUND(0.7275-0.01*B113,4)</f>
        <v>0.7127</v>
      </c>
      <c r="C118" s="912">
        <f>B118</f>
        <v>0.7127</v>
      </c>
      <c r="D118" s="912">
        <f>ROUND(0.7043-0.012*B113,4)</f>
        <v>0.6865</v>
      </c>
      <c r="E118" s="912">
        <f>D118</f>
        <v>0.6865</v>
      </c>
      <c r="F118" s="912">
        <f>E118</f>
        <v>0.6865</v>
      </c>
      <c r="G118" s="912">
        <f>ROUND(0.6299-0.0122*B113,4)</f>
        <v>0.61180000000000001</v>
      </c>
      <c r="H118" s="912">
        <f>G118</f>
        <v>0.61180000000000001</v>
      </c>
      <c r="I118" s="912">
        <f>ROUND(0.5667-0.0136*B113,4)</f>
        <v>0.54659999999999997</v>
      </c>
      <c r="J118" s="912">
        <f t="shared" si="34"/>
        <v>0.54659999999999997</v>
      </c>
      <c r="K118" s="912">
        <f t="shared" si="34"/>
        <v>0.54659999999999997</v>
      </c>
      <c r="L118" s="912">
        <f t="shared" si="34"/>
        <v>0.54659999999999997</v>
      </c>
      <c r="M118" s="913">
        <f t="shared" si="34"/>
        <v>0.54659999999999997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2"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t="s">
        <v>70</v>
      </c>
      <c r="E1" s="1821" t="s">
        <v>1383</v>
      </c>
      <c r="F1" s="1283">
        <f ca="1">J53</f>
        <v>27.89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97392</v>
      </c>
      <c r="C2" s="1845" t="s">
        <v>1511</v>
      </c>
      <c r="D2" s="1845"/>
      <c r="E2" s="1846"/>
      <c r="F2" s="1847"/>
      <c r="G2" s="1848"/>
      <c r="H2" s="1840"/>
      <c r="I2" s="1840"/>
      <c r="J2" s="1840"/>
      <c r="K2" s="1841"/>
      <c r="L2" s="1840"/>
      <c r="M2" s="1840"/>
    </row>
    <row r="3" spans="1:37" ht="18" customHeight="1" thickBot="1">
      <c r="A3" s="1849" t="s">
        <v>1512</v>
      </c>
      <c r="B3" s="1850">
        <f ca="1">IF(ISERROR(B2*10000/F43),0,ROUND(B2*10000/F43,0))</f>
        <v>35803</v>
      </c>
      <c r="C3" s="1845" t="s">
        <v>1513</v>
      </c>
      <c r="D3" s="1845"/>
      <c r="E3" s="1846"/>
      <c r="F3" s="1847"/>
      <c r="G3" s="1848"/>
      <c r="H3" s="744" t="s">
        <v>1583</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7747</v>
      </c>
      <c r="D5" s="1822" t="s">
        <v>1398</v>
      </c>
      <c r="E5" s="1293"/>
      <c r="F5" s="1294"/>
      <c r="G5" s="1851"/>
      <c r="H5" s="344">
        <v>1</v>
      </c>
      <c r="I5" s="345" t="s">
        <v>1397</v>
      </c>
      <c r="J5" s="1292">
        <f ca="1">J6+J10+J12</f>
        <v>0</v>
      </c>
      <c r="K5" s="1822" t="s">
        <v>1398</v>
      </c>
      <c r="L5" s="1293"/>
      <c r="M5" s="1294"/>
    </row>
    <row r="6" spans="1:37" ht="18" customHeight="1">
      <c r="A6" s="1291" t="s">
        <v>1032</v>
      </c>
      <c r="B6" s="3283" t="s">
        <v>1399</v>
      </c>
      <c r="C6" s="1296">
        <f ca="1">ROUND(F6*F8*F7*(1-F9)/10000,0)</f>
        <v>7747</v>
      </c>
      <c r="D6" s="164" t="s">
        <v>3026</v>
      </c>
      <c r="E6" s="347" t="s">
        <v>1401</v>
      </c>
      <c r="F6" s="348">
        <f ca="1">INDIRECT("'数据-取费表'!u"&amp;$G$1)</f>
        <v>8.67</v>
      </c>
      <c r="G6" s="1851"/>
      <c r="H6" s="1291" t="s">
        <v>1032</v>
      </c>
      <c r="I6" s="3283" t="s">
        <v>1399</v>
      </c>
      <c r="J6" s="346">
        <f ca="1">ROUND(M6*M8*M7*(1-M9)/10000,0)</f>
        <v>0</v>
      </c>
      <c r="K6" s="164" t="s">
        <v>3025</v>
      </c>
      <c r="L6" s="347" t="s">
        <v>1401</v>
      </c>
      <c r="M6" s="348">
        <f ca="1">INDIRECT("'数据-取费表'!z"&amp;$G$1)</f>
        <v>0</v>
      </c>
    </row>
    <row r="7" spans="1:37" ht="18" customHeight="1">
      <c r="A7" s="1295"/>
      <c r="B7" s="3284"/>
      <c r="C7" s="1297"/>
      <c r="D7" s="352"/>
      <c r="E7" s="1298" t="s">
        <v>1402</v>
      </c>
      <c r="F7" s="348">
        <f ca="1">IF(INDIRECT("'数据-取费表'!ah"&amp;$G$1)="",INDIRECT("'数据-取费表'!k"&amp;$G$1),INDIRECT("'数据-取费表'!ah"&amp;$G$1))</f>
        <v>27202.3</v>
      </c>
      <c r="G7" s="1851"/>
      <c r="H7" s="349"/>
      <c r="I7" s="3284"/>
      <c r="J7" s="351"/>
      <c r="K7" s="352"/>
      <c r="L7" s="347" t="s">
        <v>1402</v>
      </c>
      <c r="M7" s="348">
        <f ca="1">F7</f>
        <v>27202.3</v>
      </c>
    </row>
    <row r="8" spans="1:37" ht="18" customHeight="1">
      <c r="A8" s="349"/>
      <c r="B8" s="3284"/>
      <c r="C8" s="351"/>
      <c r="D8" s="352"/>
      <c r="E8" s="347" t="s">
        <v>1403</v>
      </c>
      <c r="F8" s="348">
        <f ca="1">INDIRECT("'数据-取费表'!ai"&amp;$G$1)</f>
        <v>365</v>
      </c>
      <c r="G8" s="1851"/>
      <c r="H8" s="349"/>
      <c r="I8" s="3284"/>
      <c r="J8" s="351"/>
      <c r="K8" s="352"/>
      <c r="L8" s="347" t="s">
        <v>1403</v>
      </c>
      <c r="M8" s="348">
        <f ca="1">INDIRECT("'数据-取费表'!ai"&amp;$G$1)</f>
        <v>365</v>
      </c>
    </row>
    <row r="9" spans="1:37" ht="18" customHeight="1">
      <c r="A9" s="349"/>
      <c r="B9" s="3285"/>
      <c r="C9" s="351"/>
      <c r="D9" s="352"/>
      <c r="E9" s="347" t="s">
        <v>1404</v>
      </c>
      <c r="F9" s="357">
        <f ca="1">INDIRECT("'数据-取费表'!w"&amp;$G$1)</f>
        <v>0.1</v>
      </c>
      <c r="G9" s="1851"/>
      <c r="H9" s="349"/>
      <c r="I9" s="3285"/>
      <c r="J9" s="351"/>
      <c r="K9" s="352"/>
      <c r="L9" s="358" t="s">
        <v>1404</v>
      </c>
      <c r="M9" s="359">
        <f ca="1">INDIRECT("'数据-取费表'!ab"&amp;$G$1)</f>
        <v>0</v>
      </c>
    </row>
    <row r="10" spans="1:37" ht="18" hidden="1" customHeight="1">
      <c r="A10" s="1291" t="s">
        <v>1036</v>
      </c>
      <c r="B10" s="1823" t="s">
        <v>1405</v>
      </c>
      <c r="C10" s="361">
        <f ca="1">ROUND(IF(F10="押一",C6/12*F11,IF(F10="押二",C6/12*2*F11,IF(F10="押三",C6/12*3*F11,C11*F11))),0)</f>
        <v>0</v>
      </c>
      <c r="D10" s="1824" t="s">
        <v>3035</v>
      </c>
      <c r="E10" s="358" t="s">
        <v>1406</v>
      </c>
      <c r="F10" s="1366" t="s">
        <v>3051</v>
      </c>
      <c r="G10" s="1851"/>
      <c r="H10" s="1291" t="s">
        <v>1036</v>
      </c>
      <c r="I10" s="1823" t="s">
        <v>1405</v>
      </c>
      <c r="J10" s="346">
        <f ca="1">ROUND(IF(M10="押一",J6/12*M11,IF(M10="押二",J6/12*2*M11,IF(M10="押三",J6/12*3*M11,J11*M11))),0)</f>
        <v>0</v>
      </c>
      <c r="K10" s="1824" t="s">
        <v>3034</v>
      </c>
      <c r="L10" s="358" t="s">
        <v>1406</v>
      </c>
      <c r="M10" s="1366" t="s">
        <v>3051</v>
      </c>
    </row>
    <row r="11" spans="1:37" ht="18" hidden="1" customHeight="1">
      <c r="A11" s="353"/>
      <c r="B11" s="1825" t="s">
        <v>1384</v>
      </c>
      <c r="C11" s="1178"/>
      <c r="D11" s="1826"/>
      <c r="E11" s="358" t="s">
        <v>1407</v>
      </c>
      <c r="F11" s="359">
        <f ca="1">'数据-取费表'!B39</f>
        <v>1.4999999999999999E-2</v>
      </c>
      <c r="G11" s="1851"/>
      <c r="H11" s="1299"/>
      <c r="I11" s="1825" t="s">
        <v>1384</v>
      </c>
      <c r="J11" s="1178"/>
      <c r="K11" s="748"/>
      <c r="L11" s="358" t="s">
        <v>1407</v>
      </c>
      <c r="M11" s="1056">
        <f ca="1">'数据-取费表'!B39</f>
        <v>1.4999999999999999E-2</v>
      </c>
    </row>
    <row r="12" spans="1:37" ht="18" hidden="1"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c r="A13" s="1329">
        <v>2</v>
      </c>
      <c r="B13" s="1330" t="s">
        <v>1409</v>
      </c>
      <c r="C13" s="355">
        <f ca="1">ROUND(C29*F13,0)</f>
        <v>8047</v>
      </c>
      <c r="D13" s="1331" t="s">
        <v>1410</v>
      </c>
      <c r="E13" s="1331" t="s">
        <v>1411</v>
      </c>
      <c r="F13" s="1332">
        <f ca="1">INDIRECT("'数据-取费表'!y"&amp;$G$1)</f>
        <v>0.7</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6801</v>
      </c>
      <c r="D14" s="1800" t="s">
        <v>1413</v>
      </c>
      <c r="E14" s="1794"/>
      <c r="F14" s="364"/>
      <c r="G14" s="1851"/>
      <c r="H14" s="1201" t="s">
        <v>1032</v>
      </c>
      <c r="I14" s="347" t="s">
        <v>1414</v>
      </c>
      <c r="J14" s="24">
        <f ca="1">C29</f>
        <v>11495</v>
      </c>
      <c r="K14" s="15"/>
      <c r="L14" s="979"/>
      <c r="M14" s="980"/>
    </row>
    <row r="15" spans="1:37" s="1858" customFormat="1" ht="18" customHeight="1" thickBot="1">
      <c r="A15" s="1201" t="s">
        <v>1033</v>
      </c>
      <c r="B15" s="347" t="s">
        <v>1415</v>
      </c>
      <c r="C15" s="24">
        <f ca="1">ROUND(C14*F15,0)</f>
        <v>204</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332</v>
      </c>
      <c r="K16" s="1337" t="s">
        <v>1420</v>
      </c>
      <c r="L16" s="1338"/>
      <c r="M16" s="1294"/>
    </row>
    <row r="17" spans="1:37" s="1858" customFormat="1" ht="18" customHeight="1">
      <c r="A17" s="1201" t="s">
        <v>1386</v>
      </c>
      <c r="B17" s="347" t="s">
        <v>1421</v>
      </c>
      <c r="C17" s="24">
        <f ca="1">ROUND(F17*(F43+INDIRECT("'数据-取费表'!S"&amp;$G$1))/10000,0)</f>
        <v>544</v>
      </c>
      <c r="D17" s="347" t="s">
        <v>1422</v>
      </c>
      <c r="E17" s="347" t="s">
        <v>1423</v>
      </c>
      <c r="F17" s="26">
        <f>'数据-取费表'!B35</f>
        <v>200</v>
      </c>
      <c r="G17" s="1854"/>
      <c r="H17" s="1201" t="s">
        <v>1032</v>
      </c>
      <c r="I17" s="347" t="s">
        <v>1424</v>
      </c>
      <c r="J17" s="24">
        <f ca="1">ROUND(IF(项目基本情况!B11="自然人",J5*M17,J18+J19+J20),1)</f>
        <v>44.3</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1427</v>
      </c>
      <c r="C18" s="24">
        <f ca="1">ROUND(C14*F18,0)</f>
        <v>102</v>
      </c>
      <c r="D18" s="347" t="s">
        <v>1416</v>
      </c>
      <c r="E18" s="347" t="s">
        <v>1417</v>
      </c>
      <c r="F18" s="367">
        <f>'数据-取费表'!B36</f>
        <v>1.4999999999999999E-2</v>
      </c>
      <c r="G18" s="1854"/>
      <c r="H18" s="1201" t="s">
        <v>1031</v>
      </c>
      <c r="I18" s="347" t="s">
        <v>1428</v>
      </c>
      <c r="J18" s="24">
        <f ca="1">ROUND(J5*M18/(1+'数据-取费表'!C42),2)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7651</v>
      </c>
      <c r="D19" s="140" t="s">
        <v>1431</v>
      </c>
      <c r="E19" s="1818"/>
      <c r="F19" s="26"/>
      <c r="G19" s="1851"/>
      <c r="H19" s="1201" t="s">
        <v>1033</v>
      </c>
      <c r="I19" s="347" t="s">
        <v>1432</v>
      </c>
      <c r="J19" s="24">
        <f ca="1">IF(K19="按租金收入计税",ROUND(J5*M19,2),ROUND(C29*M19*0.7,2))</f>
        <v>0</v>
      </c>
      <c r="K19" s="1828" t="s">
        <v>3050</v>
      </c>
      <c r="L19" s="347" t="s">
        <v>1417</v>
      </c>
      <c r="M19" s="367">
        <f>IF(K19="按租金收入计税",'数据-取费表'!B51,'数据-取费表'!B50)</f>
        <v>0.12</v>
      </c>
    </row>
    <row r="20" spans="1:37" s="1858" customFormat="1" ht="18" customHeight="1">
      <c r="A20" s="1201" t="s">
        <v>1036</v>
      </c>
      <c r="B20" s="347" t="s">
        <v>1434</v>
      </c>
      <c r="C20" s="24">
        <f ca="1">ROUND(C19*F20,0)</f>
        <v>153</v>
      </c>
      <c r="D20" s="369" t="s">
        <v>1435</v>
      </c>
      <c r="E20" s="347" t="s">
        <v>1417</v>
      </c>
      <c r="F20" s="367">
        <f>'数据-取费表'!B37</f>
        <v>0.02</v>
      </c>
      <c r="G20" s="1854"/>
      <c r="H20" s="1201" t="s">
        <v>1385</v>
      </c>
      <c r="I20" s="164" t="s">
        <v>1436</v>
      </c>
      <c r="J20" s="25">
        <f ca="1">ROUND(M20*M21/10000,2)</f>
        <v>44.29</v>
      </c>
      <c r="K20" s="370" t="s">
        <v>1437</v>
      </c>
      <c r="L20" s="347" t="s">
        <v>1438</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0.03</v>
      </c>
      <c r="G21" s="1854"/>
      <c r="H21" s="372"/>
      <c r="I21" s="356"/>
      <c r="J21" s="29"/>
      <c r="K21" s="373"/>
      <c r="L21" s="347" t="s">
        <v>1442</v>
      </c>
      <c r="M21" s="348">
        <f ca="1">INDIRECT("'数据-取费表'!r"&amp;$G$1)</f>
        <v>18455.759999999998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287.39999999999998</v>
      </c>
      <c r="K22" s="1798" t="s">
        <v>1445</v>
      </c>
      <c r="L22" s="347" t="s">
        <v>1417</v>
      </c>
      <c r="M22" s="374">
        <f ca="1">INDIRECT("'数据-取费表'!Ak"&amp;$G$1)</f>
        <v>2.5000000000000001E-2</v>
      </c>
    </row>
    <row r="23" spans="1:37" s="1858" customFormat="1" ht="18" customHeight="1">
      <c r="A23" s="1201" t="s">
        <v>1031</v>
      </c>
      <c r="B23" s="347" t="s">
        <v>1446</v>
      </c>
      <c r="C23" s="24">
        <f ca="1">IF('数据-取费表'!B22&lt;=1,ROUND(C19*F24*F23/2,0)+ROUND(C20*F24*F23/2,0),ROUND(C19*(POWER((1+F24),F23/2)-1),0)+ROUND(C20*(POWER((1+F24),F23/2)-1),0))</f>
        <v>276</v>
      </c>
      <c r="D23" s="375" t="str">
        <f>IF(F23&lt;=1,"(建造成本+管理费用)×利率×(建设周期÷2)","(建造成本+管理费用)×((1+利率)^(建设周期÷2)-1)")</f>
        <v>(建造成本+管理费用)×((1+利率)^(建设周期÷2)-1)</v>
      </c>
      <c r="E23" s="347" t="s">
        <v>1447</v>
      </c>
      <c r="F23" s="371">
        <f>'数据-取费表'!B20</f>
        <v>1.5</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1.1000000000000001E-3</v>
      </c>
      <c r="D24" s="375" t="str">
        <f>IF(F23&lt;=1,"销售费用×利率×(建设周期÷2)","销售费用×((1+利率)^(建设周期÷2)-1)")</f>
        <v>销售费用×((1+利率)^(建设周期÷2)-1)</v>
      </c>
      <c r="E24" s="347" t="s">
        <v>1453</v>
      </c>
      <c r="F24" s="377">
        <f ca="1">'数据-取费表'!B40</f>
        <v>4.7500000000000001E-2</v>
      </c>
      <c r="G24" s="1854"/>
      <c r="H24" s="1339" t="s">
        <v>1389</v>
      </c>
      <c r="I24" s="1340" t="s">
        <v>1434</v>
      </c>
      <c r="J24" s="1341">
        <f ca="1">ROUND(J5*M24,1)</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-332</v>
      </c>
      <c r="K25" s="1345" t="s">
        <v>1459</v>
      </c>
      <c r="L25" s="1346"/>
      <c r="M25" s="1347"/>
    </row>
    <row r="26" spans="1:37">
      <c r="A26" s="1201" t="s">
        <v>1031</v>
      </c>
      <c r="B26" s="347" t="s">
        <v>1460</v>
      </c>
      <c r="C26" s="24">
        <f ca="1">ROUND((C19+C20)*F26,0)</f>
        <v>2341</v>
      </c>
      <c r="D26" s="369" t="s">
        <v>1461</v>
      </c>
      <c r="E26" s="358" t="s">
        <v>1462</v>
      </c>
      <c r="F26" s="357">
        <f ca="1">INDIRECT("'数据-取费表'!q"&amp;$G$1)</f>
        <v>0.3</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8.9999999999999993E-3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11495</v>
      </c>
      <c r="D29" s="1342"/>
      <c r="E29" s="1340"/>
      <c r="F29" s="1343"/>
      <c r="G29" s="1854"/>
      <c r="H29" s="380" t="s">
        <v>1030</v>
      </c>
      <c r="I29" s="381" t="s">
        <v>1474</v>
      </c>
      <c r="J29" s="382">
        <f ca="1">ROUND(J26/(1+F40)^F41,0)</f>
        <v>0</v>
      </c>
      <c r="K29" s="383" t="s">
        <v>1475</v>
      </c>
      <c r="L29" s="384"/>
      <c r="M29" s="385">
        <f ca="1">INDIRECT("'数据-取费表'!k"&amp;$G$1)</f>
        <v>27202.3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1842</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ROUND(IF(项目基本情况!B11="自然人",C5*F31,C32+C33+C34),1)</f>
        <v>1387.1</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IF(项目基本情况!B11="自然人","——",ROUND(C5*F32/(1+'数据-取费表'!C42),2))</f>
        <v>413.17</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929.64</v>
      </c>
      <c r="D33" s="1828" t="s">
        <v>3050</v>
      </c>
      <c r="E33" s="347" t="s">
        <v>1417</v>
      </c>
      <c r="F33" s="367">
        <f>IF(D33="按票据","——",IF(D33="按租金收入计税",'数据-取费表'!B51,'数据-取费表'!B50))</f>
        <v>0.12</v>
      </c>
      <c r="G33" s="1851"/>
      <c r="H33" s="1859"/>
      <c r="I33" s="1860"/>
      <c r="J33" s="1861"/>
      <c r="K33" s="1862"/>
      <c r="L33" s="1859"/>
      <c r="M33" s="1859"/>
    </row>
    <row r="34" spans="1:18" ht="18" customHeight="1">
      <c r="A34" s="1291" t="s">
        <v>1385</v>
      </c>
      <c r="B34" s="164" t="s">
        <v>1436</v>
      </c>
      <c r="C34" s="25">
        <f ca="1">IF(项目基本情况!B11="自然人","——",ROUND(F34*F35/10000,2))</f>
        <v>44.29</v>
      </c>
      <c r="D34" s="370" t="s">
        <v>1437</v>
      </c>
      <c r="E34" s="347" t="s">
        <v>1438</v>
      </c>
      <c r="F34" s="371">
        <f>'数据-取费表'!B52</f>
        <v>24</v>
      </c>
      <c r="G34" s="1851"/>
      <c r="H34" s="745"/>
      <c r="I34" s="1860"/>
      <c r="J34" s="1861"/>
      <c r="K34" s="1863"/>
      <c r="L34" s="1864"/>
      <c r="M34" s="1864"/>
    </row>
    <row r="35" spans="1:18" ht="18" customHeight="1">
      <c r="A35" s="1353"/>
      <c r="B35" s="1351"/>
      <c r="C35" s="29"/>
      <c r="D35" s="373"/>
      <c r="E35" s="347" t="s">
        <v>1442</v>
      </c>
      <c r="F35" s="348">
        <f ca="1">INDIRECT("'数据-取费表'!r"&amp;$G$1)</f>
        <v>18455.759999999998</v>
      </c>
      <c r="G35" s="1851"/>
      <c r="H35" s="745"/>
      <c r="I35" s="1860"/>
      <c r="J35" s="1861"/>
      <c r="K35" s="1862"/>
      <c r="L35" s="1859"/>
      <c r="M35" s="1859"/>
    </row>
    <row r="36" spans="1:18" ht="18" customHeight="1">
      <c r="A36" s="1352" t="s">
        <v>1036</v>
      </c>
      <c r="B36" s="347" t="s">
        <v>1444</v>
      </c>
      <c r="C36" s="24">
        <f ca="1">ROUND(C29*F36,1)</f>
        <v>287.39999999999998</v>
      </c>
      <c r="D36" s="1798" t="s">
        <v>1477</v>
      </c>
      <c r="E36" s="347" t="s">
        <v>1417</v>
      </c>
      <c r="F36" s="374">
        <f ca="1">INDIRECT("'数据-取费表'!Ak"&amp;$G$1)</f>
        <v>2.5000000000000001E-2</v>
      </c>
      <c r="G36" s="1851"/>
      <c r="H36" s="1859"/>
      <c r="I36" s="1860"/>
      <c r="J36" s="1861"/>
      <c r="K36" s="751"/>
      <c r="L36" s="1859"/>
      <c r="M36" s="1859"/>
    </row>
    <row r="37" spans="1:18" ht="18" customHeight="1">
      <c r="A37" s="1201" t="s">
        <v>1072</v>
      </c>
      <c r="B37" s="347" t="s">
        <v>1448</v>
      </c>
      <c r="C37" s="24">
        <f ca="1">ROUND(C13*F37,1)</f>
        <v>12.1</v>
      </c>
      <c r="D37" s="1798" t="s">
        <v>1449</v>
      </c>
      <c r="E37" s="347" t="s">
        <v>1450</v>
      </c>
      <c r="F37" s="376">
        <f ca="1">INDIRECT("'数据-取费表'!Al"&amp;$G$1)</f>
        <v>1.5E-3</v>
      </c>
      <c r="G37" s="1851"/>
      <c r="H37" s="1859"/>
      <c r="I37" s="1860"/>
      <c r="J37" s="1861"/>
      <c r="K37" s="751"/>
      <c r="L37" s="1859"/>
      <c r="M37" s="1859"/>
    </row>
    <row r="38" spans="1:18" ht="18" customHeight="1" thickBot="1">
      <c r="A38" s="1339" t="s">
        <v>1389</v>
      </c>
      <c r="B38" s="1340" t="s">
        <v>1434</v>
      </c>
      <c r="C38" s="1341">
        <f ca="1">ROUND(C5*F38,1)</f>
        <v>154.9</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5905</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97392</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27.89</v>
      </c>
      <c r="G41" s="1851"/>
      <c r="H41" s="732"/>
      <c r="I41" s="1860"/>
      <c r="J41" s="1861"/>
      <c r="K41" s="751"/>
      <c r="L41" s="732"/>
      <c r="M41" s="732"/>
    </row>
    <row r="42" spans="1:18" ht="18" customHeight="1">
      <c r="A42" s="353"/>
      <c r="B42" s="354"/>
      <c r="C42" s="355"/>
      <c r="D42" s="373"/>
      <c r="E42" s="347" t="s">
        <v>1472</v>
      </c>
      <c r="F42" s="357">
        <f ca="1">INDIRECT("'数据-取费表'!v"&amp;$G$1)</f>
        <v>1.4999999999999999E-2</v>
      </c>
      <c r="G42" s="1851"/>
      <c r="H42" s="732"/>
      <c r="I42" s="1860"/>
      <c r="J42" s="1861"/>
      <c r="K42" s="751"/>
      <c r="L42" s="732"/>
      <c r="M42" s="732"/>
    </row>
    <row r="43" spans="1:18" ht="18" customHeight="1" thickBot="1">
      <c r="A43" s="380" t="s">
        <v>1030</v>
      </c>
      <c r="B43" s="381" t="s">
        <v>1482</v>
      </c>
      <c r="C43" s="382">
        <f ca="1">ROUND(C40*10000/F43,0)</f>
        <v>35803</v>
      </c>
      <c r="D43" s="383" t="s">
        <v>1483</v>
      </c>
      <c r="E43" s="384" t="s">
        <v>1484</v>
      </c>
      <c r="F43" s="385">
        <f ca="1">INDIRECT("'数据-取费表'!k"&amp;$G$1)</f>
        <v>27202.3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-115846</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1392</v>
      </c>
      <c r="B47" s="1197" t="s">
        <v>1393</v>
      </c>
      <c r="C47" s="1367" t="s">
        <v>1394</v>
      </c>
      <c r="D47" s="1197" t="s">
        <v>1395</v>
      </c>
      <c r="E47" s="1279" t="s">
        <v>1396</v>
      </c>
      <c r="F47" s="1280"/>
      <c r="G47" s="792"/>
      <c r="I47" s="1880" t="s">
        <v>1521</v>
      </c>
      <c r="J47" s="1881" t="s">
        <v>3182</v>
      </c>
      <c r="K47" s="1882" t="s">
        <v>1522</v>
      </c>
      <c r="L47" s="1883">
        <f ca="1">INDIRECT("'数据-取费表'!d"&amp;$G$1)</f>
        <v>50</v>
      </c>
      <c r="M47" s="1838" t="str">
        <f>IF(ISNUMBER(FIND("住宅",C1)),"住宅","非住宅")</f>
        <v>非住宅</v>
      </c>
      <c r="O47" s="1884" t="s">
        <v>1037</v>
      </c>
      <c r="P47" s="1885" t="s">
        <v>1523</v>
      </c>
      <c r="Q47" s="1886">
        <f ca="1">C40+J29</f>
        <v>97392</v>
      </c>
      <c r="R47" s="1886" t="s">
        <v>1524</v>
      </c>
    </row>
    <row r="48" spans="1:18" s="1842" customFormat="1" ht="28.5" thickBot="1">
      <c r="A48" s="1360" t="s">
        <v>1132</v>
      </c>
      <c r="B48" s="345" t="s">
        <v>1397</v>
      </c>
      <c r="C48" s="1817">
        <f ca="1">C49+C53+C55</f>
        <v>0</v>
      </c>
      <c r="D48" s="1362"/>
      <c r="E48" s="1363"/>
      <c r="F48" s="1181"/>
      <c r="G48" s="792"/>
      <c r="H48" s="793"/>
      <c r="I48" s="1887" t="s">
        <v>1525</v>
      </c>
      <c r="J48" s="1888" t="s">
        <v>3183</v>
      </c>
      <c r="K48" s="1889" t="s">
        <v>1526</v>
      </c>
      <c r="L48" s="1890">
        <f ca="1">INDIRECT("'数据-取费表'!f"&amp;$G$1)</f>
        <v>27.89</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3027</v>
      </c>
      <c r="E49" s="1830" t="s">
        <v>1486</v>
      </c>
      <c r="F49" s="1281"/>
      <c r="G49" s="1891"/>
      <c r="H49" s="793"/>
      <c r="I49" s="1887" t="s">
        <v>1529</v>
      </c>
      <c r="J49" s="1892"/>
      <c r="K49" s="1889" t="s">
        <v>1530</v>
      </c>
      <c r="L49" s="1893"/>
      <c r="O49" s="1894" t="s">
        <v>1039</v>
      </c>
      <c r="P49" s="1885" t="s">
        <v>1531</v>
      </c>
      <c r="Q49" s="1886">
        <f ca="1">C29</f>
        <v>11495</v>
      </c>
      <c r="R49" s="1886" t="s">
        <v>1524</v>
      </c>
    </row>
    <row r="50" spans="1:18" s="1842" customFormat="1" ht="13.5" thickBot="1">
      <c r="A50" s="1195"/>
      <c r="B50" s="1198"/>
      <c r="C50" s="1368"/>
      <c r="D50" s="1172"/>
      <c r="E50" s="1277" t="s">
        <v>1402</v>
      </c>
      <c r="F50" s="1278">
        <f ca="1">F7</f>
        <v>27202.3</v>
      </c>
      <c r="H50" s="793"/>
      <c r="I50" s="1887" t="s">
        <v>1532</v>
      </c>
      <c r="J50" s="1895">
        <f>SUMPRODUCT((I63:I65=J47)*(J62:L62=J48)*(J63:L65))</f>
        <v>40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1403</v>
      </c>
      <c r="F51" s="348">
        <f ca="1">F8</f>
        <v>365</v>
      </c>
      <c r="I51" s="1898" t="s">
        <v>1535</v>
      </c>
      <c r="J51" s="1899">
        <f>IF(J49="",J50,J49+J50-YEAR('数据-取费表'!B2))</f>
        <v>40</v>
      </c>
      <c r="K51" s="1900" t="s">
        <v>1536</v>
      </c>
      <c r="L51" s="1901">
        <f ca="1">ROUND(-PV(INDIRECT("'数据-取费表'!h"&amp;$G$1),L48,(C39-C13*C76),0),0)</f>
        <v>79351</v>
      </c>
      <c r="M51" s="1902"/>
      <c r="O51" s="1894" t="s">
        <v>1041</v>
      </c>
      <c r="P51" s="1885" t="s">
        <v>1537</v>
      </c>
      <c r="Q51" s="1897">
        <f>J52</f>
        <v>0.09</v>
      </c>
      <c r="R51" s="1886"/>
    </row>
    <row r="52" spans="1:18" s="1842" customFormat="1" ht="13.5" thickBot="1">
      <c r="A52" s="1196"/>
      <c r="B52" s="1198"/>
      <c r="C52" s="1199"/>
      <c r="D52" s="1172"/>
      <c r="E52" s="1200" t="s">
        <v>1404</v>
      </c>
      <c r="F52" s="1275"/>
      <c r="I52" s="1903" t="s">
        <v>1538</v>
      </c>
      <c r="J52" s="1904">
        <v>0.09</v>
      </c>
      <c r="K52" s="1903" t="s">
        <v>1539</v>
      </c>
      <c r="L52" s="1904">
        <f ca="1">基准地价修正!G20</f>
        <v>4.8000000000000001E-2</v>
      </c>
      <c r="O52" s="1894" t="s">
        <v>1042</v>
      </c>
      <c r="P52" s="1885" t="s">
        <v>1540</v>
      </c>
      <c r="Q52" s="1886">
        <f ca="1">J53</f>
        <v>27.89</v>
      </c>
      <c r="R52" s="1886" t="s">
        <v>1541</v>
      </c>
    </row>
    <row r="53" spans="1:18" s="1842" customFormat="1" ht="24.75" thickBot="1">
      <c r="A53" s="1405" t="s">
        <v>1134</v>
      </c>
      <c r="B53" s="1831" t="s">
        <v>1405</v>
      </c>
      <c r="C53" s="361">
        <f ca="1">ROUND(IF(F53="押一",C49/12*F11,IF(F53="押二",C49/12*2*F11,IF(F53="押三",C49/12*3*F11,C54*F11))),0)</f>
        <v>0</v>
      </c>
      <c r="D53" s="1824" t="s">
        <v>3034</v>
      </c>
      <c r="E53" s="358" t="s">
        <v>1406</v>
      </c>
      <c r="F53" s="1366"/>
      <c r="I53" s="1905" t="s">
        <v>1542</v>
      </c>
      <c r="J53" s="1906">
        <f ca="1">IF(M47="住宅",IF(D1="——",MAX(J51,L48),IF(D1="在建（套用方法）",MAX(J51,L48-'数据-取费表'!B24),MAX(J51,L48-'数据-取费表'!B20))),IF(D1="——",MIN(J51,L48),IF(D1="在建（套用方法）",MIN(J51,L48-'数据-取费表'!B24),IF(D1="土地（套用方法）",MIN(J51,L48-'数据-取费表'!B20)))))</f>
        <v>27.89</v>
      </c>
      <c r="K53" s="3281" t="s">
        <v>1543</v>
      </c>
      <c r="L53" s="3282"/>
      <c r="O53" s="1884" t="s">
        <v>1043</v>
      </c>
      <c r="P53" s="1885" t="s">
        <v>1544</v>
      </c>
      <c r="Q53" s="1886">
        <f ca="1">Q47+Q48</f>
        <v>97392</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1545</v>
      </c>
      <c r="P54" s="1839"/>
      <c r="Q54" s="1839"/>
      <c r="R54" s="1839"/>
    </row>
    <row r="55" spans="1:18" s="1842" customFormat="1" ht="13.5" thickBot="1">
      <c r="A55" s="1333" t="s">
        <v>1072</v>
      </c>
      <c r="B55" s="1827" t="s">
        <v>1408</v>
      </c>
      <c r="C55" s="1334"/>
      <c r="D55" s="1824"/>
      <c r="E55" s="1832"/>
      <c r="F55" s="1907"/>
      <c r="I55" s="1910" t="s">
        <v>1546</v>
      </c>
      <c r="J55" s="1911" t="e">
        <f ca="1">ROUND(IF(J47="钢混",J57/J50,1-(1-2%)*(J50-J57)/J50),3)</f>
        <v>#VALUE!</v>
      </c>
      <c r="K55" s="1912" t="s">
        <v>1547</v>
      </c>
      <c r="L55" s="1913" t="s">
        <v>1548</v>
      </c>
      <c r="O55" s="1877" t="s">
        <v>1517</v>
      </c>
      <c r="P55" s="1878" t="s">
        <v>1518</v>
      </c>
      <c r="Q55" s="1879" t="s">
        <v>1519</v>
      </c>
      <c r="R55" s="1879" t="s">
        <v>1520</v>
      </c>
    </row>
    <row r="56" spans="1:18" s="1842" customFormat="1" ht="25.5" thickTop="1" thickBot="1">
      <c r="A56" s="1176">
        <v>2</v>
      </c>
      <c r="B56" s="1177" t="s">
        <v>1409</v>
      </c>
      <c r="C56" s="276">
        <f ca="1">C13</f>
        <v>8047</v>
      </c>
      <c r="D56" s="1914"/>
      <c r="E56" s="1915"/>
      <c r="F56" s="1907"/>
      <c r="I56" s="1916" t="s">
        <v>1549</v>
      </c>
      <c r="J56" s="1917" t="s">
        <v>3049</v>
      </c>
      <c r="K56" s="1887" t="s">
        <v>1550</v>
      </c>
      <c r="L56" s="1890" t="str">
        <f ca="1">IF(L48&lt;J51,"——",L48-J53)</f>
        <v>——</v>
      </c>
      <c r="O56" s="1884" t="s">
        <v>1037</v>
      </c>
      <c r="P56" s="1885" t="s">
        <v>1523</v>
      </c>
      <c r="Q56" s="1886">
        <f ca="1">C40+J29</f>
        <v>97392</v>
      </c>
      <c r="R56" s="1886" t="s">
        <v>1524</v>
      </c>
    </row>
    <row r="57" spans="1:18" s="1842" customFormat="1" ht="24.75" thickBot="1">
      <c r="A57" s="1918"/>
      <c r="B57" s="1169" t="s">
        <v>1473</v>
      </c>
      <c r="C57" s="282">
        <f ca="1">C29</f>
        <v>11495</v>
      </c>
      <c r="D57" s="1919"/>
      <c r="E57" s="1920"/>
      <c r="F57" s="1921"/>
      <c r="I57" s="1922" t="s">
        <v>1551</v>
      </c>
      <c r="J57" s="1923"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1309</v>
      </c>
      <c r="D58" s="1179" t="s">
        <v>1420</v>
      </c>
      <c r="E58" s="1180"/>
      <c r="F58" s="1181"/>
      <c r="I58" s="1922" t="s">
        <v>1555</v>
      </c>
      <c r="J58" s="1924" t="e">
        <f ca="1">IF(J55&lt;0.4,0.4,J55)</f>
        <v>#VALUE!</v>
      </c>
      <c r="K58" s="1900" t="s">
        <v>1556</v>
      </c>
      <c r="L58" s="1890">
        <f ca="1">ROUND(POWER(1+L52,L47-L48)*(POWER(1+L52,L48)-1)/(POWER(1+L52,L47)-1),4)</f>
        <v>0.80689999999999995</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1009.9</v>
      </c>
      <c r="D59" s="1182" t="s">
        <v>1425</v>
      </c>
      <c r="E59" s="1183" t="s">
        <v>1426</v>
      </c>
      <c r="F59" s="368" t="str">
        <f ca="1">IF(项目基本情况!B11="企业","",IF(INDIRECT("'数据-取费表'!c"&amp;$G$1)="住宅",5%,IF(F49*F50*F51/12/(1+'数据-取费表'!C42)&gt;20000,12%,7%)))</f>
        <v/>
      </c>
      <c r="I59" s="1922" t="s">
        <v>1558</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0.9365</v>
      </c>
      <c r="M59" s="1838">
        <f ca="1">ROUND(POWER(1+L52,L47-(J51+'数据-取费表'!B24))*(POWER(1+L52,(J51+'数据-取费表'!B24))-1)/(POWER(1+L52,L47)-1),4)</f>
        <v>0.9365</v>
      </c>
      <c r="N59" s="1838">
        <f ca="1">ROUND(POWER(1+L52,L47-(J51+'数据-取费表'!B20))*(POWER(1+L52,(J51+'数据-取费表'!B20))-1)/(POWER(1+L52,L47)-1),4)</f>
        <v>0.94810000000000005</v>
      </c>
      <c r="O59" s="1894" t="s">
        <v>1040</v>
      </c>
      <c r="P59" s="1885" t="s">
        <v>1559</v>
      </c>
      <c r="Q59" s="1897">
        <f ca="1">L52</f>
        <v>4.8000000000000001E-2</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5" t="s">
        <v>1560</v>
      </c>
      <c r="J60" s="1926" t="str">
        <f ca="1">IF(OR(M47="住宅",J51&lt;L48,J56="是"),"0",ROUND(J59/(1+J52)^J53,0))</f>
        <v>0</v>
      </c>
      <c r="K60" s="1927" t="s">
        <v>1561</v>
      </c>
      <c r="L60" s="1926">
        <f ca="1">IF(OR(M47="住宅",L48&lt;J51),0,ROUND(L57*(L58/L59-1),0))</f>
        <v>0</v>
      </c>
      <c r="O60" s="1894" t="s">
        <v>1041</v>
      </c>
      <c r="P60" s="1885" t="s">
        <v>1562</v>
      </c>
      <c r="Q60" s="1886">
        <f ca="1">L58</f>
        <v>0.80689999999999995</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965.58</v>
      </c>
      <c r="D61" s="1828" t="s">
        <v>1433</v>
      </c>
      <c r="E61" s="1169" t="s">
        <v>1489</v>
      </c>
      <c r="F61" s="367">
        <f t="shared" si="0"/>
        <v>0.12</v>
      </c>
      <c r="I61" s="1928"/>
      <c r="J61" s="1928"/>
      <c r="K61" s="1928"/>
      <c r="L61" s="1928"/>
      <c r="O61" s="1894" t="s">
        <v>1042</v>
      </c>
      <c r="P61" s="1885" t="str">
        <f>K59</f>
        <v>建筑物剩余耐用年限下的土地年期修正系数Kn</v>
      </c>
      <c r="Q61" s="1886">
        <f ca="1">L59</f>
        <v>0.9365</v>
      </c>
      <c r="R61" s="1886" t="s">
        <v>1564</v>
      </c>
    </row>
    <row r="62" spans="1:18" s="1842" customFormat="1" ht="13.5" thickBot="1">
      <c r="A62" s="1201" t="s">
        <v>1490</v>
      </c>
      <c r="B62" s="1168" t="s">
        <v>1491</v>
      </c>
      <c r="C62" s="25">
        <f ca="1">IF(项目基本情况!B11="自然人","——",ROUND(F62*F63/10000,2))</f>
        <v>44.29</v>
      </c>
      <c r="D62" s="1184" t="s">
        <v>1492</v>
      </c>
      <c r="E62" s="1169" t="s">
        <v>1493</v>
      </c>
      <c r="F62" s="371">
        <f t="shared" si="0"/>
        <v>24</v>
      </c>
      <c r="I62" s="1929" t="s">
        <v>1565</v>
      </c>
      <c r="J62" s="1930" t="s">
        <v>1566</v>
      </c>
      <c r="K62" s="1930" t="s">
        <v>1567</v>
      </c>
      <c r="L62" s="1930" t="s">
        <v>1568</v>
      </c>
      <c r="M62" s="1931" t="s">
        <v>1569</v>
      </c>
      <c r="O62" s="1884" t="s">
        <v>1043</v>
      </c>
      <c r="P62" s="1885" t="s">
        <v>1570</v>
      </c>
      <c r="Q62" s="1886">
        <f ca="1">Q56+Q57</f>
        <v>97392</v>
      </c>
      <c r="R62" s="1886" t="s">
        <v>1044</v>
      </c>
    </row>
    <row r="63" spans="1:18" s="1842" customFormat="1" ht="13.5" thickBot="1">
      <c r="A63" s="372"/>
      <c r="B63" s="1175"/>
      <c r="C63" s="29"/>
      <c r="D63" s="1185"/>
      <c r="E63" s="1169" t="s">
        <v>1494</v>
      </c>
      <c r="F63" s="348">
        <f t="shared" ca="1" si="0"/>
        <v>18455.759999999998</v>
      </c>
      <c r="I63" s="1929" t="s">
        <v>1571</v>
      </c>
      <c r="J63" s="1930">
        <v>70</v>
      </c>
      <c r="K63" s="1930">
        <v>50</v>
      </c>
      <c r="L63" s="1930">
        <v>80</v>
      </c>
      <c r="M63" s="1932">
        <v>0.02</v>
      </c>
      <c r="O63" s="1869" t="s">
        <v>1572</v>
      </c>
      <c r="P63" s="1839"/>
      <c r="Q63" s="1839"/>
      <c r="R63" s="1839"/>
    </row>
    <row r="64" spans="1:18" s="1842" customFormat="1" ht="13.5" thickBot="1">
      <c r="A64" s="1201" t="s">
        <v>1495</v>
      </c>
      <c r="B64" s="1169" t="s">
        <v>1496</v>
      </c>
      <c r="C64" s="24">
        <f ca="1">ROUND(C57*F64,1)</f>
        <v>287.39999999999998</v>
      </c>
      <c r="D64" s="1183" t="s">
        <v>1497</v>
      </c>
      <c r="E64" s="1169" t="s">
        <v>1489</v>
      </c>
      <c r="F64" s="374">
        <f t="shared" ca="1" si="0"/>
        <v>2.5000000000000001E-2</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ROUND(C56*F65,1)</f>
        <v>12.1</v>
      </c>
      <c r="D65" s="1183" t="s">
        <v>1449</v>
      </c>
      <c r="E65" s="1169" t="s">
        <v>1450</v>
      </c>
      <c r="F65" s="376">
        <f t="shared" ca="1" si="0"/>
        <v>1.5E-3</v>
      </c>
      <c r="I65" s="1929" t="s">
        <v>1574</v>
      </c>
      <c r="J65" s="1930">
        <v>40</v>
      </c>
      <c r="K65" s="1930">
        <v>30</v>
      </c>
      <c r="L65" s="1930">
        <v>50</v>
      </c>
      <c r="M65" s="1932">
        <v>0.02</v>
      </c>
      <c r="O65" s="1884" t="s">
        <v>1037</v>
      </c>
      <c r="P65" s="1885" t="s">
        <v>1575</v>
      </c>
      <c r="Q65" s="1886">
        <f ca="1">C40+J29</f>
        <v>97392</v>
      </c>
      <c r="R65" s="1886" t="s">
        <v>1524</v>
      </c>
    </row>
    <row r="66" spans="1:18" s="1842" customFormat="1" ht="16.5" thickBot="1">
      <c r="A66" s="1201" t="s">
        <v>1499</v>
      </c>
      <c r="B66" s="1169" t="s">
        <v>1434</v>
      </c>
      <c r="C66" s="24">
        <f ca="1">ROUND(C48*F66,1)</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-1309</v>
      </c>
      <c r="D67" s="1182" t="s">
        <v>1459</v>
      </c>
      <c r="E67" s="1187"/>
      <c r="F67" s="1188"/>
      <c r="O67" s="1894" t="s">
        <v>1039</v>
      </c>
      <c r="P67" s="1885" t="s">
        <v>1557</v>
      </c>
      <c r="Q67" s="1933">
        <f ca="1">L51</f>
        <v>79351</v>
      </c>
      <c r="R67" s="1886" t="s">
        <v>1577</v>
      </c>
    </row>
    <row r="68" spans="1:18" s="1842" customFormat="1" ht="16.5" thickBot="1">
      <c r="A68" s="1166" t="s">
        <v>1029</v>
      </c>
      <c r="B68" s="1167" t="s">
        <v>1480</v>
      </c>
      <c r="C68" s="346">
        <f ca="1">ROUND(C67*(1-((1+F70)/(1+F68))^F69)/(F68-F70),0)</f>
        <v>-18454</v>
      </c>
      <c r="D68" s="1184" t="s">
        <v>1464</v>
      </c>
      <c r="E68" s="1169" t="s">
        <v>1465</v>
      </c>
      <c r="F68" s="357">
        <f ca="1">F40</f>
        <v>5.5E-2</v>
      </c>
      <c r="O68" s="1894" t="s">
        <v>1040</v>
      </c>
      <c r="P68" s="1934" t="s">
        <v>1578</v>
      </c>
      <c r="Q68" s="1886">
        <f ca="1">ROUND(Q69-Q70*Q71,0)</f>
        <v>5221</v>
      </c>
      <c r="R68" s="1886" t="s">
        <v>1048</v>
      </c>
    </row>
    <row r="69" spans="1:18" s="1842" customFormat="1" ht="13.5" thickBot="1">
      <c r="A69" s="1170"/>
      <c r="B69" s="1171"/>
      <c r="C69" s="351"/>
      <c r="D69" s="1189" t="s">
        <v>1468</v>
      </c>
      <c r="E69" s="1169" t="s">
        <v>1469</v>
      </c>
      <c r="F69" s="379">
        <f ca="1">F41</f>
        <v>27.89</v>
      </c>
      <c r="O69" s="1894" t="s">
        <v>1045</v>
      </c>
      <c r="P69" s="1934" t="s">
        <v>1579</v>
      </c>
      <c r="Q69" s="1886">
        <f ca="1">C39</f>
        <v>5905</v>
      </c>
      <c r="R69" s="1886" t="s">
        <v>1524</v>
      </c>
    </row>
    <row r="70" spans="1:18" s="1842" customFormat="1" ht="13.5" thickBot="1">
      <c r="A70" s="1173"/>
      <c r="B70" s="1174"/>
      <c r="C70" s="355"/>
      <c r="D70" s="1185"/>
      <c r="E70" s="1169" t="s">
        <v>1472</v>
      </c>
      <c r="F70" s="1275"/>
      <c r="O70" s="1894" t="s">
        <v>1046</v>
      </c>
      <c r="P70" s="1934" t="s">
        <v>1580</v>
      </c>
      <c r="Q70" s="1886">
        <f ca="1">C13</f>
        <v>8047</v>
      </c>
      <c r="R70" s="1886" t="s">
        <v>1524</v>
      </c>
    </row>
    <row r="71" spans="1:18" s="1842" customFormat="1" ht="13.5" thickBot="1">
      <c r="A71" s="1190" t="s">
        <v>1030</v>
      </c>
      <c r="B71" s="1191" t="s">
        <v>1482</v>
      </c>
      <c r="C71" s="382">
        <f ca="1">ROUND(C68*10000/F71,0)</f>
        <v>-6784</v>
      </c>
      <c r="D71" s="1192" t="s">
        <v>1483</v>
      </c>
      <c r="E71" s="1193" t="s">
        <v>1484</v>
      </c>
      <c r="F71" s="385">
        <f ca="1">F43</f>
        <v>27202.3</v>
      </c>
      <c r="O71" s="1894" t="s">
        <v>1047</v>
      </c>
      <c r="P71" s="1934" t="s">
        <v>1581</v>
      </c>
      <c r="Q71" s="1897">
        <f ca="1">C76</f>
        <v>8.5000000000000006E-2</v>
      </c>
      <c r="R71" s="1886"/>
    </row>
    <row r="72" spans="1:18" s="1842" customFormat="1" ht="13.5" thickBot="1">
      <c r="B72" s="796"/>
      <c r="C72" s="796"/>
      <c r="O72" s="1894" t="s">
        <v>1041</v>
      </c>
      <c r="P72" s="1885" t="s">
        <v>1559</v>
      </c>
      <c r="Q72" s="1897">
        <f ca="1">L52</f>
        <v>4.8000000000000001E-2</v>
      </c>
      <c r="R72" s="1886"/>
    </row>
    <row r="73" spans="1:18" ht="16.5" thickBot="1">
      <c r="A73" s="1842"/>
      <c r="B73" s="796"/>
      <c r="C73" s="796"/>
      <c r="D73" s="1842"/>
      <c r="E73" s="1842"/>
      <c r="F73" s="1842"/>
      <c r="O73" s="1894" t="s">
        <v>1042</v>
      </c>
      <c r="P73" s="1885" t="s">
        <v>1562</v>
      </c>
      <c r="Q73" s="1886">
        <f ca="1">L58</f>
        <v>0.80689999999999995</v>
      </c>
      <c r="R73" s="1886" t="s">
        <v>1563</v>
      </c>
    </row>
    <row r="74" spans="1:18" ht="13.5" thickBot="1">
      <c r="A74" s="1842"/>
      <c r="B74" s="317" t="s">
        <v>1582</v>
      </c>
      <c r="C74" s="1936"/>
      <c r="D74" s="1842"/>
      <c r="E74" s="1842"/>
      <c r="F74" s="1842"/>
      <c r="O74" s="1894" t="s">
        <v>1049</v>
      </c>
      <c r="P74" s="1885" t="str">
        <f>K59</f>
        <v>建筑物剩余耐用年限下的土地年期修正系数Kn</v>
      </c>
      <c r="Q74" s="1886">
        <f ca="1">L59</f>
        <v>0.9365</v>
      </c>
      <c r="R74" s="1886" t="s">
        <v>1564</v>
      </c>
    </row>
    <row r="75" spans="1:18" ht="13.5" thickBot="1">
      <c r="A75" s="1842"/>
      <c r="B75" s="386" t="s">
        <v>1501</v>
      </c>
      <c r="C75" s="387">
        <f ca="1">ROUND(C13*C76,0)</f>
        <v>684</v>
      </c>
      <c r="D75" s="1842"/>
      <c r="E75" s="1842"/>
      <c r="F75" s="1842"/>
      <c r="K75" s="1868"/>
      <c r="L75" s="1842"/>
      <c r="O75" s="1884" t="s">
        <v>1043</v>
      </c>
      <c r="P75" s="1885" t="s">
        <v>1544</v>
      </c>
      <c r="Q75" s="1886">
        <f ca="1">Q65+Q66</f>
        <v>97392</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0.88400000000000001</v>
      </c>
    </row>
    <row r="80" spans="1:18">
      <c r="B80" s="386" t="s">
        <v>1506</v>
      </c>
      <c r="C80" s="318">
        <f ca="1">ROUND(C75/C39,3)</f>
        <v>0.11600000000000001</v>
      </c>
    </row>
    <row r="81" spans="2:3">
      <c r="B81" s="314" t="s">
        <v>1507</v>
      </c>
      <c r="C81" s="282"/>
    </row>
    <row r="82" spans="2:3">
      <c r="B82" s="317" t="s">
        <v>1508</v>
      </c>
      <c r="C82" s="319">
        <f ca="1">1-C83</f>
        <v>0.91700000000000004</v>
      </c>
    </row>
    <row r="83" spans="2:3">
      <c r="B83" s="317" t="s">
        <v>1509</v>
      </c>
      <c r="C83" s="318">
        <f ca="1">ROUND(C13/C40,3)</f>
        <v>8.3000000000000004E-2</v>
      </c>
    </row>
  </sheetData>
  <sheetProtection password="C66D" sheet="1" objects="1" scenarios="1" formatCells="0" formatColumns="0" formatRows="0"/>
  <mergeCells count="3">
    <mergeCell ref="K53:L53"/>
    <mergeCell ref="B6:B9"/>
    <mergeCell ref="I6:I9"/>
  </mergeCells>
  <phoneticPr fontId="6"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8"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283" t="s">
        <v>1399</v>
      </c>
      <c r="C6" s="1296">
        <f ca="1">ROUND(F6*F8*F7*(1-F9),0)</f>
        <v>0</v>
      </c>
      <c r="D6" s="164" t="s">
        <v>3023</v>
      </c>
      <c r="E6" s="347" t="s">
        <v>1401</v>
      </c>
      <c r="F6" s="348">
        <f ca="1">INDIRECT("'数据-取费表'!u"&amp;$G$1)</f>
        <v>0</v>
      </c>
      <c r="G6" s="1851"/>
      <c r="H6" s="1291" t="s">
        <v>1032</v>
      </c>
      <c r="I6" s="3283" t="s">
        <v>1399</v>
      </c>
      <c r="J6" s="346">
        <f ca="1">ROUND(M6*M8*M7*(1-M9),0)</f>
        <v>0</v>
      </c>
      <c r="K6" s="1834" t="s">
        <v>3024</v>
      </c>
      <c r="L6" s="347" t="s">
        <v>1401</v>
      </c>
      <c r="M6" s="348">
        <f ca="1">INDIRECT("'数据-取费表'!z"&amp;$G$1)</f>
        <v>0</v>
      </c>
    </row>
    <row r="7" spans="1:37" ht="18" customHeight="1">
      <c r="A7" s="1295"/>
      <c r="B7" s="3284"/>
      <c r="C7" s="1297"/>
      <c r="D7" s="352"/>
      <c r="E7" s="1298" t="s">
        <v>1402</v>
      </c>
      <c r="F7" s="348">
        <f ca="1">IF(INDIRECT("'数据-取费表'!ah"&amp;$G$1)="",INDIRECT("'数据-取费表'!k"&amp;$G$1),INDIRECT("'数据-取费表'!ah"&amp;$G$1))</f>
        <v>0</v>
      </c>
      <c r="G7" s="1851"/>
      <c r="H7" s="349"/>
      <c r="I7" s="3284"/>
      <c r="J7" s="351"/>
      <c r="K7" s="352"/>
      <c r="L7" s="347" t="s">
        <v>1402</v>
      </c>
      <c r="M7" s="348">
        <f ca="1">F7</f>
        <v>0</v>
      </c>
    </row>
    <row r="8" spans="1:37" ht="18" customHeight="1">
      <c r="A8" s="349"/>
      <c r="B8" s="3284"/>
      <c r="C8" s="351"/>
      <c r="D8" s="352"/>
      <c r="E8" s="347" t="s">
        <v>1403</v>
      </c>
      <c r="F8" s="348">
        <f ca="1">INDIRECT("'数据-取费表'!ai"&amp;$G$1)</f>
        <v>0</v>
      </c>
      <c r="G8" s="1851"/>
      <c r="H8" s="349"/>
      <c r="I8" s="3284"/>
      <c r="J8" s="351"/>
      <c r="K8" s="352"/>
      <c r="L8" s="347" t="s">
        <v>1403</v>
      </c>
      <c r="M8" s="348">
        <f ca="1">INDIRECT("'数据-取费表'!ai"&amp;$G$1)</f>
        <v>0</v>
      </c>
    </row>
    <row r="9" spans="1:37" ht="18" customHeight="1">
      <c r="A9" s="349"/>
      <c r="B9" s="3285"/>
      <c r="C9" s="351"/>
      <c r="D9" s="352"/>
      <c r="E9" s="347" t="s">
        <v>1404</v>
      </c>
      <c r="F9" s="357">
        <f ca="1">INDIRECT("'数据-取费表'!w"&amp;$G$1)</f>
        <v>0</v>
      </c>
      <c r="G9" s="1851"/>
      <c r="H9" s="349"/>
      <c r="I9" s="3285"/>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3034</v>
      </c>
      <c r="E10" s="358" t="s">
        <v>1406</v>
      </c>
      <c r="F10" s="1366"/>
      <c r="G10" s="1851"/>
      <c r="H10" s="1291" t="s">
        <v>1036</v>
      </c>
      <c r="I10" s="1823" t="s">
        <v>1405</v>
      </c>
      <c r="J10" s="346">
        <f ca="1">ROUND(IF(M10="押一",J6/12*M11,IF(M10="押二",J6/12*2*M11,IF(M10="押三",J6/12*3*M11,J11*M11))),0)</f>
        <v>0</v>
      </c>
      <c r="K10" s="1835" t="s">
        <v>3036</v>
      </c>
      <c r="L10" s="358" t="s">
        <v>1406</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1386</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ROUND(IF(项目基本情况!B11="自然人",J5*M17,J18+J19+J20),0)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1427</v>
      </c>
      <c r="C18" s="24">
        <f ca="1">ROUND(C14*F18,0)</f>
        <v>0</v>
      </c>
      <c r="D18" s="347" t="s">
        <v>1416</v>
      </c>
      <c r="E18" s="347" t="s">
        <v>1417</v>
      </c>
      <c r="F18" s="367">
        <f>'数据-取费表'!B36</f>
        <v>1.4999999999999999E-2</v>
      </c>
      <c r="G18" s="1854"/>
      <c r="H18" s="1201" t="s">
        <v>1031</v>
      </c>
      <c r="I18" s="347" t="s">
        <v>1428</v>
      </c>
      <c r="J18" s="24">
        <f ca="1">ROUND(J5*M18/(1+'数据-取费表'!C42),0)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IF(K19="按租金收入计税",ROUND(J5*M19,0),ROUND(C29*M19*0.7,0))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1385</v>
      </c>
      <c r="I20" s="164" t="s">
        <v>1436</v>
      </c>
      <c r="J20" s="25">
        <f ca="1">ROUND(M20*M21,0)</f>
        <v>0</v>
      </c>
      <c r="K20" s="370" t="s">
        <v>1437</v>
      </c>
      <c r="L20" s="347" t="s">
        <v>1438</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0.03</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1.1000000000000001E-3</v>
      </c>
      <c r="D24" s="375" t="str">
        <f>IF(F23&lt;=1,"销售费用×利率×(建设周期÷2)","销售费用×((1+利率)^(建设周期÷2)-1)")</f>
        <v>销售费用×((1+利率)^(建设周期÷2)-1)</v>
      </c>
      <c r="E24" s="347" t="s">
        <v>1453</v>
      </c>
      <c r="F24" s="377">
        <f ca="1">'数据-取费表'!B40</f>
        <v>4.7500000000000001E-2</v>
      </c>
      <c r="G24" s="1854"/>
      <c r="H24" s="1339" t="s">
        <v>1389</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IF(项目基本情况!B11="自然人","——",ROUND(C5*F32/(1+'数据-取费表'!C42),0))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1385</v>
      </c>
      <c r="B34" s="164" t="s">
        <v>1436</v>
      </c>
      <c r="C34" s="25">
        <f ca="1">IF(项目基本情况!B11="自然人","——",ROUND(F34*F35,))</f>
        <v>0</v>
      </c>
      <c r="D34" s="370" t="s">
        <v>1437</v>
      </c>
      <c r="E34" s="347" t="s">
        <v>1438</v>
      </c>
      <c r="F34" s="371">
        <f>'数据-取费表'!B52</f>
        <v>24</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1389</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1392</v>
      </c>
      <c r="B47" s="1197" t="s">
        <v>1393</v>
      </c>
      <c r="C47" s="1197" t="s">
        <v>1394</v>
      </c>
      <c r="D47" s="1197" t="s">
        <v>1395</v>
      </c>
      <c r="E47" s="1279" t="s">
        <v>1396</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1397</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1400</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1402</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1403</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1404</v>
      </c>
      <c r="F52" s="1275"/>
      <c r="I52" s="1903" t="s">
        <v>1538</v>
      </c>
      <c r="J52" s="1904"/>
      <c r="K52" s="1903" t="s">
        <v>1539</v>
      </c>
      <c r="L52" s="1904"/>
      <c r="O52" s="1894" t="s">
        <v>1042</v>
      </c>
      <c r="P52" s="1885" t="s">
        <v>1540</v>
      </c>
      <c r="Q52" s="1886" t="b">
        <f>J53</f>
        <v>0</v>
      </c>
      <c r="R52" s="1886" t="s">
        <v>1541</v>
      </c>
    </row>
    <row r="53" spans="1:18" s="1842" customFormat="1" ht="30.75" customHeight="1" thickBot="1">
      <c r="A53" s="1361" t="s">
        <v>1134</v>
      </c>
      <c r="B53" s="369" t="s">
        <v>1405</v>
      </c>
      <c r="C53" s="361">
        <f ca="1">ROUND(IF(F53="押一",C49/12*F11,IF(F53="押二",C49/12*2*F11,IF(F53="押三",C49/12*3*F11,C54*F11))),0)</f>
        <v>0</v>
      </c>
      <c r="D53" s="1824" t="s">
        <v>3037</v>
      </c>
      <c r="E53" s="358" t="s">
        <v>1406</v>
      </c>
      <c r="F53" s="1366"/>
      <c r="I53" s="1905" t="s">
        <v>1542</v>
      </c>
      <c r="J53" s="1906" t="b">
        <f>IF(M47="住宅",IF(D1="——",MAX(J51,L48),IF(D1="在建（套用方法）",MAX(J51,L48-'数据-取费表'!B24),MAX(J51,L48-'数据-取费表'!B20))),IF(D1="——",MIN(J51,L48),IF(D1="在建（套用方法）",MIN(J51,L48-'数据-取费表'!B24),IF(D1="土地（套用方法）",MIN(J51,L48-'数据-取费表'!B20)))))</f>
        <v>0</v>
      </c>
      <c r="K53" s="3281" t="s">
        <v>1543</v>
      </c>
      <c r="L53" s="3282"/>
      <c r="O53" s="1884" t="s">
        <v>1043</v>
      </c>
      <c r="P53" s="1885" t="s">
        <v>1544</v>
      </c>
      <c r="Q53" s="1886" t="e">
        <f ca="1">Q47+Q48</f>
        <v>#DIV/0!</v>
      </c>
      <c r="R53" s="1886" t="s">
        <v>1044</v>
      </c>
    </row>
    <row r="54" spans="1:18" s="1842" customFormat="1" ht="13.5" thickBot="1">
      <c r="A54" s="1194"/>
      <c r="B54" s="1941" t="s">
        <v>1598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1545</v>
      </c>
      <c r="P54" s="1839"/>
      <c r="Q54" s="1839"/>
      <c r="R54" s="1839"/>
    </row>
    <row r="55" spans="1:18" s="1842" customFormat="1" ht="13.5" thickBot="1">
      <c r="A55" s="1333" t="s">
        <v>1072</v>
      </c>
      <c r="B55" s="1827" t="s">
        <v>1408</v>
      </c>
      <c r="C55" s="1334"/>
      <c r="D55" s="1824"/>
      <c r="E55" s="1832"/>
      <c r="F55" s="1907"/>
      <c r="I55" s="1910" t="s">
        <v>1546</v>
      </c>
      <c r="J55" s="1911" t="e">
        <f ca="1">ROUND(IF(J47="钢混",J57/J50,1-(1-2%)*(J50-J57)/J50),3)</f>
        <v>#DIV/0!</v>
      </c>
      <c r="K55" s="1912" t="s">
        <v>1547</v>
      </c>
      <c r="L55" s="1913"/>
      <c r="O55" s="1877" t="s">
        <v>1517</v>
      </c>
      <c r="P55" s="1878" t="s">
        <v>1518</v>
      </c>
      <c r="Q55" s="1879" t="s">
        <v>1519</v>
      </c>
      <c r="R55" s="1879" t="s">
        <v>1520</v>
      </c>
    </row>
    <row r="56" spans="1:18" s="1842" customFormat="1" ht="36" customHeight="1" thickTop="1" thickBot="1">
      <c r="A56" s="1176">
        <v>2</v>
      </c>
      <c r="B56" s="1177" t="s">
        <v>1409</v>
      </c>
      <c r="C56" s="276">
        <f ca="1">C13</f>
        <v>0</v>
      </c>
      <c r="D56" s="1914"/>
      <c r="E56" s="1915"/>
      <c r="F56" s="1907"/>
      <c r="I56" s="1916" t="s">
        <v>1549</v>
      </c>
      <c r="J56" s="1917"/>
      <c r="K56" s="1887" t="s">
        <v>1550</v>
      </c>
      <c r="L56" s="1890">
        <f ca="1">IF(L48&lt;J51,"——",L48-J51)</f>
        <v>0</v>
      </c>
      <c r="O56" s="1884" t="s">
        <v>1037</v>
      </c>
      <c r="P56" s="1885" t="s">
        <v>1523</v>
      </c>
      <c r="Q56" s="1886" t="e">
        <f ca="1">C40+J29</f>
        <v>#DIV/0!</v>
      </c>
      <c r="R56" s="1886" t="s">
        <v>1524</v>
      </c>
    </row>
    <row r="57" spans="1:18" s="1842" customFormat="1" ht="24.75" thickBot="1">
      <c r="A57" s="1918"/>
      <c r="B57" s="1169" t="s">
        <v>1473</v>
      </c>
      <c r="C57" s="282">
        <f ca="1">C29</f>
        <v>0</v>
      </c>
      <c r="D57" s="1919"/>
      <c r="E57" s="1920"/>
      <c r="F57" s="1921"/>
      <c r="I57" s="1922" t="s">
        <v>1551</v>
      </c>
      <c r="J57" s="1923">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2" t="s">
        <v>1555</v>
      </c>
      <c r="J58" s="1924"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2" t="s">
        <v>1558</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5" t="s">
        <v>1560</v>
      </c>
      <c r="J60" s="1926" t="e">
        <f ca="1">IF(OR(M47="住宅",J51&lt;L48,J56="是"),"0",ROUND(J59/(1+J52)^J53,0))</f>
        <v>#DIV/0!</v>
      </c>
      <c r="K60" s="1927" t="s">
        <v>1561</v>
      </c>
      <c r="L60" s="1926"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8"/>
      <c r="J61" s="1928"/>
      <c r="K61" s="1928"/>
      <c r="L61" s="1928"/>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24</v>
      </c>
      <c r="I62" s="1929" t="s">
        <v>1565</v>
      </c>
      <c r="J62" s="1930" t="s">
        <v>1566</v>
      </c>
      <c r="K62" s="1930" t="s">
        <v>1567</v>
      </c>
      <c r="L62" s="1930" t="s">
        <v>1568</v>
      </c>
      <c r="M62" s="1931"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9" t="s">
        <v>1571</v>
      </c>
      <c r="J63" s="1930">
        <v>70</v>
      </c>
      <c r="K63" s="1930">
        <v>50</v>
      </c>
      <c r="L63" s="1930">
        <v>80</v>
      </c>
      <c r="M63" s="1932">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9" t="s">
        <v>1574</v>
      </c>
      <c r="J65" s="1930">
        <v>40</v>
      </c>
      <c r="K65" s="1930">
        <v>30</v>
      </c>
      <c r="L65" s="1930">
        <v>50</v>
      </c>
      <c r="M65" s="1932">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3">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4"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4" t="s">
        <v>1579</v>
      </c>
      <c r="Q69" s="1886">
        <f ca="1">C39</f>
        <v>0</v>
      </c>
      <c r="R69" s="1886" t="s">
        <v>1524</v>
      </c>
    </row>
    <row r="70" spans="1:18" s="1842" customFormat="1" ht="13.5" thickBot="1">
      <c r="A70" s="1173"/>
      <c r="B70" s="1174"/>
      <c r="C70" s="355"/>
      <c r="D70" s="1185"/>
      <c r="E70" s="1169" t="s">
        <v>1472</v>
      </c>
      <c r="F70" s="1275">
        <f ca="1">F42</f>
        <v>0</v>
      </c>
      <c r="O70" s="1894" t="s">
        <v>1046</v>
      </c>
      <c r="P70" s="1934"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4"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9"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2522</v>
      </c>
      <c r="B1" s="2565"/>
      <c r="C1" s="2565"/>
      <c r="D1" s="2565"/>
      <c r="E1" s="2566"/>
    </row>
    <row r="2" spans="1:6" ht="15.75">
      <c r="A2" s="2567" t="s">
        <v>2323</v>
      </c>
      <c r="B2" s="2568">
        <f ca="1">SUMIF(B6:B13,"&lt;&gt;#ref!",B6:B13)</f>
        <v>97392</v>
      </c>
      <c r="C2" s="2569" t="s">
        <v>2515</v>
      </c>
      <c r="D2" s="2570" t="s">
        <v>2516</v>
      </c>
      <c r="E2" s="2571">
        <f>SUM(E6:E13)</f>
        <v>27202.3</v>
      </c>
    </row>
    <row r="3" spans="1:6" ht="15.75">
      <c r="A3" s="2567" t="s">
        <v>1391</v>
      </c>
      <c r="B3" s="2568">
        <f ca="1">ROUND(B2*10000/E2,0)</f>
        <v>35803</v>
      </c>
      <c r="C3" s="2569" t="s">
        <v>2523</v>
      </c>
      <c r="D3" s="2572"/>
      <c r="E3" s="2573"/>
    </row>
    <row r="4" spans="1:6" ht="15.75">
      <c r="A4" s="2574"/>
      <c r="B4" s="2572"/>
      <c r="C4" s="2572"/>
      <c r="D4" s="2572"/>
      <c r="E4" s="2573"/>
    </row>
    <row r="5" spans="1:6" ht="15">
      <c r="A5" s="2575" t="s">
        <v>2517</v>
      </c>
      <c r="B5" s="3286" t="s">
        <v>2518</v>
      </c>
      <c r="C5" s="3286"/>
      <c r="D5" s="2576"/>
      <c r="E5" s="2577" t="s">
        <v>2519</v>
      </c>
      <c r="F5" s="2578" t="s">
        <v>2520</v>
      </c>
    </row>
    <row r="6" spans="1:6">
      <c r="A6" s="2579" t="str">
        <f>'数据-取费表'!AN6</f>
        <v>收益法</v>
      </c>
      <c r="B6" s="2578">
        <f ca="1">IF(F6="是",'数据-取费表'!AO6,0)</f>
        <v>97392</v>
      </c>
      <c r="C6" s="2569" t="s">
        <v>2515</v>
      </c>
      <c r="D6" s="2572"/>
      <c r="E6" s="2580">
        <f>IF(OR(A6=0,F6="否"),0,'数据-取费表'!K6+'数据-取费表'!S6)</f>
        <v>27202.3</v>
      </c>
      <c r="F6" s="2581" t="s">
        <v>2521</v>
      </c>
    </row>
    <row r="7" spans="1:6">
      <c r="A7" s="2579">
        <f>'数据-取费表'!AN7</f>
        <v>0</v>
      </c>
      <c r="B7" s="2578" t="e">
        <f ca="1">IF(F7="是",'数据-取费表'!AO7,0)</f>
        <v>#REF!</v>
      </c>
      <c r="C7" s="2569" t="s">
        <v>2515</v>
      </c>
      <c r="D7" s="2572"/>
      <c r="E7" s="2580">
        <f>IF(OR(A7=0,F7="否"),0,'数据-取费表'!K7+'数据-取费表'!S7)</f>
        <v>0</v>
      </c>
      <c r="F7" s="2581" t="s">
        <v>2521</v>
      </c>
    </row>
    <row r="8" spans="1:6">
      <c r="A8" s="2579">
        <f>'数据-取费表'!AN8</f>
        <v>0</v>
      </c>
      <c r="B8" s="2578" t="e">
        <f ca="1">IF(F8="是",'数据-取费表'!AO8,0)</f>
        <v>#REF!</v>
      </c>
      <c r="C8" s="2569" t="s">
        <v>2515</v>
      </c>
      <c r="D8" s="2572"/>
      <c r="E8" s="2580">
        <f>IF(OR(A8=0,F8="否"),0,'数据-取费表'!K8+'数据-取费表'!S8)</f>
        <v>0</v>
      </c>
      <c r="F8" s="2581" t="s">
        <v>2521</v>
      </c>
    </row>
    <row r="9" spans="1:6">
      <c r="A9" s="2579">
        <f>'数据-取费表'!AN9</f>
        <v>0</v>
      </c>
      <c r="B9" s="2578" t="e">
        <f ca="1">IF(F9="是",'数据-取费表'!AO9,0)</f>
        <v>#REF!</v>
      </c>
      <c r="C9" s="2569" t="s">
        <v>2515</v>
      </c>
      <c r="D9" s="2572"/>
      <c r="E9" s="2580">
        <f>IF(OR(A9=0,F9="否"),0,'数据-取费表'!K9+'数据-取费表'!S9)</f>
        <v>0</v>
      </c>
      <c r="F9" s="2581" t="s">
        <v>2521</v>
      </c>
    </row>
    <row r="10" spans="1:6">
      <c r="A10" s="2579">
        <f>'数据-取费表'!AN10</f>
        <v>0</v>
      </c>
      <c r="B10" s="2578" t="e">
        <f ca="1">IF(F10="是",'数据-取费表'!AO10,0)</f>
        <v>#REF!</v>
      </c>
      <c r="C10" s="2569" t="s">
        <v>2515</v>
      </c>
      <c r="D10" s="2572"/>
      <c r="E10" s="2580">
        <f>IF(OR(A10=0,F10="否"),0,'数据-取费表'!K10+'数据-取费表'!S10)</f>
        <v>0</v>
      </c>
      <c r="F10" s="2581" t="s">
        <v>2521</v>
      </c>
    </row>
    <row r="11" spans="1:6">
      <c r="A11" s="2579">
        <f>'数据-取费表'!AN11</f>
        <v>0</v>
      </c>
      <c r="B11" s="2578" t="e">
        <f ca="1">IF(F11="是",'数据-取费表'!AO11,0)</f>
        <v>#REF!</v>
      </c>
      <c r="C11" s="2569" t="s">
        <v>2515</v>
      </c>
      <c r="D11" s="2572"/>
      <c r="E11" s="2580">
        <f>IF(OR(A11=0,F11="否"),0,'数据-取费表'!K11+'数据-取费表'!S11)</f>
        <v>0</v>
      </c>
      <c r="F11" s="2581" t="s">
        <v>2521</v>
      </c>
    </row>
    <row r="12" spans="1:6">
      <c r="A12" s="2579">
        <f>'数据-取费表'!AN12</f>
        <v>0</v>
      </c>
      <c r="B12" s="2578" t="e">
        <f ca="1">IF(F12="是",'数据-取费表'!AO12,0)</f>
        <v>#REF!</v>
      </c>
      <c r="C12" s="2569" t="s">
        <v>2515</v>
      </c>
      <c r="D12" s="2572"/>
      <c r="E12" s="2580">
        <f>IF(OR(A12=0,F12="否"),0,'数据-取费表'!K12+'数据-取费表'!S12)</f>
        <v>0</v>
      </c>
      <c r="F12" s="2581" t="s">
        <v>2521</v>
      </c>
    </row>
    <row r="13" spans="1:6" ht="15" thickBot="1">
      <c r="A13" s="2582">
        <f>'数据-取费表'!AN13</f>
        <v>0</v>
      </c>
      <c r="B13" s="2578" t="e">
        <f ca="1">IF(F13="是",'数据-取费表'!AO13,0)</f>
        <v>#REF!</v>
      </c>
      <c r="C13" s="2583" t="s">
        <v>2515</v>
      </c>
      <c r="D13" s="2584"/>
      <c r="E13" s="2580">
        <f>IF(OR(A13=0,F13="否"),0,'数据-取费表'!K13+'数据-取费表'!S13)</f>
        <v>0</v>
      </c>
      <c r="F13" s="2581" t="s">
        <v>2521</v>
      </c>
    </row>
  </sheetData>
  <sheetProtection password="C66D" sheet="1" objects="1" scenarios="1" formatCells="0"/>
  <mergeCells count="1">
    <mergeCell ref="B5:C5"/>
  </mergeCells>
  <phoneticPr fontId="14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303" t="s">
        <v>1073</v>
      </c>
      <c r="B1" s="3304"/>
      <c r="C1" s="3305"/>
      <c r="D1" s="3306">
        <f>SUM(I10,I15,I20,I21,I23)</f>
        <v>0</v>
      </c>
      <c r="E1" s="3306"/>
      <c r="F1" s="3306"/>
      <c r="G1" s="3306"/>
      <c r="H1" s="3306"/>
      <c r="I1" s="3307"/>
    </row>
    <row r="2" spans="1:9">
      <c r="A2" s="3293" t="s">
        <v>1074</v>
      </c>
      <c r="B2" s="3294" t="s">
        <v>1075</v>
      </c>
      <c r="C2" s="3294"/>
      <c r="D2" s="1301" t="s">
        <v>1076</v>
      </c>
      <c r="E2" s="1301" t="s">
        <v>1077</v>
      </c>
      <c r="F2" s="1301" t="s">
        <v>1078</v>
      </c>
      <c r="G2" s="1301" t="s">
        <v>1079</v>
      </c>
      <c r="H2" s="1301" t="s">
        <v>1080</v>
      </c>
      <c r="I2" s="1302" t="s">
        <v>1081</v>
      </c>
    </row>
    <row r="3" spans="1:9">
      <c r="A3" s="3293"/>
      <c r="B3" s="3294" t="s">
        <v>1082</v>
      </c>
      <c r="C3" s="3294"/>
      <c r="D3" s="1303"/>
      <c r="E3" s="1301"/>
      <c r="F3" s="1304"/>
      <c r="G3" s="1304"/>
      <c r="H3" s="1305"/>
      <c r="I3" s="1306">
        <f>ROUND(D3*E3*F3*G3*H3/10000,0)</f>
        <v>0</v>
      </c>
    </row>
    <row r="4" spans="1:9">
      <c r="A4" s="3293"/>
      <c r="B4" s="3294" t="s">
        <v>1083</v>
      </c>
      <c r="C4" s="3294"/>
      <c r="D4" s="1303"/>
      <c r="E4" s="1301"/>
      <c r="F4" s="1304"/>
      <c r="G4" s="1304"/>
      <c r="H4" s="1305"/>
      <c r="I4" s="1306">
        <f t="shared" ref="I4:I9" si="0">ROUND(D4*E4*F4*G4*H4/10000,0)</f>
        <v>0</v>
      </c>
    </row>
    <row r="5" spans="1:9">
      <c r="A5" s="3293"/>
      <c r="B5" s="3294" t="s">
        <v>1084</v>
      </c>
      <c r="C5" s="3294"/>
      <c r="D5" s="1303"/>
      <c r="E5" s="1301"/>
      <c r="F5" s="1304"/>
      <c r="G5" s="1304"/>
      <c r="H5" s="1305"/>
      <c r="I5" s="1306">
        <f t="shared" si="0"/>
        <v>0</v>
      </c>
    </row>
    <row r="6" spans="1:9">
      <c r="A6" s="3293"/>
      <c r="B6" s="3294" t="s">
        <v>1085</v>
      </c>
      <c r="C6" s="3294"/>
      <c r="D6" s="1303"/>
      <c r="E6" s="1301"/>
      <c r="F6" s="1304"/>
      <c r="G6" s="1304"/>
      <c r="H6" s="1305"/>
      <c r="I6" s="1306">
        <f t="shared" si="0"/>
        <v>0</v>
      </c>
    </row>
    <row r="7" spans="1:9">
      <c r="A7" s="3293"/>
      <c r="B7" s="3294" t="s">
        <v>1086</v>
      </c>
      <c r="C7" s="3294"/>
      <c r="D7" s="1303"/>
      <c r="E7" s="1301"/>
      <c r="F7" s="1304"/>
      <c r="G7" s="1304"/>
      <c r="H7" s="1305"/>
      <c r="I7" s="1306">
        <f t="shared" si="0"/>
        <v>0</v>
      </c>
    </row>
    <row r="8" spans="1:9">
      <c r="A8" s="3293"/>
      <c r="B8" s="3294" t="s">
        <v>1087</v>
      </c>
      <c r="C8" s="3294"/>
      <c r="D8" s="1303"/>
      <c r="E8" s="1301"/>
      <c r="F8" s="1304"/>
      <c r="G8" s="1304"/>
      <c r="H8" s="1305"/>
      <c r="I8" s="1306">
        <f t="shared" si="0"/>
        <v>0</v>
      </c>
    </row>
    <row r="9" spans="1:9">
      <c r="A9" s="3293"/>
      <c r="B9" s="3294" t="s">
        <v>1088</v>
      </c>
      <c r="C9" s="3294"/>
      <c r="D9" s="1303"/>
      <c r="E9" s="1301"/>
      <c r="F9" s="1304"/>
      <c r="G9" s="1304"/>
      <c r="H9" s="1305"/>
      <c r="I9" s="1306">
        <f t="shared" si="0"/>
        <v>0</v>
      </c>
    </row>
    <row r="10" spans="1:9">
      <c r="A10" s="3293"/>
      <c r="B10" s="3295" t="s">
        <v>1089</v>
      </c>
      <c r="C10" s="3295"/>
      <c r="D10" s="1307"/>
      <c r="E10" s="1307" t="e">
        <f>ROUND(D1*10000/D10/H9,0)</f>
        <v>#DIV/0!</v>
      </c>
      <c r="F10" s="1308"/>
      <c r="G10" s="1308"/>
      <c r="H10" s="1309"/>
      <c r="I10" s="1310">
        <f>SUM(I3:I9)</f>
        <v>0</v>
      </c>
    </row>
    <row r="11" spans="1:9" ht="14.25">
      <c r="A11" s="3293" t="s">
        <v>1090</v>
      </c>
      <c r="B11" s="3294" t="s">
        <v>1091</v>
      </c>
      <c r="C11" s="3294"/>
      <c r="D11" s="1303" t="s">
        <v>1092</v>
      </c>
      <c r="E11" s="1303" t="s">
        <v>1093</v>
      </c>
      <c r="F11" s="1304" t="s">
        <v>1094</v>
      </c>
      <c r="G11" s="1304" t="s">
        <v>1080</v>
      </c>
      <c r="H11" s="1311" t="s">
        <v>1095</v>
      </c>
      <c r="I11" s="1302" t="s">
        <v>1081</v>
      </c>
    </row>
    <row r="12" spans="1:9">
      <c r="A12" s="3293"/>
      <c r="B12" s="3294" t="s">
        <v>1096</v>
      </c>
      <c r="C12" s="3294"/>
      <c r="D12" s="1303"/>
      <c r="E12" s="1303"/>
      <c r="F12" s="1304"/>
      <c r="G12" s="1305"/>
      <c r="H12" s="1312"/>
      <c r="I12" s="1302">
        <f>ROUND(D12*E12*F12*G12/10000,0)</f>
        <v>0</v>
      </c>
    </row>
    <row r="13" spans="1:9">
      <c r="A13" s="3293"/>
      <c r="B13" s="3294" t="s">
        <v>1097</v>
      </c>
      <c r="C13" s="3294"/>
      <c r="D13" s="1303"/>
      <c r="E13" s="1303"/>
      <c r="F13" s="1304"/>
      <c r="G13" s="1305"/>
      <c r="H13" s="1312"/>
      <c r="I13" s="1302">
        <f>ROUND(D13*E13*F13*G13/10000,0)</f>
        <v>0</v>
      </c>
    </row>
    <row r="14" spans="1:9">
      <c r="A14" s="3293"/>
      <c r="B14" s="3294" t="s">
        <v>1098</v>
      </c>
      <c r="C14" s="3294"/>
      <c r="D14" s="1303"/>
      <c r="E14" s="1303"/>
      <c r="F14" s="1304"/>
      <c r="G14" s="1305"/>
      <c r="H14" s="1312"/>
      <c r="I14" s="1302">
        <f>ROUND(D14*E14*F14*G14/10000,0)</f>
        <v>0</v>
      </c>
    </row>
    <row r="15" spans="1:9">
      <c r="A15" s="3293"/>
      <c r="B15" s="3295" t="s">
        <v>1089</v>
      </c>
      <c r="C15" s="3295"/>
      <c r="D15" s="1307"/>
      <c r="E15" s="1307">
        <f>SUM(E12:E14)</f>
        <v>0</v>
      </c>
      <c r="F15" s="1308"/>
      <c r="G15" s="1305"/>
      <c r="H15" s="1312"/>
      <c r="I15" s="1313">
        <f>SUM(I12:I14)</f>
        <v>0</v>
      </c>
    </row>
    <row r="16" spans="1:9" ht="24">
      <c r="A16" s="3293" t="s">
        <v>1099</v>
      </c>
      <c r="B16" s="3294" t="s">
        <v>1100</v>
      </c>
      <c r="C16" s="3294"/>
      <c r="D16" s="1303" t="s">
        <v>1076</v>
      </c>
      <c r="E16" s="1314" t="s">
        <v>1101</v>
      </c>
      <c r="F16" s="1304" t="s">
        <v>1102</v>
      </c>
      <c r="G16" s="1305" t="s">
        <v>1080</v>
      </c>
      <c r="H16" s="1311" t="s">
        <v>1095</v>
      </c>
      <c r="I16" s="1302" t="s">
        <v>1081</v>
      </c>
    </row>
    <row r="17" spans="1:9" ht="14.25">
      <c r="A17" s="3293"/>
      <c r="B17" s="3294" t="s">
        <v>1103</v>
      </c>
      <c r="C17" s="3294"/>
      <c r="D17" s="1303"/>
      <c r="E17" s="1303"/>
      <c r="F17" s="1304"/>
      <c r="G17" s="1305"/>
      <c r="H17" s="1315"/>
      <c r="I17" s="1316">
        <f>ROUND(D17*E17*F17*G17/10000,0)</f>
        <v>0</v>
      </c>
    </row>
    <row r="18" spans="1:9" ht="14.25">
      <c r="A18" s="3293"/>
      <c r="B18" s="3294" t="s">
        <v>1104</v>
      </c>
      <c r="C18" s="3294"/>
      <c r="D18" s="1303"/>
      <c r="E18" s="1303"/>
      <c r="F18" s="1304"/>
      <c r="G18" s="1305"/>
      <c r="H18" s="1315"/>
      <c r="I18" s="1316">
        <f>ROUND(D18*E18*F18*G18/10000,0)</f>
        <v>0</v>
      </c>
    </row>
    <row r="19" spans="1:9" ht="14.25">
      <c r="A19" s="3293"/>
      <c r="B19" s="3294" t="s">
        <v>1105</v>
      </c>
      <c r="C19" s="3294"/>
      <c r="D19" s="1303"/>
      <c r="E19" s="1303"/>
      <c r="F19" s="1304"/>
      <c r="G19" s="1305"/>
      <c r="H19" s="1315"/>
      <c r="I19" s="1316">
        <f>ROUND(D19*E19*F19*G19/10000,0)</f>
        <v>0</v>
      </c>
    </row>
    <row r="20" spans="1:9">
      <c r="A20" s="3293"/>
      <c r="B20" s="3295" t="s">
        <v>1089</v>
      </c>
      <c r="C20" s="3295"/>
      <c r="D20" s="1307">
        <f>SUM(D17:D19)</f>
        <v>0</v>
      </c>
      <c r="E20" s="1307"/>
      <c r="F20" s="1308"/>
      <c r="G20" s="1305"/>
      <c r="H20" s="1312"/>
      <c r="I20" s="1313">
        <f>SUM(I17:I19)</f>
        <v>0</v>
      </c>
    </row>
    <row r="21" spans="1:9">
      <c r="A21" s="3293" t="s">
        <v>1106</v>
      </c>
      <c r="B21" s="3296"/>
      <c r="C21" s="3296"/>
      <c r="D21" s="3296"/>
      <c r="E21" s="3296"/>
      <c r="F21" s="3296"/>
      <c r="G21" s="3296"/>
      <c r="H21" s="1765">
        <v>0.1</v>
      </c>
      <c r="I21" s="1310">
        <f>ROUND(I10*H21,0)</f>
        <v>0</v>
      </c>
    </row>
    <row r="22" spans="1:9" ht="14.25">
      <c r="A22" s="3297" t="s">
        <v>1107</v>
      </c>
      <c r="B22" s="3298"/>
      <c r="C22" s="3299"/>
      <c r="D22" s="1317" t="s">
        <v>1108</v>
      </c>
      <c r="E22" s="1317" t="s">
        <v>1109</v>
      </c>
      <c r="F22" s="1318" t="s">
        <v>1110</v>
      </c>
      <c r="G22" s="1318" t="s">
        <v>1111</v>
      </c>
      <c r="H22" s="1311" t="s">
        <v>1112</v>
      </c>
      <c r="I22" s="1302" t="s">
        <v>1113</v>
      </c>
    </row>
    <row r="23" spans="1:9" ht="14.25" thickBot="1">
      <c r="A23" s="3300"/>
      <c r="B23" s="3301"/>
      <c r="C23" s="3302"/>
      <c r="D23" s="1319"/>
      <c r="E23" s="1319"/>
      <c r="F23" s="1319"/>
      <c r="G23" s="1320"/>
      <c r="H23" s="1321"/>
      <c r="I23" s="1322">
        <f>ROUND(E23*D23*F23*(1-G23)/10000,0)</f>
        <v>0</v>
      </c>
    </row>
    <row r="26" spans="1:9">
      <c r="A26" s="1323" t="s">
        <v>1114</v>
      </c>
      <c r="B26" s="1323"/>
      <c r="C26" s="1323"/>
      <c r="D26" s="1323"/>
      <c r="E26" s="3290">
        <f>C27-C30-C31-C32</f>
        <v>0</v>
      </c>
      <c r="F26" s="3290"/>
      <c r="G26" s="3290"/>
      <c r="H26" s="1737" t="s">
        <v>1336</v>
      </c>
    </row>
    <row r="27" spans="1:9">
      <c r="A27" s="1324">
        <v>1</v>
      </c>
      <c r="B27" s="1325" t="s">
        <v>1115</v>
      </c>
      <c r="C27" s="1325">
        <f>C28+C29</f>
        <v>0</v>
      </c>
      <c r="D27" s="1325"/>
      <c r="E27" s="3291"/>
      <c r="F27" s="3291"/>
      <c r="G27" s="3291"/>
    </row>
    <row r="28" spans="1:9">
      <c r="A28" s="1326" t="s">
        <v>1116</v>
      </c>
      <c r="B28" s="1325" t="s">
        <v>1117</v>
      </c>
      <c r="C28" s="1325"/>
      <c r="D28" s="1325"/>
      <c r="E28" s="3291"/>
      <c r="F28" s="3291"/>
      <c r="G28" s="3291"/>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92"/>
      <c r="F32" s="3292"/>
      <c r="G32" s="3292"/>
    </row>
    <row r="33" spans="1:7" hidden="1">
      <c r="A33" s="3287" t="s">
        <v>1126</v>
      </c>
      <c r="B33" s="3288"/>
      <c r="C33" s="3288"/>
      <c r="D33" s="3289"/>
      <c r="E33" s="3290"/>
      <c r="F33" s="3290"/>
      <c r="G33" s="3290"/>
    </row>
    <row r="34" spans="1:7" hidden="1">
      <c r="A34" s="1328">
        <v>1</v>
      </c>
      <c r="B34" s="1325" t="s">
        <v>1127</v>
      </c>
      <c r="C34" s="1325"/>
      <c r="D34" s="1325"/>
      <c r="E34" s="3291"/>
      <c r="F34" s="3291"/>
      <c r="G34" s="3291"/>
    </row>
    <row r="35" spans="1:7" hidden="1">
      <c r="A35" s="1328">
        <v>2</v>
      </c>
      <c r="B35" s="1325" t="s">
        <v>1128</v>
      </c>
      <c r="C35" s="1325"/>
      <c r="D35" s="1325"/>
      <c r="E35" s="3291"/>
      <c r="F35" s="3291"/>
      <c r="G35" s="3291"/>
    </row>
    <row r="36" spans="1:7" hidden="1">
      <c r="A36" s="1328">
        <v>3</v>
      </c>
      <c r="B36" s="1325" t="s">
        <v>1129</v>
      </c>
      <c r="C36" s="1325"/>
      <c r="D36" s="1325"/>
      <c r="E36" s="3291"/>
      <c r="F36" s="3291"/>
      <c r="G36" s="3291"/>
    </row>
    <row r="37" spans="1:7" hidden="1">
      <c r="A37" s="1328">
        <v>4</v>
      </c>
      <c r="B37" s="1325" t="s">
        <v>1130</v>
      </c>
      <c r="C37" s="1325"/>
      <c r="D37" s="1325"/>
      <c r="E37" s="3291"/>
      <c r="F37" s="3291"/>
      <c r="G37" s="3291"/>
    </row>
    <row r="38" spans="1:7" hidden="1">
      <c r="A38" s="3287" t="s">
        <v>1131</v>
      </c>
      <c r="B38" s="3288"/>
      <c r="C38" s="3288"/>
      <c r="D38" s="3289"/>
      <c r="E38" s="3290"/>
      <c r="F38" s="3290"/>
      <c r="G38" s="32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1606</v>
      </c>
    </row>
    <row r="2" spans="1:1">
      <c r="A2" s="1946"/>
    </row>
    <row r="3" spans="1:1" ht="18">
      <c r="A3" s="1947" t="str">
        <f>项目基本情况!B5&amp;"："</f>
        <v>北京农商银行股份有限公司东城支行：</v>
      </c>
    </row>
    <row r="4" spans="1:1" ht="36">
      <c r="A4" s="1948" t="str">
        <f>"受贵公司委托，我公司对"&amp;项目基本情况!S1&amp;"进行了预评估。"</f>
        <v>受贵公司委托，我公司对北京市朝阳区建国门外郎家园6号“郎园Vintage”项目房地产抵押价值进行了预评估。</v>
      </c>
    </row>
    <row r="5" spans="1:1" ht="18.75">
      <c r="A5" s="1949" t="s">
        <v>1607</v>
      </c>
    </row>
    <row r="6" spans="1:1" ht="18.75">
      <c r="A6" s="1950" t="s">
        <v>1608</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郎家园6号“郎园Vintage”项目房地产，为北京尚博地投资顾问有限公司所有。根据《国有土地使用证》[]，估价对象（分摊）出让国有建设用地使用权面积为18455.76平方米。根据《房屋所有权证》[]、《测绘报告》[]，估价对象建筑面积为27202.3平方米。</v>
      </c>
    </row>
    <row r="8" spans="1:1" ht="57.75">
      <c r="A8" s="1951" t="s">
        <v>1609</v>
      </c>
    </row>
    <row r="9" spans="1:1" ht="18.75">
      <c r="A9" s="1950" t="s">
        <v>1610</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郎家园6号“郎园Vintage”项目房地产,为北京尚博地投资顾问有限公司开发建设的综合项目（商业、办公），该项目尚在开发建设中。根据《国有土地使用证》[]，估价对象（分摊）出让国有建设用地使用权面积为18455.76平方米。根据《房屋所有权证》[]、《测绘报告》[]，估价对象规划建筑面积为27202.3平方米。</v>
      </c>
    </row>
    <row r="11" spans="1:1" ht="76.5">
      <c r="A11" s="1951" t="s">
        <v>1611</v>
      </c>
    </row>
    <row r="12" spans="1:1" ht="18.75">
      <c r="A12" s="1949" t="s">
        <v>1612</v>
      </c>
    </row>
    <row r="13" spans="1:1" ht="38.25" customHeight="1">
      <c r="A13" s="1952" t="str">
        <f>IF(项目基本情况!B8="抵押",IF(项目基本情况!B5=项目基本情况!B6,定义!C51,定义!B51),定义!D51)</f>
        <v>北京尚博地投资顾问有限公司拟使用北京市朝阳区建国门外郎家园6号“郎园Vintage”项目房地产作为抵押担保物，向北京农商银行股份有限公司东城支行办理贷款手续。北京农商银行股份有限公司东城支行特委托北京康正宏基房地产评估有限公司对上述抵押物进行评估。本次评估为确定房地产抵押贷款额度提供参考依据而评估房地产抵押价值。</v>
      </c>
    </row>
    <row r="14" spans="1:1" ht="18.75">
      <c r="A14" s="1953" t="s">
        <v>1613</v>
      </c>
    </row>
    <row r="15" spans="1:1" ht="18">
      <c r="A15" s="1954" t="str">
        <f>TEXT(项目基本情况!D3,"yyyy年m月d日;;")&amp;IF(项目基本情况!D3=项目基本情况!B3,"（评估专业人员实地查勘之日）","")</f>
        <v>2019年5月7日（评估专业人员实地查勘之日）</v>
      </c>
    </row>
    <row r="16" spans="1:1" ht="18.75">
      <c r="A16" s="1953" t="s">
        <v>1614</v>
      </c>
    </row>
    <row r="17" spans="1:1" ht="75">
      <c r="A17" s="1948" t="s">
        <v>1615</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7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1604</v>
      </c>
    </row>
    <row r="24" spans="1:1" ht="18">
      <c r="A24" s="1955" t="str">
        <f>"本次评估采用的主估价方法为"&amp;结果表!K4&amp;"和"&amp;结果表!L4&amp;"。"</f>
        <v>本次评估采用的主估价方法为成本法和收益法。</v>
      </c>
    </row>
    <row r="25" spans="1:1" ht="18">
      <c r="A25" s="1955"/>
    </row>
    <row r="26" spans="1:1" ht="18.75">
      <c r="A26" s="1956" t="s">
        <v>1605</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90"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33" sqref="J3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5" t="s">
        <v>2525</v>
      </c>
      <c r="C1" s="1634" t="s">
        <v>2526</v>
      </c>
      <c r="D1" s="1621"/>
      <c r="E1" s="2586"/>
      <c r="F1" s="2587" t="s">
        <v>2527</v>
      </c>
      <c r="G1" s="1631" t="s">
        <v>2528</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9"/>
      <c r="D2" s="1365" t="e">
        <f ca="1">SUMIF(INDIRECT("'"&amp;F2&amp;"'"&amp;"!A:A"),"承租人权益价值",INDIRECT("'"&amp;F2&amp;"'"&amp;"!c:c"))</f>
        <v>#REF!</v>
      </c>
      <c r="E2" s="2590" t="s">
        <v>2529</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2530</v>
      </c>
      <c r="D3" s="399">
        <f>IF(D1="",'数据-汇总表'!E3,SUMIF('数据-汇总表'!$C19:$C33,D1,'数据-汇总表'!$E19:$E33))</f>
        <v>27202.3</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2531</v>
      </c>
      <c r="B4" s="402"/>
      <c r="C4" s="3326" t="s">
        <v>2532</v>
      </c>
      <c r="D4" s="3327"/>
      <c r="E4" s="3328" t="s">
        <v>2533</v>
      </c>
      <c r="F4" s="3329"/>
      <c r="G4" s="3326" t="s">
        <v>2534</v>
      </c>
      <c r="H4" s="3327"/>
      <c r="I4" s="3326" t="s">
        <v>2535</v>
      </c>
      <c r="J4" s="3327"/>
      <c r="K4" s="2599" t="s">
        <v>2536</v>
      </c>
      <c r="L4" s="1130"/>
      <c r="M4" s="1131"/>
      <c r="N4" s="1131"/>
      <c r="O4" s="1131"/>
      <c r="P4" s="3330" t="s">
        <v>2537</v>
      </c>
      <c r="Q4" s="3331"/>
      <c r="R4" s="3336" t="s">
        <v>2533</v>
      </c>
      <c r="S4" s="3337"/>
      <c r="T4" s="3336" t="s">
        <v>2534</v>
      </c>
      <c r="U4" s="3337"/>
      <c r="V4" s="3342" t="s">
        <v>2535</v>
      </c>
      <c r="W4" s="3342"/>
      <c r="X4" s="1813"/>
      <c r="Y4" s="3336" t="s">
        <v>2537</v>
      </c>
      <c r="Z4" s="3337"/>
      <c r="AA4" s="3323" t="s">
        <v>2533</v>
      </c>
      <c r="AB4" s="3323" t="s">
        <v>2534</v>
      </c>
      <c r="AC4" s="3323" t="s">
        <v>2535</v>
      </c>
    </row>
    <row r="5" spans="1:29" ht="15">
      <c r="A5" s="404"/>
      <c r="B5" s="405"/>
      <c r="C5" s="3345" t="s">
        <v>2538</v>
      </c>
      <c r="D5" s="3346"/>
      <c r="E5" s="3352" t="s">
        <v>2539</v>
      </c>
      <c r="F5" s="3353"/>
      <c r="G5" s="3345" t="s">
        <v>2540</v>
      </c>
      <c r="H5" s="3346"/>
      <c r="I5" s="3345" t="s">
        <v>2541</v>
      </c>
      <c r="J5" s="3346"/>
      <c r="K5" s="2600"/>
      <c r="L5" s="1130"/>
      <c r="M5" s="1131"/>
      <c r="N5" s="1131"/>
      <c r="O5" s="1131"/>
      <c r="P5" s="3332"/>
      <c r="Q5" s="3333"/>
      <c r="R5" s="3338"/>
      <c r="S5" s="3339"/>
      <c r="T5" s="3338"/>
      <c r="U5" s="3339"/>
      <c r="V5" s="3342"/>
      <c r="W5" s="3342"/>
      <c r="X5" s="1813"/>
      <c r="Y5" s="3338"/>
      <c r="Z5" s="3339"/>
      <c r="AA5" s="3324"/>
      <c r="AB5" s="3324"/>
      <c r="AC5" s="3324"/>
    </row>
    <row r="6" spans="1:29" ht="15.75" thickBot="1">
      <c r="A6" s="406"/>
      <c r="B6" s="407"/>
      <c r="C6" s="3343" t="s">
        <v>2542</v>
      </c>
      <c r="D6" s="3344"/>
      <c r="E6" s="3350" t="s">
        <v>2542</v>
      </c>
      <c r="F6" s="3351"/>
      <c r="G6" s="3343" t="s">
        <v>2542</v>
      </c>
      <c r="H6" s="3344"/>
      <c r="I6" s="3343" t="s">
        <v>2542</v>
      </c>
      <c r="J6" s="3344"/>
      <c r="K6" s="2600" t="s">
        <v>2543</v>
      </c>
      <c r="L6" s="1130"/>
      <c r="M6" s="1131"/>
      <c r="N6" s="1131"/>
      <c r="O6" s="1131"/>
      <c r="P6" s="3334"/>
      <c r="Q6" s="3335"/>
      <c r="R6" s="3338"/>
      <c r="S6" s="3339"/>
      <c r="T6" s="3340"/>
      <c r="U6" s="3341"/>
      <c r="V6" s="3342"/>
      <c r="W6" s="3342"/>
      <c r="X6" s="1813"/>
      <c r="Y6" s="3340"/>
      <c r="Z6" s="3341"/>
      <c r="AA6" s="3325"/>
      <c r="AB6" s="3325"/>
      <c r="AC6" s="3325"/>
    </row>
    <row r="7" spans="1:29" s="117" customFormat="1" ht="15.75" thickBot="1">
      <c r="A7" s="408" t="s">
        <v>2544</v>
      </c>
      <c r="B7" s="409"/>
      <c r="C7" s="410">
        <f>'数据-取费表'!B2</f>
        <v>43592</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347" t="s">
        <v>2545</v>
      </c>
      <c r="Q7" s="3349"/>
      <c r="R7" s="770" t="s">
        <v>23</v>
      </c>
      <c r="S7" s="771">
        <f t="shared" ref="S7:S15" si="0">F7</f>
        <v>0</v>
      </c>
      <c r="T7" s="770" t="s">
        <v>23</v>
      </c>
      <c r="U7" s="771">
        <f t="shared" ref="U7:U15" si="1">H7</f>
        <v>0</v>
      </c>
      <c r="V7" s="770" t="s">
        <v>23</v>
      </c>
      <c r="W7" s="771">
        <f t="shared" ref="W7:W15" si="2">J7</f>
        <v>0</v>
      </c>
      <c r="X7" s="772"/>
      <c r="Y7" s="3347" t="s">
        <v>2545</v>
      </c>
      <c r="Z7" s="3348"/>
      <c r="AA7" s="773" t="e">
        <f>D7/F7</f>
        <v>#DIV/0!</v>
      </c>
      <c r="AB7" s="773" t="e">
        <f>D7/H7</f>
        <v>#DIV/0!</v>
      </c>
      <c r="AC7" s="773" t="e">
        <f>D7/J7</f>
        <v>#DIV/0!</v>
      </c>
    </row>
    <row r="8" spans="1:29" s="117" customFormat="1" ht="15.75" thickBot="1">
      <c r="A8" s="408" t="s">
        <v>2546</v>
      </c>
      <c r="B8" s="409"/>
      <c r="C8" s="414" t="s">
        <v>2547</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347" t="s">
        <v>2548</v>
      </c>
      <c r="Q8" s="3348"/>
      <c r="R8" s="770" t="s">
        <v>23</v>
      </c>
      <c r="S8" s="771">
        <f t="shared" si="0"/>
        <v>0</v>
      </c>
      <c r="T8" s="770" t="s">
        <v>23</v>
      </c>
      <c r="U8" s="771">
        <f t="shared" si="1"/>
        <v>0</v>
      </c>
      <c r="V8" s="770" t="s">
        <v>23</v>
      </c>
      <c r="W8" s="771">
        <f t="shared" si="2"/>
        <v>0</v>
      </c>
      <c r="X8" s="772"/>
      <c r="Y8" s="3347" t="s">
        <v>2548</v>
      </c>
      <c r="Z8" s="3348"/>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322" t="s">
        <v>2551</v>
      </c>
      <c r="Q9" s="1795" t="str">
        <f t="shared" ref="Q9:Q15" si="6">B9</f>
        <v>用途</v>
      </c>
      <c r="R9" s="770" t="s">
        <v>17</v>
      </c>
      <c r="S9" s="771">
        <f t="shared" si="0"/>
        <v>100</v>
      </c>
      <c r="T9" s="770" t="s">
        <v>17</v>
      </c>
      <c r="U9" s="771">
        <f t="shared" si="1"/>
        <v>100</v>
      </c>
      <c r="V9" s="770" t="s">
        <v>17</v>
      </c>
      <c r="W9" s="771">
        <f t="shared" si="2"/>
        <v>100</v>
      </c>
      <c r="X9" s="772"/>
      <c r="Y9" s="308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322"/>
      <c r="Q10" s="1795"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322"/>
      <c r="Q11" s="1795" t="str">
        <f t="shared" si="6"/>
        <v>容积率</v>
      </c>
      <c r="R11" s="770" t="s">
        <v>21</v>
      </c>
      <c r="S11" s="771" t="e">
        <f t="shared" si="0"/>
        <v>#N/A</v>
      </c>
      <c r="T11" s="770" t="s">
        <v>21</v>
      </c>
      <c r="U11" s="771" t="e">
        <f t="shared" si="1"/>
        <v>#N/A</v>
      </c>
      <c r="V11" s="770" t="s">
        <v>21</v>
      </c>
      <c r="W11" s="771" t="e">
        <f t="shared" si="2"/>
        <v>#N/A</v>
      </c>
      <c r="X11" s="772"/>
      <c r="Y11" s="3088"/>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322"/>
      <c r="Q12" s="1795">
        <f t="shared" si="6"/>
        <v>111</v>
      </c>
      <c r="R12" s="770" t="s">
        <v>21</v>
      </c>
      <c r="S12" s="771">
        <f t="shared" si="0"/>
        <v>100</v>
      </c>
      <c r="T12" s="770" t="s">
        <v>21</v>
      </c>
      <c r="U12" s="771">
        <f t="shared" si="1"/>
        <v>100</v>
      </c>
      <c r="V12" s="770" t="s">
        <v>21</v>
      </c>
      <c r="W12" s="771">
        <f t="shared" si="2"/>
        <v>100</v>
      </c>
      <c r="X12" s="772"/>
      <c r="Y12" s="308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322"/>
      <c r="Q13" s="1795">
        <f t="shared" si="6"/>
        <v>111</v>
      </c>
      <c r="R13" s="770" t="s">
        <v>21</v>
      </c>
      <c r="S13" s="771">
        <f t="shared" si="0"/>
        <v>100</v>
      </c>
      <c r="T13" s="770" t="s">
        <v>21</v>
      </c>
      <c r="U13" s="771">
        <f t="shared" si="1"/>
        <v>100</v>
      </c>
      <c r="V13" s="770" t="s">
        <v>21</v>
      </c>
      <c r="W13" s="771">
        <f t="shared" si="2"/>
        <v>100</v>
      </c>
      <c r="X13" s="772"/>
      <c r="Y13" s="3088"/>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322"/>
      <c r="Q14" s="1795">
        <f t="shared" si="6"/>
        <v>111</v>
      </c>
      <c r="R14" s="770" t="s">
        <v>21</v>
      </c>
      <c r="S14" s="771">
        <f t="shared" si="0"/>
        <v>100</v>
      </c>
      <c r="T14" s="770" t="s">
        <v>21</v>
      </c>
      <c r="U14" s="771">
        <f t="shared" si="1"/>
        <v>100</v>
      </c>
      <c r="V14" s="770" t="s">
        <v>21</v>
      </c>
      <c r="W14" s="771">
        <f t="shared" si="2"/>
        <v>100</v>
      </c>
      <c r="X14" s="772"/>
      <c r="Y14" s="3088"/>
      <c r="Z14" s="55">
        <f t="shared" si="7"/>
        <v>111</v>
      </c>
      <c r="AA14" s="773">
        <f t="shared" si="3"/>
        <v>1</v>
      </c>
      <c r="AB14" s="773">
        <f t="shared" si="4"/>
        <v>1</v>
      </c>
      <c r="AC14" s="773">
        <f t="shared" si="5"/>
        <v>1</v>
      </c>
    </row>
    <row r="15" spans="1:29" ht="99.75">
      <c r="A15" s="440" t="s">
        <v>2555</v>
      </c>
      <c r="B15" s="69" t="s">
        <v>2083</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20" t="s">
        <v>2556</v>
      </c>
      <c r="Q15" s="1810" t="str">
        <f t="shared" si="6"/>
        <v>居住社区成熟度</v>
      </c>
      <c r="R15" s="774" t="s">
        <v>21</v>
      </c>
      <c r="S15" s="775">
        <f t="shared" si="0"/>
        <v>100</v>
      </c>
      <c r="T15" s="774" t="s">
        <v>21</v>
      </c>
      <c r="U15" s="775">
        <f t="shared" si="1"/>
        <v>100</v>
      </c>
      <c r="V15" s="774" t="s">
        <v>21</v>
      </c>
      <c r="W15" s="775">
        <f t="shared" si="2"/>
        <v>100</v>
      </c>
      <c r="X15" s="1813"/>
      <c r="Y15" s="3313" t="s">
        <v>2556</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321"/>
      <c r="Q16" s="1810"/>
      <c r="R16" s="774"/>
      <c r="S16" s="775"/>
      <c r="T16" s="774"/>
      <c r="U16" s="775"/>
      <c r="V16" s="774"/>
      <c r="W16" s="775"/>
      <c r="X16" s="1813"/>
      <c r="Y16" s="3314"/>
      <c r="Z16" s="1814"/>
      <c r="AA16" s="1811">
        <v>1</v>
      </c>
      <c r="AB16" s="1811">
        <v>1</v>
      </c>
      <c r="AC16" s="1811">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21"/>
      <c r="Q17" s="1810" t="str">
        <f>B17</f>
        <v>交通便捷度</v>
      </c>
      <c r="R17" s="774" t="s">
        <v>21</v>
      </c>
      <c r="S17" s="775">
        <f>F17</f>
        <v>100</v>
      </c>
      <c r="T17" s="774" t="s">
        <v>21</v>
      </c>
      <c r="U17" s="775">
        <f>H17</f>
        <v>100</v>
      </c>
      <c r="V17" s="774" t="s">
        <v>21</v>
      </c>
      <c r="W17" s="775">
        <f>J17</f>
        <v>100</v>
      </c>
      <c r="X17" s="1813"/>
      <c r="Y17" s="3314"/>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321"/>
      <c r="Q18" s="1810"/>
      <c r="R18" s="774"/>
      <c r="S18" s="775"/>
      <c r="T18" s="774"/>
      <c r="U18" s="775"/>
      <c r="V18" s="774"/>
      <c r="W18" s="775"/>
      <c r="X18" s="1813"/>
      <c r="Y18" s="3314"/>
      <c r="Z18" s="1814"/>
      <c r="AA18" s="1811">
        <v>1</v>
      </c>
      <c r="AB18" s="1811">
        <v>1</v>
      </c>
      <c r="AC18" s="1811">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21"/>
      <c r="Q19" s="1810" t="str">
        <f>B19</f>
        <v>公共配套设施</v>
      </c>
      <c r="R19" s="774" t="s">
        <v>21</v>
      </c>
      <c r="S19" s="775">
        <f>F19</f>
        <v>100</v>
      </c>
      <c r="T19" s="774" t="s">
        <v>21</v>
      </c>
      <c r="U19" s="775">
        <f>H19</f>
        <v>100</v>
      </c>
      <c r="V19" s="774" t="s">
        <v>21</v>
      </c>
      <c r="W19" s="775">
        <f>J19</f>
        <v>100</v>
      </c>
      <c r="X19" s="1813"/>
      <c r="Y19" s="3314"/>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321"/>
      <c r="Q20" s="1810"/>
      <c r="R20" s="774"/>
      <c r="S20" s="775"/>
      <c r="T20" s="774"/>
      <c r="U20" s="775"/>
      <c r="V20" s="774"/>
      <c r="W20" s="775"/>
      <c r="X20" s="1813"/>
      <c r="Y20" s="3314"/>
      <c r="Z20" s="1814"/>
      <c r="AA20" s="1811">
        <v>1</v>
      </c>
      <c r="AB20" s="1811">
        <v>1</v>
      </c>
      <c r="AC20" s="1811">
        <v>1</v>
      </c>
    </row>
    <row r="21" spans="1:29" ht="28.5">
      <c r="A21" s="428"/>
      <c r="B21" s="1384"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21"/>
      <c r="Q21" s="1810" t="str">
        <f>B21</f>
        <v>基础设施水平</v>
      </c>
      <c r="R21" s="774" t="s">
        <v>17</v>
      </c>
      <c r="S21" s="775">
        <f>F21</f>
        <v>100</v>
      </c>
      <c r="T21" s="774" t="s">
        <v>17</v>
      </c>
      <c r="U21" s="775">
        <f>H21</f>
        <v>100</v>
      </c>
      <c r="V21" s="774" t="s">
        <v>17</v>
      </c>
      <c r="W21" s="775">
        <f>J21</f>
        <v>100</v>
      </c>
      <c r="X21" s="1813"/>
      <c r="Y21" s="3314"/>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321"/>
      <c r="Q22" s="1810"/>
      <c r="R22" s="774"/>
      <c r="S22" s="775"/>
      <c r="T22" s="774"/>
      <c r="U22" s="775"/>
      <c r="V22" s="774"/>
      <c r="W22" s="775"/>
      <c r="X22" s="1813"/>
      <c r="Y22" s="3314"/>
      <c r="Z22" s="1814"/>
      <c r="AA22" s="1811">
        <v>1</v>
      </c>
      <c r="AB22" s="1811">
        <v>1</v>
      </c>
      <c r="AC22" s="1811">
        <v>1</v>
      </c>
    </row>
    <row r="23" spans="1:29" ht="57">
      <c r="A23" s="428"/>
      <c r="B23" s="451" t="s">
        <v>2100</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21"/>
      <c r="Q23" s="1810" t="str">
        <f>B23</f>
        <v>自然及人文环境</v>
      </c>
      <c r="R23" s="774" t="s">
        <v>21</v>
      </c>
      <c r="S23" s="775">
        <f>F23</f>
        <v>100</v>
      </c>
      <c r="T23" s="774" t="s">
        <v>21</v>
      </c>
      <c r="U23" s="775">
        <f>H23</f>
        <v>100</v>
      </c>
      <c r="V23" s="774" t="s">
        <v>21</v>
      </c>
      <c r="W23" s="775">
        <f>J23</f>
        <v>100</v>
      </c>
      <c r="X23" s="1813"/>
      <c r="Y23" s="3314"/>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321"/>
      <c r="Q24" s="1810"/>
      <c r="R24" s="774"/>
      <c r="S24" s="775"/>
      <c r="T24" s="774"/>
      <c r="U24" s="775"/>
      <c r="V24" s="774"/>
      <c r="W24" s="775"/>
      <c r="X24" s="1813"/>
      <c r="Y24" s="3314"/>
      <c r="Z24" s="1814"/>
      <c r="AA24" s="1811">
        <v>1</v>
      </c>
      <c r="AB24" s="1811">
        <v>1</v>
      </c>
      <c r="AC24" s="1811">
        <v>1</v>
      </c>
    </row>
    <row r="25" spans="1:29" ht="15">
      <c r="A25" s="428"/>
      <c r="B25" s="422" t="s">
        <v>2557</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32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314"/>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321"/>
      <c r="Q26" s="1810" t="str">
        <f t="shared" si="11"/>
        <v>朝向</v>
      </c>
      <c r="R26" s="774" t="s">
        <v>21</v>
      </c>
      <c r="S26" s="775">
        <f t="shared" si="12"/>
        <v>100</v>
      </c>
      <c r="T26" s="774" t="s">
        <v>21</v>
      </c>
      <c r="U26" s="775">
        <f t="shared" si="13"/>
        <v>100</v>
      </c>
      <c r="V26" s="774" t="s">
        <v>21</v>
      </c>
      <c r="W26" s="775">
        <f t="shared" si="14"/>
        <v>100</v>
      </c>
      <c r="X26" s="1813"/>
      <c r="Y26" s="331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321"/>
      <c r="Q27" s="1795">
        <f t="shared" si="11"/>
        <v>111</v>
      </c>
      <c r="R27" s="770" t="s">
        <v>21</v>
      </c>
      <c r="S27" s="771">
        <f t="shared" si="12"/>
        <v>100</v>
      </c>
      <c r="T27" s="770" t="s">
        <v>21</v>
      </c>
      <c r="U27" s="771">
        <f t="shared" si="13"/>
        <v>100</v>
      </c>
      <c r="V27" s="770" t="s">
        <v>21</v>
      </c>
      <c r="W27" s="771">
        <f t="shared" si="14"/>
        <v>100</v>
      </c>
      <c r="X27" s="772"/>
      <c r="Y27" s="331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321"/>
      <c r="Q28" s="1810">
        <f t="shared" si="11"/>
        <v>111</v>
      </c>
      <c r="R28" s="774" t="s">
        <v>21</v>
      </c>
      <c r="S28" s="775">
        <f t="shared" si="12"/>
        <v>100</v>
      </c>
      <c r="T28" s="774" t="s">
        <v>21</v>
      </c>
      <c r="U28" s="775">
        <f t="shared" si="13"/>
        <v>100</v>
      </c>
      <c r="V28" s="774" t="s">
        <v>21</v>
      </c>
      <c r="W28" s="775">
        <f t="shared" si="14"/>
        <v>100</v>
      </c>
      <c r="X28" s="1813"/>
      <c r="Y28" s="331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321"/>
      <c r="Q29" s="1810">
        <f t="shared" si="11"/>
        <v>111</v>
      </c>
      <c r="R29" s="774" t="s">
        <v>21</v>
      </c>
      <c r="S29" s="775">
        <f t="shared" si="12"/>
        <v>100</v>
      </c>
      <c r="T29" s="774" t="s">
        <v>21</v>
      </c>
      <c r="U29" s="775">
        <f t="shared" si="13"/>
        <v>100</v>
      </c>
      <c r="V29" s="774" t="s">
        <v>21</v>
      </c>
      <c r="W29" s="775">
        <f t="shared" si="14"/>
        <v>100</v>
      </c>
      <c r="X29" s="1813"/>
      <c r="Y29" s="331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321"/>
      <c r="Q30" s="1810">
        <f t="shared" si="11"/>
        <v>111</v>
      </c>
      <c r="R30" s="774" t="s">
        <v>21</v>
      </c>
      <c r="S30" s="775">
        <f t="shared" si="12"/>
        <v>100</v>
      </c>
      <c r="T30" s="774" t="s">
        <v>21</v>
      </c>
      <c r="U30" s="775">
        <f t="shared" si="13"/>
        <v>100</v>
      </c>
      <c r="V30" s="774" t="s">
        <v>21</v>
      </c>
      <c r="W30" s="775">
        <f t="shared" si="14"/>
        <v>100</v>
      </c>
      <c r="X30" s="1813"/>
      <c r="Y30" s="331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321"/>
      <c r="Q31" s="1810">
        <f t="shared" si="11"/>
        <v>111</v>
      </c>
      <c r="R31" s="774" t="s">
        <v>21</v>
      </c>
      <c r="S31" s="775">
        <f t="shared" si="12"/>
        <v>100</v>
      </c>
      <c r="T31" s="774" t="s">
        <v>21</v>
      </c>
      <c r="U31" s="775">
        <f t="shared" si="13"/>
        <v>100</v>
      </c>
      <c r="V31" s="774" t="s">
        <v>21</v>
      </c>
      <c r="W31" s="775">
        <f t="shared" si="14"/>
        <v>100</v>
      </c>
      <c r="X31" s="1813"/>
      <c r="Y31" s="3314"/>
      <c r="Z31" s="1814">
        <f t="shared" si="18"/>
        <v>111</v>
      </c>
      <c r="AA31" s="1811">
        <f t="shared" si="15"/>
        <v>1</v>
      </c>
      <c r="AB31" s="1811">
        <f t="shared" si="16"/>
        <v>1</v>
      </c>
      <c r="AC31" s="1811">
        <f t="shared" si="17"/>
        <v>1</v>
      </c>
    </row>
    <row r="32" spans="1:29" ht="15">
      <c r="A32" s="440" t="s">
        <v>2559</v>
      </c>
      <c r="B32" s="71" t="s">
        <v>2560</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315" t="s">
        <v>2561</v>
      </c>
      <c r="Q32" s="1810" t="str">
        <f t="shared" si="11"/>
        <v>建筑类型</v>
      </c>
      <c r="R32" s="774" t="s">
        <v>21</v>
      </c>
      <c r="S32" s="775">
        <f t="shared" si="12"/>
        <v>100</v>
      </c>
      <c r="T32" s="774" t="s">
        <v>21</v>
      </c>
      <c r="U32" s="775">
        <f t="shared" si="13"/>
        <v>100</v>
      </c>
      <c r="V32" s="774" t="s">
        <v>21</v>
      </c>
      <c r="W32" s="775">
        <f t="shared" si="14"/>
        <v>100</v>
      </c>
      <c r="X32" s="1813"/>
      <c r="Y32" s="3318"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316"/>
      <c r="Q33" s="776" t="str">
        <f t="shared" si="11"/>
        <v>项目建筑规模</v>
      </c>
      <c r="R33" s="777" t="s">
        <v>21</v>
      </c>
      <c r="S33" s="778" t="e">
        <f t="shared" si="12"/>
        <v>#N/A</v>
      </c>
      <c r="T33" s="777" t="s">
        <v>21</v>
      </c>
      <c r="U33" s="778" t="e">
        <f t="shared" si="13"/>
        <v>#N/A</v>
      </c>
      <c r="V33" s="777" t="s">
        <v>21</v>
      </c>
      <c r="W33" s="778" t="e">
        <f t="shared" si="14"/>
        <v>#N/A</v>
      </c>
      <c r="X33" s="779"/>
      <c r="Y33" s="3318"/>
      <c r="Z33" s="780" t="str">
        <f t="shared" si="18"/>
        <v>项目建筑规模</v>
      </c>
      <c r="AA33" s="1811" t="e">
        <f t="shared" si="15"/>
        <v>#N/A</v>
      </c>
      <c r="AB33" s="1811" t="e">
        <f t="shared" si="16"/>
        <v>#N/A</v>
      </c>
      <c r="AC33" s="1811" t="e">
        <f t="shared" si="17"/>
        <v>#N/A</v>
      </c>
    </row>
    <row r="34" spans="1:29" ht="15">
      <c r="A34" s="472"/>
      <c r="B34" s="422" t="s">
        <v>2563</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316"/>
      <c r="Q34" s="1810" t="str">
        <f t="shared" si="11"/>
        <v>建筑结构</v>
      </c>
      <c r="R34" s="774" t="s">
        <v>21</v>
      </c>
      <c r="S34" s="775">
        <f t="shared" si="12"/>
        <v>100</v>
      </c>
      <c r="T34" s="774" t="s">
        <v>21</v>
      </c>
      <c r="U34" s="775">
        <f t="shared" si="13"/>
        <v>100</v>
      </c>
      <c r="V34" s="774" t="s">
        <v>21</v>
      </c>
      <c r="W34" s="775">
        <f t="shared" si="14"/>
        <v>100</v>
      </c>
      <c r="X34" s="1813"/>
      <c r="Y34" s="3318"/>
      <c r="Z34" s="1814" t="str">
        <f t="shared" si="18"/>
        <v>建筑结构</v>
      </c>
      <c r="AA34" s="1811">
        <f t="shared" si="15"/>
        <v>1</v>
      </c>
      <c r="AB34" s="1811">
        <f t="shared" si="16"/>
        <v>1</v>
      </c>
      <c r="AC34" s="1811">
        <f t="shared" si="17"/>
        <v>1</v>
      </c>
    </row>
    <row r="35" spans="1:29" ht="15">
      <c r="A35" s="472"/>
      <c r="B35" s="422" t="s">
        <v>2564</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316"/>
      <c r="Q35" s="1810" t="str">
        <f t="shared" si="11"/>
        <v>建筑品质</v>
      </c>
      <c r="R35" s="774" t="s">
        <v>21</v>
      </c>
      <c r="S35" s="775">
        <f t="shared" si="12"/>
        <v>100</v>
      </c>
      <c r="T35" s="774" t="s">
        <v>21</v>
      </c>
      <c r="U35" s="775">
        <f t="shared" si="13"/>
        <v>100</v>
      </c>
      <c r="V35" s="774" t="s">
        <v>21</v>
      </c>
      <c r="W35" s="775">
        <f t="shared" si="14"/>
        <v>100</v>
      </c>
      <c r="X35" s="1813"/>
      <c r="Y35" s="3318"/>
      <c r="Z35" s="1814" t="str">
        <f t="shared" si="18"/>
        <v>建筑品质</v>
      </c>
      <c r="AA35" s="1811">
        <f t="shared" si="15"/>
        <v>1</v>
      </c>
      <c r="AB35" s="1811">
        <f t="shared" si="16"/>
        <v>1</v>
      </c>
      <c r="AC35" s="1811">
        <f t="shared" si="17"/>
        <v>1</v>
      </c>
    </row>
    <row r="36" spans="1:29" ht="15">
      <c r="A36" s="472"/>
      <c r="B36" s="422" t="s">
        <v>2565</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316"/>
      <c r="Q36" s="1810" t="str">
        <f t="shared" si="11"/>
        <v>公共部分装修</v>
      </c>
      <c r="R36" s="774" t="s">
        <v>21</v>
      </c>
      <c r="S36" s="775">
        <f t="shared" si="12"/>
        <v>100</v>
      </c>
      <c r="T36" s="774" t="s">
        <v>21</v>
      </c>
      <c r="U36" s="775">
        <f t="shared" si="13"/>
        <v>100</v>
      </c>
      <c r="V36" s="774" t="s">
        <v>21</v>
      </c>
      <c r="W36" s="775">
        <f t="shared" si="14"/>
        <v>100</v>
      </c>
      <c r="X36" s="1813"/>
      <c r="Y36" s="3318"/>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16"/>
      <c r="Q37" s="1795" t="str">
        <f t="shared" si="11"/>
        <v>成新度</v>
      </c>
      <c r="R37" s="770" t="s">
        <v>21</v>
      </c>
      <c r="S37" s="771" t="e">
        <f t="shared" si="12"/>
        <v>#N/A</v>
      </c>
      <c r="T37" s="770" t="s">
        <v>21</v>
      </c>
      <c r="U37" s="771" t="e">
        <f t="shared" si="13"/>
        <v>#N/A</v>
      </c>
      <c r="V37" s="770" t="s">
        <v>21</v>
      </c>
      <c r="W37" s="771" t="e">
        <f t="shared" si="14"/>
        <v>#N/A</v>
      </c>
      <c r="X37" s="772"/>
      <c r="Y37" s="3318"/>
      <c r="Z37" s="55" t="str">
        <f t="shared" si="18"/>
        <v>成新度</v>
      </c>
      <c r="AA37" s="773" t="e">
        <f t="shared" si="15"/>
        <v>#N/A</v>
      </c>
      <c r="AB37" s="773" t="e">
        <f t="shared" si="16"/>
        <v>#N/A</v>
      </c>
      <c r="AC37" s="773" t="e">
        <f t="shared" si="17"/>
        <v>#N/A</v>
      </c>
    </row>
    <row r="38" spans="1:29" ht="15">
      <c r="A38" s="472"/>
      <c r="B38" s="422" t="s">
        <v>2567</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316" t="s">
        <v>2561</v>
      </c>
      <c r="Q38" s="1810" t="str">
        <f t="shared" si="11"/>
        <v>物业管理</v>
      </c>
      <c r="R38" s="774" t="s">
        <v>21</v>
      </c>
      <c r="S38" s="775">
        <f t="shared" si="12"/>
        <v>100</v>
      </c>
      <c r="T38" s="774" t="s">
        <v>21</v>
      </c>
      <c r="U38" s="775">
        <f t="shared" si="13"/>
        <v>100</v>
      </c>
      <c r="V38" s="774" t="s">
        <v>21</v>
      </c>
      <c r="W38" s="775">
        <f t="shared" si="14"/>
        <v>100</v>
      </c>
      <c r="X38" s="1813"/>
      <c r="Y38" s="3318" t="s">
        <v>2561</v>
      </c>
      <c r="Z38" s="1814" t="str">
        <f t="shared" si="18"/>
        <v>物业管理</v>
      </c>
      <c r="AA38" s="1811">
        <f t="shared" si="15"/>
        <v>1</v>
      </c>
      <c r="AB38" s="1811">
        <f t="shared" si="16"/>
        <v>1</v>
      </c>
      <c r="AC38" s="1811">
        <f t="shared" si="17"/>
        <v>1</v>
      </c>
    </row>
    <row r="39" spans="1:29" ht="15">
      <c r="A39" s="472"/>
      <c r="B39" s="422" t="s">
        <v>2568</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316"/>
      <c r="Q39" s="1810" t="str">
        <f t="shared" si="11"/>
        <v>市政基础设施</v>
      </c>
      <c r="R39" s="774" t="s">
        <v>21</v>
      </c>
      <c r="S39" s="775">
        <f t="shared" si="12"/>
        <v>100</v>
      </c>
      <c r="T39" s="774" t="s">
        <v>21</v>
      </c>
      <c r="U39" s="775">
        <f t="shared" si="13"/>
        <v>100</v>
      </c>
      <c r="V39" s="774" t="s">
        <v>21</v>
      </c>
      <c r="W39" s="775">
        <f t="shared" si="14"/>
        <v>100</v>
      </c>
      <c r="X39" s="1813"/>
      <c r="Y39" s="3318"/>
      <c r="Z39" s="1814" t="str">
        <f t="shared" si="18"/>
        <v>市政基础设施</v>
      </c>
      <c r="AA39" s="1811">
        <f t="shared" si="15"/>
        <v>1</v>
      </c>
      <c r="AB39" s="1811">
        <f t="shared" si="16"/>
        <v>1</v>
      </c>
      <c r="AC39" s="1811">
        <f t="shared" si="17"/>
        <v>1</v>
      </c>
    </row>
    <row r="40" spans="1:29" ht="15">
      <c r="A40" s="472"/>
      <c r="B40" s="422" t="s">
        <v>2569</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316"/>
      <c r="Q40" s="1810" t="str">
        <f t="shared" si="11"/>
        <v>房型</v>
      </c>
      <c r="R40" s="774" t="s">
        <v>21</v>
      </c>
      <c r="S40" s="775">
        <f t="shared" si="12"/>
        <v>100</v>
      </c>
      <c r="T40" s="774" t="s">
        <v>21</v>
      </c>
      <c r="U40" s="775">
        <f t="shared" si="13"/>
        <v>100</v>
      </c>
      <c r="V40" s="774" t="s">
        <v>21</v>
      </c>
      <c r="W40" s="775">
        <f t="shared" si="14"/>
        <v>100</v>
      </c>
      <c r="X40" s="1813"/>
      <c r="Y40" s="3318"/>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316"/>
      <c r="Q41" s="776" t="str">
        <f t="shared" si="11"/>
        <v>单套/主力户型建筑面积</v>
      </c>
      <c r="R41" s="777" t="s">
        <v>21</v>
      </c>
      <c r="S41" s="778">
        <f t="shared" si="12"/>
        <v>100</v>
      </c>
      <c r="T41" s="777" t="s">
        <v>21</v>
      </c>
      <c r="U41" s="778">
        <f t="shared" si="13"/>
        <v>100</v>
      </c>
      <c r="V41" s="777" t="s">
        <v>21</v>
      </c>
      <c r="W41" s="778">
        <f t="shared" si="14"/>
        <v>100</v>
      </c>
      <c r="X41" s="779"/>
      <c r="Y41" s="3318"/>
      <c r="Z41" s="780" t="str">
        <f t="shared" si="18"/>
        <v>单套/主力户型建筑面积</v>
      </c>
      <c r="AA41" s="1811">
        <f t="shared" si="15"/>
        <v>1</v>
      </c>
      <c r="AB41" s="1811">
        <f t="shared" si="16"/>
        <v>1</v>
      </c>
      <c r="AC41" s="1811">
        <f t="shared" si="17"/>
        <v>1</v>
      </c>
    </row>
    <row r="42" spans="1:29" ht="15">
      <c r="A42" s="472"/>
      <c r="B42" s="422" t="s">
        <v>2571</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316"/>
      <c r="Q42" s="1810" t="str">
        <f t="shared" si="11"/>
        <v>内部装修</v>
      </c>
      <c r="R42" s="774" t="s">
        <v>21</v>
      </c>
      <c r="S42" s="775">
        <f t="shared" si="12"/>
        <v>100</v>
      </c>
      <c r="T42" s="774" t="s">
        <v>21</v>
      </c>
      <c r="U42" s="775">
        <f t="shared" si="13"/>
        <v>100</v>
      </c>
      <c r="V42" s="774" t="s">
        <v>21</v>
      </c>
      <c r="W42" s="775">
        <f t="shared" si="14"/>
        <v>100</v>
      </c>
      <c r="X42" s="1813"/>
      <c r="Y42" s="3318"/>
      <c r="Z42" s="1814" t="str">
        <f t="shared" si="18"/>
        <v>内部装修</v>
      </c>
      <c r="AA42" s="1811">
        <f t="shared" si="15"/>
        <v>1</v>
      </c>
      <c r="AB42" s="1811">
        <f t="shared" si="16"/>
        <v>1</v>
      </c>
      <c r="AC42" s="1811">
        <f t="shared" si="17"/>
        <v>1</v>
      </c>
    </row>
    <row r="43" spans="1:29" ht="15">
      <c r="A43" s="472"/>
      <c r="B43" s="422" t="s">
        <v>2572</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316"/>
      <c r="Q43" s="1810" t="str">
        <f t="shared" si="11"/>
        <v>内部装修维护情况</v>
      </c>
      <c r="R43" s="774" t="s">
        <v>21</v>
      </c>
      <c r="S43" s="775">
        <f t="shared" si="12"/>
        <v>100</v>
      </c>
      <c r="T43" s="774" t="s">
        <v>21</v>
      </c>
      <c r="U43" s="775">
        <f t="shared" si="13"/>
        <v>100</v>
      </c>
      <c r="V43" s="774" t="s">
        <v>21</v>
      </c>
      <c r="W43" s="775">
        <f t="shared" si="14"/>
        <v>100</v>
      </c>
      <c r="X43" s="1813"/>
      <c r="Y43" s="331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316"/>
      <c r="Q44" s="1795">
        <f t="shared" si="11"/>
        <v>111</v>
      </c>
      <c r="R44" s="770" t="s">
        <v>21</v>
      </c>
      <c r="S44" s="771">
        <f t="shared" si="12"/>
        <v>100</v>
      </c>
      <c r="T44" s="770" t="s">
        <v>21</v>
      </c>
      <c r="U44" s="771">
        <f t="shared" si="13"/>
        <v>100</v>
      </c>
      <c r="V44" s="770" t="s">
        <v>21</v>
      </c>
      <c r="W44" s="771">
        <f t="shared" si="14"/>
        <v>100</v>
      </c>
      <c r="X44" s="772"/>
      <c r="Y44" s="331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316"/>
      <c r="Q45" s="1810">
        <f t="shared" si="11"/>
        <v>111</v>
      </c>
      <c r="R45" s="774" t="s">
        <v>21</v>
      </c>
      <c r="S45" s="775">
        <f t="shared" si="12"/>
        <v>100</v>
      </c>
      <c r="T45" s="774" t="s">
        <v>21</v>
      </c>
      <c r="U45" s="775">
        <f t="shared" si="13"/>
        <v>100</v>
      </c>
      <c r="V45" s="774" t="s">
        <v>21</v>
      </c>
      <c r="W45" s="775">
        <f t="shared" si="14"/>
        <v>100</v>
      </c>
      <c r="X45" s="1813"/>
      <c r="Y45" s="3318"/>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317"/>
      <c r="Q46" s="1810">
        <f t="shared" si="11"/>
        <v>111</v>
      </c>
      <c r="R46" s="774" t="s">
        <v>20</v>
      </c>
      <c r="S46" s="775">
        <f t="shared" si="12"/>
        <v>100</v>
      </c>
      <c r="T46" s="774" t="s">
        <v>20</v>
      </c>
      <c r="U46" s="775">
        <f t="shared" si="13"/>
        <v>100</v>
      </c>
      <c r="V46" s="774" t="s">
        <v>20</v>
      </c>
      <c r="W46" s="775">
        <f t="shared" si="14"/>
        <v>100</v>
      </c>
      <c r="X46" s="1813"/>
      <c r="Y46" s="3319"/>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4"/>
      <c r="L47" s="1143"/>
      <c r="M47" s="1144"/>
      <c r="N47" s="1131"/>
      <c r="O47" s="1144"/>
      <c r="P47" s="3311" t="str">
        <f>A47</f>
        <v>成交单价（元/平方米）</v>
      </c>
      <c r="Q47" s="3311"/>
      <c r="R47" s="3312">
        <f>E47</f>
        <v>0</v>
      </c>
      <c r="S47" s="3312"/>
      <c r="T47" s="3312">
        <f>G47</f>
        <v>0</v>
      </c>
      <c r="U47" s="3312"/>
      <c r="V47" s="3312">
        <f>I47</f>
        <v>0</v>
      </c>
      <c r="W47" s="3312"/>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5"/>
      <c r="L48" s="1143"/>
      <c r="M48" s="1144"/>
      <c r="N48" s="1144"/>
      <c r="O48" s="1144"/>
      <c r="P48" s="3311" t="str">
        <f>A48</f>
        <v>比较价值（元/平方米）</v>
      </c>
      <c r="Q48" s="3311"/>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6"/>
      <c r="L49" s="1143"/>
      <c r="M49" s="1144"/>
      <c r="N49" s="1144"/>
      <c r="O49" s="1144"/>
      <c r="P49" s="3308" t="str">
        <f>A49</f>
        <v>估价对象XX用房的比较价值（楼面单价，元/平方米）</v>
      </c>
      <c r="Q49" s="3309"/>
      <c r="R49" s="3310" t="e">
        <f>IF(F1="售价",ROUND(AVERAGE(R48:V48),0),ROUND(AVERAGE(R48:V48),1))</f>
        <v>#DIV/0!</v>
      </c>
      <c r="S49" s="3310"/>
      <c r="T49" s="3310"/>
      <c r="U49" s="3310"/>
      <c r="V49" s="3310"/>
      <c r="W49" s="331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9"/>
      <c r="Q57" s="504"/>
    </row>
    <row r="58" spans="1:29" s="508" customFormat="1" ht="15">
      <c r="A58" s="505" t="s">
        <v>2580</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2581</v>
      </c>
      <c r="B60" s="516"/>
      <c r="C60" s="517"/>
      <c r="D60" s="518"/>
      <c r="E60" s="518"/>
      <c r="F60" s="518"/>
      <c r="G60" s="518"/>
      <c r="H60" s="518"/>
      <c r="I60" s="518"/>
      <c r="J60" s="518"/>
      <c r="K60" s="518"/>
      <c r="L60" s="518"/>
      <c r="M60" s="519"/>
      <c r="N60" s="518"/>
      <c r="O60" s="519"/>
      <c r="P60" s="2631"/>
      <c r="Q60" s="504"/>
    </row>
    <row r="61" spans="1:29" s="117" customFormat="1" ht="15">
      <c r="A61" s="521" t="s">
        <v>2582</v>
      </c>
      <c r="B61" s="510"/>
      <c r="C61" s="522" t="s">
        <v>2583</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2584</v>
      </c>
      <c r="B63" s="528" t="s">
        <v>2550</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2096</v>
      </c>
      <c r="C82" s="539" t="s">
        <v>2600</v>
      </c>
      <c r="D82" s="539" t="s">
        <v>2601</v>
      </c>
      <c r="E82" s="539" t="s">
        <v>2602</v>
      </c>
      <c r="F82" s="539" t="s">
        <v>2603</v>
      </c>
      <c r="G82" s="539" t="s">
        <v>2604</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2606</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2607</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2559</v>
      </c>
      <c r="B100" s="528" t="s">
        <v>2608</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2610</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2611</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2612</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2613</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2614</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2615</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2616</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2618</v>
      </c>
    </row>
    <row r="137" spans="1:17" ht="15">
      <c r="B137" s="2641" t="s">
        <v>2619</v>
      </c>
      <c r="C137" s="2642"/>
      <c r="D137" s="2642"/>
      <c r="E137" s="2642"/>
      <c r="F137" s="2642"/>
      <c r="G137" s="2643"/>
      <c r="H137" s="2644"/>
      <c r="I137" s="2645" t="s">
        <v>2620</v>
      </c>
      <c r="J137" s="2642"/>
      <c r="K137" s="2646"/>
    </row>
    <row r="138" spans="1:17" ht="15">
      <c r="B138" s="2647"/>
      <c r="C138" s="146" t="s">
        <v>2621</v>
      </c>
      <c r="D138" s="146" t="s">
        <v>2622</v>
      </c>
      <c r="E138" s="2648" t="s">
        <v>2623</v>
      </c>
      <c r="F138" s="2649" t="s">
        <v>2624</v>
      </c>
      <c r="G138" s="146" t="s">
        <v>2622</v>
      </c>
      <c r="H138" s="147" t="s">
        <v>2623</v>
      </c>
      <c r="I138" s="2650"/>
      <c r="J138" s="146" t="s">
        <v>2625</v>
      </c>
      <c r="K138" s="147" t="s">
        <v>2626</v>
      </c>
    </row>
    <row r="139" spans="1:17" ht="15">
      <c r="B139" s="1084">
        <v>6</v>
      </c>
      <c r="C139" s="1085">
        <v>96</v>
      </c>
      <c r="D139" s="2651" t="s">
        <v>2627</v>
      </c>
      <c r="E139" s="1086">
        <v>100</v>
      </c>
      <c r="F139" s="1087">
        <v>102.5</v>
      </c>
      <c r="G139" s="2651" t="s">
        <v>2627</v>
      </c>
      <c r="H139" s="1088">
        <v>105</v>
      </c>
      <c r="I139" s="2652" t="s">
        <v>2628</v>
      </c>
      <c r="J139" s="1085">
        <v>20</v>
      </c>
      <c r="K139" s="1089">
        <f>C145/(J139-2)</f>
        <v>4.0555555555555553E-3</v>
      </c>
    </row>
    <row r="140" spans="1:17" ht="15">
      <c r="B140" s="1090">
        <v>5</v>
      </c>
      <c r="C140" s="1091">
        <v>100</v>
      </c>
      <c r="D140" s="1091"/>
      <c r="E140" s="1092"/>
      <c r="F140" s="1093">
        <v>102</v>
      </c>
      <c r="G140" s="1091"/>
      <c r="H140" s="1094"/>
      <c r="I140" s="2653" t="s">
        <v>2629</v>
      </c>
      <c r="J140" s="315">
        <f>ROUNDUP((J139-1)/2,0)</f>
        <v>10</v>
      </c>
      <c r="K140" s="1095">
        <v>100</v>
      </c>
    </row>
    <row r="141" spans="1:17" ht="15">
      <c r="B141" s="1090">
        <v>4</v>
      </c>
      <c r="C141" s="1091">
        <v>102</v>
      </c>
      <c r="D141" s="1091"/>
      <c r="E141" s="1092"/>
      <c r="F141" s="1093">
        <v>101.5</v>
      </c>
      <c r="G141" s="1091"/>
      <c r="H141" s="1094"/>
      <c r="I141" s="2653" t="s">
        <v>2630</v>
      </c>
      <c r="J141" s="315">
        <v>1</v>
      </c>
      <c r="K141" s="1096">
        <f>ROUND(100+(J141-J140)*K139*100,1)</f>
        <v>96.4</v>
      </c>
    </row>
    <row r="142" spans="1:17" ht="15">
      <c r="B142" s="1090">
        <v>3</v>
      </c>
      <c r="C142" s="1091">
        <v>103</v>
      </c>
      <c r="D142" s="1091"/>
      <c r="E142" s="1092"/>
      <c r="F142" s="1093">
        <v>101</v>
      </c>
      <c r="G142" s="1091"/>
      <c r="H142" s="1094"/>
      <c r="I142" s="2653" t="s">
        <v>2631</v>
      </c>
      <c r="J142" s="315">
        <f>J139</f>
        <v>20</v>
      </c>
      <c r="K142" s="1097">
        <v>95</v>
      </c>
    </row>
    <row r="143" spans="1:17" ht="15">
      <c r="B143" s="1090">
        <v>2</v>
      </c>
      <c r="C143" s="1091">
        <v>100</v>
      </c>
      <c r="D143" s="1091"/>
      <c r="E143" s="1092"/>
      <c r="F143" s="1093">
        <v>100.5</v>
      </c>
      <c r="G143" s="1091"/>
      <c r="H143" s="1094"/>
      <c r="I143" s="2653" t="s">
        <v>2632</v>
      </c>
      <c r="J143" s="1091">
        <v>15</v>
      </c>
      <c r="K143" s="1096">
        <f>ROUND(100+(J143-J140)*K139*100,1)</f>
        <v>102</v>
      </c>
    </row>
    <row r="144" spans="1:17" ht="15">
      <c r="B144" s="1090">
        <v>1</v>
      </c>
      <c r="C144" s="1091">
        <v>98</v>
      </c>
      <c r="D144" s="2654" t="s">
        <v>2633</v>
      </c>
      <c r="E144" s="1092">
        <v>102</v>
      </c>
      <c r="F144" s="1098">
        <v>100</v>
      </c>
      <c r="G144" s="2654" t="s">
        <v>2633</v>
      </c>
      <c r="H144" s="1094">
        <v>105</v>
      </c>
      <c r="I144" s="2653" t="s">
        <v>2632</v>
      </c>
      <c r="J144" s="1091">
        <v>18</v>
      </c>
      <c r="K144" s="1096">
        <f>ROUND(100+(J144-J140)*K139*100,1)</f>
        <v>103.2</v>
      </c>
    </row>
    <row r="145" spans="2:11" ht="15.75" thickBot="1">
      <c r="B145" s="2655" t="s">
        <v>2634</v>
      </c>
      <c r="C145" s="1099">
        <f>ROUND(MAX(C139:C144)/MIN(C139:C144)-1,3)</f>
        <v>7.2999999999999995E-2</v>
      </c>
      <c r="D145" s="1100"/>
      <c r="E145" s="1100"/>
      <c r="F145" s="2656" t="s">
        <v>2635</v>
      </c>
      <c r="G145" s="2657"/>
      <c r="H145" s="2658"/>
      <c r="I145" s="2659" t="s">
        <v>2632</v>
      </c>
      <c r="J145" s="1101">
        <v>8</v>
      </c>
      <c r="K145" s="1102">
        <f>ROUND(100+(J145-J140)*K139*100,1)</f>
        <v>99.2</v>
      </c>
    </row>
    <row r="147" spans="2:11">
      <c r="B147" s="2640" t="s">
        <v>2636</v>
      </c>
    </row>
    <row r="148" spans="2:11">
      <c r="B148" s="2640"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8"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33" sqref="J3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5" t="s">
        <v>2638</v>
      </c>
      <c r="C1" s="1634" t="s">
        <v>2526</v>
      </c>
      <c r="D1" s="1621"/>
      <c r="E1" s="2660"/>
      <c r="F1" s="2587"/>
      <c r="G1" s="1631" t="s">
        <v>2639</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2323</v>
      </c>
      <c r="B2" s="1418" t="e">
        <f ca="1">IF(C2="——",ROUND(C49*D3/10000,0),ROUND(C49*D3/10000,0)-D2)</f>
        <v>#DIV/0!</v>
      </c>
      <c r="C2" s="2589"/>
      <c r="D2" s="1365" t="e">
        <f ca="1">SUMIF(INDIRECT("'"&amp;F2&amp;"'"&amp;"!A:A"),"承租人权益价值",INDIRECT("'"&amp;F2&amp;"'"&amp;"!c:c"))</f>
        <v>#REF!</v>
      </c>
      <c r="E2" s="2590" t="s">
        <v>2324</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2325</v>
      </c>
      <c r="B3" s="609" t="e">
        <f ca="1">IF(C2="——",C49,ROUND(B2*10000/D3,0))</f>
        <v>#DIV/0!</v>
      </c>
      <c r="C3" s="400" t="s">
        <v>2640</v>
      </c>
      <c r="D3" s="399">
        <f>IF(D1="",'数据-汇总表'!E3,SUMIF('数据-汇总表'!$C19:$C33,D1,'数据-汇总表'!$E19:$E33))</f>
        <v>27202.3</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2641</v>
      </c>
      <c r="B4" s="402"/>
      <c r="C4" s="3326" t="s">
        <v>2642</v>
      </c>
      <c r="D4" s="3327"/>
      <c r="E4" s="3328" t="s">
        <v>2643</v>
      </c>
      <c r="F4" s="3329"/>
      <c r="G4" s="3326" t="s">
        <v>2644</v>
      </c>
      <c r="H4" s="3327"/>
      <c r="I4" s="3326" t="s">
        <v>2645</v>
      </c>
      <c r="J4" s="3327"/>
      <c r="K4" s="610" t="s">
        <v>2646</v>
      </c>
      <c r="L4" s="1130"/>
      <c r="M4" s="1131"/>
      <c r="N4" s="1131"/>
      <c r="O4" s="1131"/>
      <c r="P4" s="3330" t="s">
        <v>2647</v>
      </c>
      <c r="Q4" s="3331"/>
      <c r="R4" s="3336" t="s">
        <v>2643</v>
      </c>
      <c r="S4" s="3337"/>
      <c r="T4" s="3336" t="s">
        <v>2644</v>
      </c>
      <c r="U4" s="3337"/>
      <c r="V4" s="3342" t="s">
        <v>2645</v>
      </c>
      <c r="W4" s="3342"/>
      <c r="X4" s="1813"/>
      <c r="Y4" s="3336" t="s">
        <v>2647</v>
      </c>
      <c r="Z4" s="3337"/>
      <c r="AA4" s="3323" t="s">
        <v>2643</v>
      </c>
      <c r="AB4" s="3342" t="s">
        <v>2644</v>
      </c>
      <c r="AC4" s="3323" t="s">
        <v>2645</v>
      </c>
    </row>
    <row r="5" spans="1:29" ht="15">
      <c r="A5" s="404"/>
      <c r="B5" s="405"/>
      <c r="C5" s="3345" t="s">
        <v>2538</v>
      </c>
      <c r="D5" s="3346"/>
      <c r="E5" s="3352" t="s">
        <v>2539</v>
      </c>
      <c r="F5" s="3353"/>
      <c r="G5" s="3345" t="s">
        <v>2540</v>
      </c>
      <c r="H5" s="3346"/>
      <c r="I5" s="3345" t="s">
        <v>2541</v>
      </c>
      <c r="J5" s="3346"/>
      <c r="K5" s="610"/>
      <c r="L5" s="1130"/>
      <c r="M5" s="1131"/>
      <c r="N5" s="1131"/>
      <c r="O5" s="1131"/>
      <c r="P5" s="3332"/>
      <c r="Q5" s="3333"/>
      <c r="R5" s="3338"/>
      <c r="S5" s="3339"/>
      <c r="T5" s="3338"/>
      <c r="U5" s="3339"/>
      <c r="V5" s="3342"/>
      <c r="W5" s="3342"/>
      <c r="X5" s="1813"/>
      <c r="Y5" s="3338"/>
      <c r="Z5" s="3339"/>
      <c r="AA5" s="3324"/>
      <c r="AB5" s="3342"/>
      <c r="AC5" s="3324"/>
    </row>
    <row r="6" spans="1:29" ht="15.75" thickBot="1">
      <c r="A6" s="406"/>
      <c r="B6" s="407"/>
      <c r="C6" s="3343" t="s">
        <v>2542</v>
      </c>
      <c r="D6" s="3344"/>
      <c r="E6" s="3350" t="s">
        <v>2542</v>
      </c>
      <c r="F6" s="3351"/>
      <c r="G6" s="3343" t="s">
        <v>2542</v>
      </c>
      <c r="H6" s="3344"/>
      <c r="I6" s="3343" t="s">
        <v>2542</v>
      </c>
      <c r="J6" s="3344"/>
      <c r="K6" s="610" t="s">
        <v>2543</v>
      </c>
      <c r="L6" s="1130"/>
      <c r="M6" s="1131"/>
      <c r="N6" s="1131"/>
      <c r="O6" s="1131"/>
      <c r="P6" s="3334"/>
      <c r="Q6" s="3335"/>
      <c r="R6" s="3338"/>
      <c r="S6" s="3339"/>
      <c r="T6" s="3340"/>
      <c r="U6" s="3341"/>
      <c r="V6" s="3342"/>
      <c r="W6" s="3342"/>
      <c r="X6" s="1813"/>
      <c r="Y6" s="3340"/>
      <c r="Z6" s="3341"/>
      <c r="AA6" s="3325"/>
      <c r="AB6" s="3342"/>
      <c r="AC6" s="3325"/>
    </row>
    <row r="7" spans="1:29" s="117" customFormat="1" ht="15.75" thickBot="1">
      <c r="A7" s="408" t="s">
        <v>2544</v>
      </c>
      <c r="B7" s="409"/>
      <c r="C7" s="410">
        <f>'数据-取费表'!B2</f>
        <v>43592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347" t="s">
        <v>2545</v>
      </c>
      <c r="Q7" s="3349"/>
      <c r="R7" s="770" t="s">
        <v>17</v>
      </c>
      <c r="S7" s="771">
        <f t="shared" ref="S7:S15" si="0">F7</f>
        <v>0</v>
      </c>
      <c r="T7" s="770" t="s">
        <v>17</v>
      </c>
      <c r="U7" s="771">
        <f t="shared" ref="U7:U15" si="1">H7</f>
        <v>0</v>
      </c>
      <c r="V7" s="770" t="s">
        <v>17</v>
      </c>
      <c r="W7" s="771">
        <f t="shared" ref="W7:W15" si="2">J7</f>
        <v>0</v>
      </c>
      <c r="X7" s="772"/>
      <c r="Y7" s="3347" t="s">
        <v>2545</v>
      </c>
      <c r="Z7" s="3348"/>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347" t="s">
        <v>2548</v>
      </c>
      <c r="Q8" s="3348"/>
      <c r="R8" s="770" t="s">
        <v>17</v>
      </c>
      <c r="S8" s="771">
        <f t="shared" si="0"/>
        <v>0</v>
      </c>
      <c r="T8" s="770" t="s">
        <v>17</v>
      </c>
      <c r="U8" s="771">
        <f t="shared" si="1"/>
        <v>0</v>
      </c>
      <c r="V8" s="770" t="s">
        <v>17</v>
      </c>
      <c r="W8" s="771">
        <f t="shared" si="2"/>
        <v>0</v>
      </c>
      <c r="X8" s="772"/>
      <c r="Y8" s="3347" t="s">
        <v>2548</v>
      </c>
      <c r="Z8" s="3348"/>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322" t="s">
        <v>2551</v>
      </c>
      <c r="Q9" s="1795" t="str">
        <f t="shared" ref="Q9:Q15" si="6">B9</f>
        <v>用途</v>
      </c>
      <c r="R9" s="770" t="s">
        <v>17</v>
      </c>
      <c r="S9" s="771">
        <f t="shared" si="0"/>
        <v>100</v>
      </c>
      <c r="T9" s="770" t="s">
        <v>17</v>
      </c>
      <c r="U9" s="771">
        <f t="shared" si="1"/>
        <v>100</v>
      </c>
      <c r="V9" s="770" t="s">
        <v>17</v>
      </c>
      <c r="W9" s="771">
        <f t="shared" si="2"/>
        <v>100</v>
      </c>
      <c r="X9" s="772"/>
      <c r="Y9" s="308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322"/>
      <c r="Q10" s="1795"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322"/>
      <c r="Q11" s="1795" t="str">
        <f t="shared" si="6"/>
        <v>容积率</v>
      </c>
      <c r="R11" s="770" t="s">
        <v>17</v>
      </c>
      <c r="S11" s="771" t="e">
        <f t="shared" si="0"/>
        <v>#N/A</v>
      </c>
      <c r="T11" s="770" t="s">
        <v>17</v>
      </c>
      <c r="U11" s="771" t="e">
        <f t="shared" si="1"/>
        <v>#N/A</v>
      </c>
      <c r="V11" s="770" t="s">
        <v>17</v>
      </c>
      <c r="W11" s="771" t="e">
        <f t="shared" si="2"/>
        <v>#N/A</v>
      </c>
      <c r="X11" s="772"/>
      <c r="Y11" s="308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22"/>
      <c r="Q12" s="1795">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22"/>
      <c r="Q13" s="1795">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22"/>
      <c r="Q14" s="1795">
        <f t="shared" si="6"/>
        <v>111</v>
      </c>
      <c r="R14" s="770" t="s">
        <v>17</v>
      </c>
      <c r="S14" s="771">
        <f t="shared" si="0"/>
        <v>100</v>
      </c>
      <c r="T14" s="770" t="s">
        <v>17</v>
      </c>
      <c r="U14" s="771">
        <f t="shared" si="1"/>
        <v>100</v>
      </c>
      <c r="V14" s="770" t="s">
        <v>17</v>
      </c>
      <c r="W14" s="771">
        <f t="shared" si="2"/>
        <v>100</v>
      </c>
      <c r="X14" s="772"/>
      <c r="Y14" s="3088"/>
      <c r="Z14" s="55">
        <f t="shared" si="7"/>
        <v>111</v>
      </c>
      <c r="AA14" s="773">
        <f t="shared" si="3"/>
        <v>1</v>
      </c>
      <c r="AB14" s="773">
        <f t="shared" si="4"/>
        <v>1</v>
      </c>
      <c r="AC14" s="773">
        <f t="shared" si="5"/>
        <v>1</v>
      </c>
    </row>
    <row r="15" spans="1:29" ht="71.25">
      <c r="A15" s="440" t="s">
        <v>2555</v>
      </c>
      <c r="B15" s="69" t="s">
        <v>2649</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20" t="s">
        <v>2556</v>
      </c>
      <c r="Q15" s="1810" t="str">
        <f t="shared" si="6"/>
        <v>商业繁华度</v>
      </c>
      <c r="R15" s="774" t="s">
        <v>17</v>
      </c>
      <c r="S15" s="775">
        <f t="shared" si="0"/>
        <v>100</v>
      </c>
      <c r="T15" s="774" t="s">
        <v>17</v>
      </c>
      <c r="U15" s="775">
        <f t="shared" si="1"/>
        <v>100</v>
      </c>
      <c r="V15" s="774" t="s">
        <v>17</v>
      </c>
      <c r="W15" s="775">
        <f t="shared" si="2"/>
        <v>100</v>
      </c>
      <c r="X15" s="1813"/>
      <c r="Y15" s="3313"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321"/>
      <c r="Q16" s="1810"/>
      <c r="R16" s="774"/>
      <c r="S16" s="775"/>
      <c r="T16" s="774"/>
      <c r="U16" s="775"/>
      <c r="V16" s="774"/>
      <c r="W16" s="775"/>
      <c r="X16" s="1813"/>
      <c r="Y16" s="3314"/>
      <c r="Z16" s="1814"/>
      <c r="AA16" s="1811">
        <v>1</v>
      </c>
      <c r="AB16" s="1811">
        <v>1</v>
      </c>
      <c r="AC16" s="1811">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21"/>
      <c r="Q17" s="1810" t="str">
        <f>B17</f>
        <v>交通便捷度</v>
      </c>
      <c r="R17" s="774" t="s">
        <v>17</v>
      </c>
      <c r="S17" s="775">
        <f>F17</f>
        <v>100</v>
      </c>
      <c r="T17" s="774" t="s">
        <v>17</v>
      </c>
      <c r="U17" s="775">
        <f>H17</f>
        <v>100</v>
      </c>
      <c r="V17" s="774" t="s">
        <v>17</v>
      </c>
      <c r="W17" s="775">
        <f>J17</f>
        <v>100</v>
      </c>
      <c r="X17" s="1813"/>
      <c r="Y17" s="3314"/>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321"/>
      <c r="Q18" s="1810"/>
      <c r="R18" s="774"/>
      <c r="S18" s="775"/>
      <c r="T18" s="774"/>
      <c r="U18" s="775"/>
      <c r="V18" s="774"/>
      <c r="W18" s="775"/>
      <c r="X18" s="1813"/>
      <c r="Y18" s="3314"/>
      <c r="Z18" s="1814"/>
      <c r="AA18" s="1811">
        <v>1</v>
      </c>
      <c r="AB18" s="1811">
        <v>1</v>
      </c>
      <c r="AC18" s="1811">
        <v>1</v>
      </c>
    </row>
    <row r="19" spans="1:29" ht="42.75">
      <c r="A19" s="428"/>
      <c r="B19" s="451" t="s">
        <v>2650</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21"/>
      <c r="Q19" s="1810" t="str">
        <f>B19</f>
        <v>公共配套设施</v>
      </c>
      <c r="R19" s="774" t="s">
        <v>17</v>
      </c>
      <c r="S19" s="775">
        <f>F19</f>
        <v>100</v>
      </c>
      <c r="T19" s="774" t="s">
        <v>17</v>
      </c>
      <c r="U19" s="775">
        <f>H19</f>
        <v>100</v>
      </c>
      <c r="V19" s="774" t="s">
        <v>17</v>
      </c>
      <c r="W19" s="775">
        <f>J19</f>
        <v>100</v>
      </c>
      <c r="X19" s="1813"/>
      <c r="Y19" s="3314"/>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321"/>
      <c r="Q20" s="1810"/>
      <c r="R20" s="774"/>
      <c r="S20" s="775"/>
      <c r="T20" s="774"/>
      <c r="U20" s="775"/>
      <c r="V20" s="774"/>
      <c r="W20" s="775"/>
      <c r="X20" s="1813"/>
      <c r="Y20" s="3314"/>
      <c r="Z20" s="1814"/>
      <c r="AA20" s="1811">
        <v>1</v>
      </c>
      <c r="AB20" s="1811">
        <v>1</v>
      </c>
      <c r="AC20" s="1811">
        <v>1</v>
      </c>
    </row>
    <row r="21" spans="1:29" ht="28.5">
      <c r="A21" s="428"/>
      <c r="B21" s="1384" t="s">
        <v>2651</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21"/>
      <c r="Q21" s="1810" t="str">
        <f>B21</f>
        <v>基础设施水平</v>
      </c>
      <c r="R21" s="774" t="s">
        <v>17</v>
      </c>
      <c r="S21" s="775">
        <f>F21</f>
        <v>100</v>
      </c>
      <c r="T21" s="774" t="s">
        <v>17</v>
      </c>
      <c r="U21" s="775">
        <f>H21</f>
        <v>100</v>
      </c>
      <c r="V21" s="774" t="s">
        <v>17</v>
      </c>
      <c r="W21" s="775">
        <f>J21</f>
        <v>100</v>
      </c>
      <c r="X21" s="1813"/>
      <c r="Y21" s="3314"/>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321"/>
      <c r="Q22" s="1810"/>
      <c r="R22" s="774"/>
      <c r="S22" s="775"/>
      <c r="T22" s="774"/>
      <c r="U22" s="775"/>
      <c r="V22" s="774"/>
      <c r="W22" s="775"/>
      <c r="X22" s="1813"/>
      <c r="Y22" s="3314"/>
      <c r="Z22" s="1814"/>
      <c r="AA22" s="1811">
        <v>1</v>
      </c>
      <c r="AB22" s="1811">
        <v>1</v>
      </c>
      <c r="AC22" s="1811">
        <v>1</v>
      </c>
    </row>
    <row r="23" spans="1:29" ht="57">
      <c r="A23" s="428"/>
      <c r="B23" s="451" t="s">
        <v>2100</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21"/>
      <c r="Q23" s="1810" t="str">
        <f>B23</f>
        <v>自然及人文环境</v>
      </c>
      <c r="R23" s="774" t="s">
        <v>17</v>
      </c>
      <c r="S23" s="775">
        <f>F23</f>
        <v>100</v>
      </c>
      <c r="T23" s="774" t="s">
        <v>17</v>
      </c>
      <c r="U23" s="775">
        <f>H23</f>
        <v>100</v>
      </c>
      <c r="V23" s="774" t="s">
        <v>17</v>
      </c>
      <c r="W23" s="775">
        <f>J23</f>
        <v>100</v>
      </c>
      <c r="X23" s="1813"/>
      <c r="Y23" s="3314"/>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321"/>
      <c r="Q24" s="1810"/>
      <c r="R24" s="774"/>
      <c r="S24" s="775"/>
      <c r="T24" s="774"/>
      <c r="U24" s="775"/>
      <c r="V24" s="774"/>
      <c r="W24" s="775"/>
      <c r="X24" s="1813"/>
      <c r="Y24" s="3314"/>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21"/>
      <c r="Q25" s="1810" t="str">
        <f t="shared" ref="Q25:Q46" si="11">B25</f>
        <v>临街状况</v>
      </c>
      <c r="R25" s="774" t="s">
        <v>17</v>
      </c>
      <c r="S25" s="775">
        <f>F25</f>
        <v>100</v>
      </c>
      <c r="T25" s="774" t="s">
        <v>17</v>
      </c>
      <c r="U25" s="775">
        <f>H25</f>
        <v>100</v>
      </c>
      <c r="V25" s="774" t="s">
        <v>17</v>
      </c>
      <c r="W25" s="775">
        <f>J25</f>
        <v>100</v>
      </c>
      <c r="X25" s="1813"/>
      <c r="Y25" s="3314"/>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21"/>
      <c r="Q26" s="1810" t="str">
        <f t="shared" si="11"/>
        <v>平面位置/可视性</v>
      </c>
      <c r="R26" s="774" t="s">
        <v>17</v>
      </c>
      <c r="S26" s="775">
        <f>F26</f>
        <v>100</v>
      </c>
      <c r="T26" s="774" t="s">
        <v>17</v>
      </c>
      <c r="U26" s="775">
        <f>H26</f>
        <v>100</v>
      </c>
      <c r="V26" s="774" t="s">
        <v>17</v>
      </c>
      <c r="W26" s="775">
        <f>J26</f>
        <v>100</v>
      </c>
      <c r="X26" s="1813"/>
      <c r="Y26" s="3314"/>
      <c r="Z26" s="1814" t="str">
        <f>Q26</f>
        <v>平面位置/可视性</v>
      </c>
      <c r="AA26" s="1811">
        <f t="shared" si="3"/>
        <v>1</v>
      </c>
      <c r="AB26" s="1811">
        <f t="shared" si="4"/>
        <v>1</v>
      </c>
      <c r="AC26" s="1811">
        <f t="shared" si="5"/>
        <v>1</v>
      </c>
    </row>
    <row r="27" spans="1:29" s="117" customFormat="1" ht="15">
      <c r="A27" s="431"/>
      <c r="B27" s="451" t="s">
        <v>2654</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321"/>
      <c r="Q27" s="1795" t="str">
        <f t="shared" si="11"/>
        <v>人流量</v>
      </c>
      <c r="R27" s="770" t="s">
        <v>17</v>
      </c>
      <c r="S27" s="771">
        <f>F27</f>
        <v>100</v>
      </c>
      <c r="T27" s="770" t="s">
        <v>17</v>
      </c>
      <c r="U27" s="771">
        <f>H27</f>
        <v>100</v>
      </c>
      <c r="V27" s="770" t="s">
        <v>17</v>
      </c>
      <c r="W27" s="771">
        <f>J27</f>
        <v>100</v>
      </c>
      <c r="X27" s="772"/>
      <c r="Y27" s="3314"/>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2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31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21"/>
      <c r="Q29" s="1810">
        <f t="shared" si="11"/>
        <v>111</v>
      </c>
      <c r="R29" s="774" t="s">
        <v>17</v>
      </c>
      <c r="S29" s="775">
        <f t="shared" si="12"/>
        <v>100</v>
      </c>
      <c r="T29" s="774" t="s">
        <v>17</v>
      </c>
      <c r="U29" s="775">
        <f t="shared" si="13"/>
        <v>100</v>
      </c>
      <c r="V29" s="774" t="s">
        <v>17</v>
      </c>
      <c r="W29" s="775">
        <f t="shared" si="14"/>
        <v>100</v>
      </c>
      <c r="X29" s="1813"/>
      <c r="Y29" s="331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21"/>
      <c r="Q30" s="1810">
        <f t="shared" si="11"/>
        <v>111</v>
      </c>
      <c r="R30" s="774" t="s">
        <v>17</v>
      </c>
      <c r="S30" s="775">
        <f t="shared" si="12"/>
        <v>100</v>
      </c>
      <c r="T30" s="774" t="s">
        <v>17</v>
      </c>
      <c r="U30" s="775">
        <f t="shared" si="13"/>
        <v>100</v>
      </c>
      <c r="V30" s="774" t="s">
        <v>17</v>
      </c>
      <c r="W30" s="775">
        <f t="shared" si="14"/>
        <v>100</v>
      </c>
      <c r="X30" s="1813"/>
      <c r="Y30" s="331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21"/>
      <c r="Q31" s="1810">
        <f t="shared" si="11"/>
        <v>111</v>
      </c>
      <c r="R31" s="774" t="s">
        <v>17</v>
      </c>
      <c r="S31" s="775">
        <f t="shared" si="12"/>
        <v>100</v>
      </c>
      <c r="T31" s="774" t="s">
        <v>17</v>
      </c>
      <c r="U31" s="775">
        <f t="shared" si="13"/>
        <v>100</v>
      </c>
      <c r="V31" s="774" t="s">
        <v>17</v>
      </c>
      <c r="W31" s="775">
        <f t="shared" si="14"/>
        <v>100</v>
      </c>
      <c r="X31" s="1813"/>
      <c r="Y31" s="3314"/>
      <c r="Z31" s="1814">
        <f t="shared" si="15"/>
        <v>111</v>
      </c>
      <c r="AA31" s="1811">
        <f t="shared" si="3"/>
        <v>1</v>
      </c>
      <c r="AB31" s="1811">
        <f t="shared" si="4"/>
        <v>1</v>
      </c>
      <c r="AC31" s="1811">
        <f t="shared" si="5"/>
        <v>1</v>
      </c>
    </row>
    <row r="32" spans="1:29" ht="15">
      <c r="A32" s="440" t="s">
        <v>2559</v>
      </c>
      <c r="B32" s="71" t="s">
        <v>2656</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315" t="s">
        <v>2561</v>
      </c>
      <c r="Q32" s="1810" t="str">
        <f t="shared" si="11"/>
        <v>商业类型</v>
      </c>
      <c r="R32" s="774" t="s">
        <v>17</v>
      </c>
      <c r="S32" s="775">
        <f t="shared" si="12"/>
        <v>100</v>
      </c>
      <c r="T32" s="774" t="s">
        <v>17</v>
      </c>
      <c r="U32" s="775">
        <f t="shared" si="13"/>
        <v>100</v>
      </c>
      <c r="V32" s="774" t="s">
        <v>17</v>
      </c>
      <c r="W32" s="775">
        <f t="shared" si="14"/>
        <v>100</v>
      </c>
      <c r="X32" s="1813"/>
      <c r="Y32" s="3318"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16"/>
      <c r="Q33" s="776" t="str">
        <f t="shared" si="11"/>
        <v>项目建筑规模</v>
      </c>
      <c r="R33" s="777" t="s">
        <v>17</v>
      </c>
      <c r="S33" s="778" t="e">
        <f t="shared" si="12"/>
        <v>#N/A</v>
      </c>
      <c r="T33" s="777" t="s">
        <v>17</v>
      </c>
      <c r="U33" s="778" t="e">
        <f t="shared" si="13"/>
        <v>#N/A</v>
      </c>
      <c r="V33" s="777" t="s">
        <v>17</v>
      </c>
      <c r="W33" s="778" t="e">
        <f t="shared" si="14"/>
        <v>#N/A</v>
      </c>
      <c r="X33" s="779"/>
      <c r="Y33" s="3318"/>
      <c r="Z33" s="780" t="str">
        <f t="shared" si="15"/>
        <v>项目建筑规模</v>
      </c>
      <c r="AA33" s="1811" t="e">
        <f t="shared" si="3"/>
        <v>#N/A</v>
      </c>
      <c r="AB33" s="1811" t="e">
        <f t="shared" si="4"/>
        <v>#N/A</v>
      </c>
      <c r="AC33" s="1811" t="e">
        <f t="shared" si="5"/>
        <v>#N/A</v>
      </c>
    </row>
    <row r="34" spans="1:29" ht="15">
      <c r="A34" s="472"/>
      <c r="B34" s="422" t="s">
        <v>2563</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316"/>
      <c r="Q34" s="1810" t="str">
        <f t="shared" si="11"/>
        <v>建筑结构</v>
      </c>
      <c r="R34" s="774" t="s">
        <v>17</v>
      </c>
      <c r="S34" s="775">
        <f t="shared" si="12"/>
        <v>100</v>
      </c>
      <c r="T34" s="774" t="s">
        <v>17</v>
      </c>
      <c r="U34" s="775">
        <f t="shared" si="13"/>
        <v>100</v>
      </c>
      <c r="V34" s="774" t="s">
        <v>17</v>
      </c>
      <c r="W34" s="775">
        <f t="shared" si="14"/>
        <v>100</v>
      </c>
      <c r="X34" s="1813"/>
      <c r="Y34" s="3318"/>
      <c r="Z34" s="1814" t="str">
        <f t="shared" si="15"/>
        <v>建筑结构</v>
      </c>
      <c r="AA34" s="1811">
        <f t="shared" si="3"/>
        <v>1</v>
      </c>
      <c r="AB34" s="1811">
        <f t="shared" si="4"/>
        <v>1</v>
      </c>
      <c r="AC34" s="1811">
        <f t="shared" si="5"/>
        <v>1</v>
      </c>
    </row>
    <row r="35" spans="1:29" ht="15">
      <c r="A35" s="472"/>
      <c r="B35" s="422" t="s">
        <v>2657</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316"/>
      <c r="Q35" s="1810" t="str">
        <f t="shared" si="11"/>
        <v>公共部分装修</v>
      </c>
      <c r="R35" s="774" t="s">
        <v>17</v>
      </c>
      <c r="S35" s="775">
        <f t="shared" si="12"/>
        <v>100</v>
      </c>
      <c r="T35" s="774" t="s">
        <v>17</v>
      </c>
      <c r="U35" s="775">
        <f t="shared" si="13"/>
        <v>100</v>
      </c>
      <c r="V35" s="774" t="s">
        <v>17</v>
      </c>
      <c r="W35" s="775">
        <f t="shared" si="14"/>
        <v>100</v>
      </c>
      <c r="X35" s="1813"/>
      <c r="Y35" s="3318"/>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16"/>
      <c r="Q36" s="1810" t="str">
        <f t="shared" si="11"/>
        <v>成新度</v>
      </c>
      <c r="R36" s="774" t="s">
        <v>17</v>
      </c>
      <c r="S36" s="775" t="e">
        <f t="shared" si="12"/>
        <v>#N/A</v>
      </c>
      <c r="T36" s="774" t="s">
        <v>17</v>
      </c>
      <c r="U36" s="775" t="e">
        <f t="shared" si="13"/>
        <v>#N/A</v>
      </c>
      <c r="V36" s="774" t="s">
        <v>17</v>
      </c>
      <c r="W36" s="775" t="e">
        <f t="shared" si="14"/>
        <v>#N/A</v>
      </c>
      <c r="X36" s="1813"/>
      <c r="Y36" s="3318"/>
      <c r="Z36" s="1814" t="str">
        <f t="shared" si="15"/>
        <v>成新度</v>
      </c>
      <c r="AA36" s="1811" t="e">
        <f t="shared" si="3"/>
        <v>#N/A</v>
      </c>
      <c r="AB36" s="1811" t="e">
        <f t="shared" si="4"/>
        <v>#N/A</v>
      </c>
      <c r="AC36" s="1811" t="e">
        <f t="shared" si="5"/>
        <v>#N/A</v>
      </c>
    </row>
    <row r="37" spans="1:29" s="117" customFormat="1" ht="15">
      <c r="A37" s="473"/>
      <c r="B37" s="422" t="s">
        <v>2659</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316"/>
      <c r="Q37" s="1795" t="str">
        <f t="shared" si="11"/>
        <v>市政基础设施</v>
      </c>
      <c r="R37" s="770" t="s">
        <v>17</v>
      </c>
      <c r="S37" s="771">
        <f t="shared" si="12"/>
        <v>100</v>
      </c>
      <c r="T37" s="770" t="s">
        <v>17</v>
      </c>
      <c r="U37" s="771">
        <f t="shared" si="13"/>
        <v>100</v>
      </c>
      <c r="V37" s="770" t="s">
        <v>17</v>
      </c>
      <c r="W37" s="771">
        <f t="shared" si="14"/>
        <v>100</v>
      </c>
      <c r="X37" s="772"/>
      <c r="Y37" s="3318"/>
      <c r="Z37" s="55" t="str">
        <f t="shared" si="15"/>
        <v>市政基础设施</v>
      </c>
      <c r="AA37" s="773">
        <f t="shared" si="3"/>
        <v>1</v>
      </c>
      <c r="AB37" s="773">
        <f t="shared" si="4"/>
        <v>1</v>
      </c>
      <c r="AC37" s="773">
        <f t="shared" si="5"/>
        <v>1</v>
      </c>
    </row>
    <row r="38" spans="1:29" ht="15">
      <c r="A38" s="472"/>
      <c r="B38" s="422" t="s">
        <v>2660</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316" t="s">
        <v>2561</v>
      </c>
      <c r="Q38" s="1810" t="str">
        <f t="shared" si="11"/>
        <v>业态</v>
      </c>
      <c r="R38" s="774" t="s">
        <v>17</v>
      </c>
      <c r="S38" s="775">
        <f t="shared" si="12"/>
        <v>100</v>
      </c>
      <c r="T38" s="774" t="s">
        <v>17</v>
      </c>
      <c r="U38" s="775">
        <f t="shared" si="13"/>
        <v>100</v>
      </c>
      <c r="V38" s="774" t="s">
        <v>17</v>
      </c>
      <c r="W38" s="775">
        <f t="shared" si="14"/>
        <v>100</v>
      </c>
      <c r="X38" s="1813"/>
      <c r="Y38" s="3318" t="s">
        <v>2561</v>
      </c>
      <c r="Z38" s="1814" t="str">
        <f t="shared" si="15"/>
        <v>业态</v>
      </c>
      <c r="AA38" s="1811">
        <f t="shared" si="3"/>
        <v>1</v>
      </c>
      <c r="AB38" s="1811">
        <f t="shared" si="4"/>
        <v>1</v>
      </c>
      <c r="AC38" s="1811">
        <f t="shared" si="5"/>
        <v>1</v>
      </c>
    </row>
    <row r="39" spans="1:29" ht="15">
      <c r="A39" s="472"/>
      <c r="B39" s="422" t="s">
        <v>2661</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316"/>
      <c r="Q39" s="1810" t="str">
        <f t="shared" si="11"/>
        <v>层高</v>
      </c>
      <c r="R39" s="774" t="s">
        <v>17</v>
      </c>
      <c r="S39" s="775">
        <f t="shared" si="12"/>
        <v>100</v>
      </c>
      <c r="T39" s="774" t="s">
        <v>17</v>
      </c>
      <c r="U39" s="775">
        <f t="shared" si="13"/>
        <v>100</v>
      </c>
      <c r="V39" s="774" t="s">
        <v>17</v>
      </c>
      <c r="W39" s="775">
        <f t="shared" si="14"/>
        <v>100</v>
      </c>
      <c r="X39" s="1813"/>
      <c r="Y39" s="3318"/>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16"/>
      <c r="Q40" s="1810" t="str">
        <f t="shared" si="11"/>
        <v>单套建筑面积</v>
      </c>
      <c r="R40" s="774" t="s">
        <v>17</v>
      </c>
      <c r="S40" s="775">
        <f t="shared" si="12"/>
        <v>100</v>
      </c>
      <c r="T40" s="774" t="s">
        <v>17</v>
      </c>
      <c r="U40" s="775">
        <f t="shared" si="13"/>
        <v>100</v>
      </c>
      <c r="V40" s="774" t="s">
        <v>17</v>
      </c>
      <c r="W40" s="775">
        <f t="shared" si="14"/>
        <v>100</v>
      </c>
      <c r="X40" s="1813"/>
      <c r="Y40" s="3318"/>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16"/>
      <c r="Q41" s="776" t="str">
        <f t="shared" si="11"/>
        <v>进深比</v>
      </c>
      <c r="R41" s="777" t="s">
        <v>17</v>
      </c>
      <c r="S41" s="778">
        <f t="shared" si="12"/>
        <v>100</v>
      </c>
      <c r="T41" s="777" t="s">
        <v>17</v>
      </c>
      <c r="U41" s="778">
        <f t="shared" si="13"/>
        <v>100</v>
      </c>
      <c r="V41" s="777" t="s">
        <v>17</v>
      </c>
      <c r="W41" s="778">
        <f t="shared" si="14"/>
        <v>100</v>
      </c>
      <c r="X41" s="779"/>
      <c r="Y41" s="3318"/>
      <c r="Z41" s="780" t="str">
        <f t="shared" si="15"/>
        <v>进深比</v>
      </c>
      <c r="AA41" s="1811">
        <f t="shared" si="3"/>
        <v>1</v>
      </c>
      <c r="AB41" s="1811">
        <f t="shared" si="4"/>
        <v>1</v>
      </c>
      <c r="AC41" s="1811">
        <f t="shared" si="5"/>
        <v>1</v>
      </c>
    </row>
    <row r="42" spans="1:29" ht="15">
      <c r="A42" s="472"/>
      <c r="B42" s="422" t="s">
        <v>2664</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316"/>
      <c r="Q42" s="1810" t="str">
        <f t="shared" si="11"/>
        <v>内部装修</v>
      </c>
      <c r="R42" s="774" t="s">
        <v>17</v>
      </c>
      <c r="S42" s="775">
        <f t="shared" si="12"/>
        <v>100</v>
      </c>
      <c r="T42" s="774" t="s">
        <v>17</v>
      </c>
      <c r="U42" s="775">
        <f t="shared" si="13"/>
        <v>100</v>
      </c>
      <c r="V42" s="774" t="s">
        <v>17</v>
      </c>
      <c r="W42" s="775">
        <f t="shared" si="14"/>
        <v>100</v>
      </c>
      <c r="X42" s="1813"/>
      <c r="Y42" s="3318"/>
      <c r="Z42" s="1814" t="str">
        <f t="shared" si="15"/>
        <v>内部装修</v>
      </c>
      <c r="AA42" s="1811">
        <f t="shared" si="3"/>
        <v>1</v>
      </c>
      <c r="AB42" s="1811">
        <f t="shared" si="4"/>
        <v>1</v>
      </c>
      <c r="AC42" s="1811">
        <f t="shared" si="5"/>
        <v>1</v>
      </c>
    </row>
    <row r="43" spans="1:29" ht="15">
      <c r="A43" s="472"/>
      <c r="B43" s="422" t="s">
        <v>2572</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316"/>
      <c r="Q43" s="1810" t="str">
        <f t="shared" si="11"/>
        <v>内部装修维护情况</v>
      </c>
      <c r="R43" s="774" t="s">
        <v>17</v>
      </c>
      <c r="S43" s="775">
        <f t="shared" si="12"/>
        <v>100</v>
      </c>
      <c r="T43" s="774" t="s">
        <v>17</v>
      </c>
      <c r="U43" s="775">
        <f t="shared" si="13"/>
        <v>100</v>
      </c>
      <c r="V43" s="774" t="s">
        <v>17</v>
      </c>
      <c r="W43" s="775">
        <f t="shared" si="14"/>
        <v>100</v>
      </c>
      <c r="X43" s="1813"/>
      <c r="Y43" s="331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16"/>
      <c r="Q44" s="1795">
        <f t="shared" si="11"/>
        <v>111</v>
      </c>
      <c r="R44" s="770" t="s">
        <v>17</v>
      </c>
      <c r="S44" s="771">
        <f t="shared" si="12"/>
        <v>100</v>
      </c>
      <c r="T44" s="770" t="s">
        <v>17</v>
      </c>
      <c r="U44" s="771">
        <f t="shared" si="13"/>
        <v>100</v>
      </c>
      <c r="V44" s="770" t="s">
        <v>17</v>
      </c>
      <c r="W44" s="771">
        <f t="shared" si="14"/>
        <v>100</v>
      </c>
      <c r="X44" s="772"/>
      <c r="Y44" s="331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16"/>
      <c r="Q45" s="1810">
        <f t="shared" si="11"/>
        <v>111</v>
      </c>
      <c r="R45" s="774" t="s">
        <v>17</v>
      </c>
      <c r="S45" s="775">
        <f t="shared" si="12"/>
        <v>100</v>
      </c>
      <c r="T45" s="774" t="s">
        <v>17</v>
      </c>
      <c r="U45" s="775">
        <f t="shared" si="13"/>
        <v>100</v>
      </c>
      <c r="V45" s="774" t="s">
        <v>17</v>
      </c>
      <c r="W45" s="775">
        <f t="shared" si="14"/>
        <v>100</v>
      </c>
      <c r="X45" s="1813"/>
      <c r="Y45" s="3318"/>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17"/>
      <c r="Q46" s="1810">
        <f t="shared" si="11"/>
        <v>111</v>
      </c>
      <c r="R46" s="774" t="s">
        <v>17</v>
      </c>
      <c r="S46" s="775">
        <f t="shared" si="12"/>
        <v>100</v>
      </c>
      <c r="T46" s="774" t="s">
        <v>17</v>
      </c>
      <c r="U46" s="775">
        <f t="shared" si="13"/>
        <v>100</v>
      </c>
      <c r="V46" s="774" t="s">
        <v>17</v>
      </c>
      <c r="W46" s="775">
        <f t="shared" si="14"/>
        <v>100</v>
      </c>
      <c r="X46" s="1813"/>
      <c r="Y46" s="3319"/>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311" t="str">
        <f>A47</f>
        <v>成交单价（元/平方米）</v>
      </c>
      <c r="Q47" s="3311"/>
      <c r="R47" s="3342">
        <f>E47</f>
        <v>0</v>
      </c>
      <c r="S47" s="3342"/>
      <c r="T47" s="3342">
        <f>G47</f>
        <v>0</v>
      </c>
      <c r="U47" s="3342"/>
      <c r="V47" s="3342">
        <f>I47</f>
        <v>0</v>
      </c>
      <c r="W47" s="3342"/>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311" t="str">
        <f>A48</f>
        <v>比较价值（元/平方米）</v>
      </c>
      <c r="Q48" s="3311"/>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308" t="str">
        <f>A49</f>
        <v>估价对象XX用房的比较价值（楼面单价，元/平方米）</v>
      </c>
      <c r="Q49" s="3309"/>
      <c r="R49" s="3310" t="e">
        <f>IF(F1="售价",ROUND(AVERAGE(R48:V48),0),ROUND(AVERAGE(R48:V48),1))</f>
        <v>#DIV/0!</v>
      </c>
      <c r="S49" s="3310"/>
      <c r="T49" s="3310"/>
      <c r="U49" s="3310"/>
      <c r="V49" s="3310"/>
      <c r="W49" s="331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2544</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2581</v>
      </c>
      <c r="B60" s="516"/>
      <c r="C60" s="517"/>
      <c r="D60" s="518"/>
      <c r="E60" s="518"/>
      <c r="F60" s="518"/>
      <c r="G60" s="518"/>
      <c r="H60" s="518"/>
      <c r="I60" s="518"/>
      <c r="J60" s="518"/>
      <c r="K60" s="518"/>
      <c r="L60" s="518"/>
      <c r="M60" s="519"/>
      <c r="N60" s="518"/>
      <c r="O60" s="519"/>
      <c r="P60" s="2631"/>
      <c r="Q60" s="504"/>
    </row>
    <row r="61" spans="1:29" s="117" customFormat="1" ht="15">
      <c r="A61" s="521" t="s">
        <v>2546</v>
      </c>
      <c r="B61" s="510"/>
      <c r="C61" s="522" t="s">
        <v>2648</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2584</v>
      </c>
      <c r="B63" s="528" t="s">
        <v>2550</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2676</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2559</v>
      </c>
      <c r="B100" s="528" t="s">
        <v>2677</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2610</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2612</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2678</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2679</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2680</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2616</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4"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33" sqref="J3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2" t="s">
        <v>2682</v>
      </c>
      <c r="C1" s="1620" t="s">
        <v>2526</v>
      </c>
      <c r="D1" s="1621"/>
      <c r="E1" s="1630"/>
      <c r="F1" s="2587"/>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9"/>
      <c r="D2" s="1365" t="e">
        <f ca="1">SUMIF(INDIRECT("'"&amp;F2&amp;"'"&amp;"!A:A"),"承租人权益价值",INDIRECT("'"&amp;F2&amp;"'"&amp;"!c:c"))</f>
        <v>#REF!</v>
      </c>
      <c r="E2" s="2590" t="s">
        <v>2324</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27202.3</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326" t="s">
        <v>2642</v>
      </c>
      <c r="D4" s="3327"/>
      <c r="E4" s="3328" t="s">
        <v>2643</v>
      </c>
      <c r="F4" s="3329"/>
      <c r="G4" s="3326" t="s">
        <v>2644</v>
      </c>
      <c r="H4" s="3327"/>
      <c r="I4" s="3326" t="s">
        <v>2645</v>
      </c>
      <c r="J4" s="3327"/>
      <c r="K4" s="610" t="s">
        <v>2646</v>
      </c>
      <c r="L4" s="1130"/>
      <c r="M4" s="1131"/>
      <c r="N4" s="1131"/>
      <c r="O4" s="1131"/>
      <c r="P4" s="3360" t="s">
        <v>2647</v>
      </c>
      <c r="Q4" s="3361"/>
      <c r="R4" s="3364" t="s">
        <v>2643</v>
      </c>
      <c r="S4" s="3365"/>
      <c r="T4" s="3364" t="s">
        <v>2644</v>
      </c>
      <c r="U4" s="3365"/>
      <c r="V4" s="3366" t="s">
        <v>2645</v>
      </c>
      <c r="W4" s="3366"/>
      <c r="X4" s="2673"/>
      <c r="Y4" s="3364" t="s">
        <v>2647</v>
      </c>
      <c r="Z4" s="3365"/>
      <c r="AA4" s="3368" t="s">
        <v>2643</v>
      </c>
      <c r="AB4" s="3368" t="s">
        <v>2644</v>
      </c>
      <c r="AC4" s="3357" t="s">
        <v>2645</v>
      </c>
    </row>
    <row r="5" spans="1:29" ht="15">
      <c r="A5" s="404"/>
      <c r="B5" s="405"/>
      <c r="C5" s="3345" t="s">
        <v>2538</v>
      </c>
      <c r="D5" s="3346"/>
      <c r="E5" s="3352" t="s">
        <v>2539</v>
      </c>
      <c r="F5" s="3353"/>
      <c r="G5" s="3345" t="s">
        <v>2540</v>
      </c>
      <c r="H5" s="3346"/>
      <c r="I5" s="3345" t="s">
        <v>2541</v>
      </c>
      <c r="J5" s="3346"/>
      <c r="K5" s="610"/>
      <c r="L5" s="1130"/>
      <c r="M5" s="1131"/>
      <c r="N5" s="1131"/>
      <c r="O5" s="1131"/>
      <c r="P5" s="3362"/>
      <c r="Q5" s="3333"/>
      <c r="R5" s="3338"/>
      <c r="S5" s="3339"/>
      <c r="T5" s="3338"/>
      <c r="U5" s="3339"/>
      <c r="V5" s="3342"/>
      <c r="W5" s="3342"/>
      <c r="X5" s="1813"/>
      <c r="Y5" s="3338"/>
      <c r="Z5" s="3339"/>
      <c r="AA5" s="3324"/>
      <c r="AB5" s="3324"/>
      <c r="AC5" s="3358"/>
    </row>
    <row r="6" spans="1:29" ht="15.75" thickBot="1">
      <c r="A6" s="406"/>
      <c r="B6" s="407"/>
      <c r="C6" s="3343" t="s">
        <v>2542</v>
      </c>
      <c r="D6" s="3344"/>
      <c r="E6" s="3350" t="s">
        <v>2542</v>
      </c>
      <c r="F6" s="3351"/>
      <c r="G6" s="3343" t="s">
        <v>2542</v>
      </c>
      <c r="H6" s="3344"/>
      <c r="I6" s="3343" t="s">
        <v>2542</v>
      </c>
      <c r="J6" s="3344"/>
      <c r="K6" s="610" t="s">
        <v>2543</v>
      </c>
      <c r="L6" s="1130"/>
      <c r="M6" s="1131"/>
      <c r="N6" s="1131"/>
      <c r="O6" s="1131"/>
      <c r="P6" s="3363"/>
      <c r="Q6" s="3335"/>
      <c r="R6" s="3338"/>
      <c r="S6" s="3339"/>
      <c r="T6" s="3340"/>
      <c r="U6" s="3341"/>
      <c r="V6" s="3342"/>
      <c r="W6" s="3342"/>
      <c r="X6" s="1813"/>
      <c r="Y6" s="3340"/>
      <c r="Z6" s="3341"/>
      <c r="AA6" s="3325"/>
      <c r="AB6" s="3325"/>
      <c r="AC6" s="3359"/>
    </row>
    <row r="7" spans="1:29" s="117" customFormat="1" ht="15.75" thickBot="1">
      <c r="A7" s="408" t="s">
        <v>2544</v>
      </c>
      <c r="B7" s="409"/>
      <c r="C7" s="410">
        <f>'数据-取费表'!B2</f>
        <v>43592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67" t="s">
        <v>2545</v>
      </c>
      <c r="Q7" s="3349"/>
      <c r="R7" s="770" t="s">
        <v>17</v>
      </c>
      <c r="S7" s="771">
        <f t="shared" ref="S7:S15" si="0">F7</f>
        <v>0</v>
      </c>
      <c r="T7" s="770" t="s">
        <v>17</v>
      </c>
      <c r="U7" s="771">
        <f t="shared" ref="U7:U15" si="1">H7</f>
        <v>0</v>
      </c>
      <c r="V7" s="770" t="s">
        <v>17</v>
      </c>
      <c r="W7" s="771">
        <f t="shared" ref="W7:W15" si="2">J7</f>
        <v>0</v>
      </c>
      <c r="X7" s="772"/>
      <c r="Y7" s="3347" t="s">
        <v>2545</v>
      </c>
      <c r="Z7" s="3348"/>
      <c r="AA7" s="773" t="e">
        <f>D7/F7</f>
        <v>#DIV/0!</v>
      </c>
      <c r="AB7" s="773" t="e">
        <f>D7/H7</f>
        <v>#DIV/0!</v>
      </c>
      <c r="AC7" s="2674"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67" t="s">
        <v>2548</v>
      </c>
      <c r="Q8" s="3348"/>
      <c r="R8" s="770" t="s">
        <v>17</v>
      </c>
      <c r="S8" s="771">
        <f t="shared" si="0"/>
        <v>0</v>
      </c>
      <c r="T8" s="770" t="s">
        <v>17</v>
      </c>
      <c r="U8" s="771">
        <f t="shared" si="1"/>
        <v>0</v>
      </c>
      <c r="V8" s="770" t="s">
        <v>17</v>
      </c>
      <c r="W8" s="771">
        <f t="shared" si="2"/>
        <v>0</v>
      </c>
      <c r="X8" s="772"/>
      <c r="Y8" s="3347" t="s">
        <v>2548</v>
      </c>
      <c r="Z8" s="3348"/>
      <c r="AA8" s="773" t="e">
        <f t="shared" ref="AA8:AA47" si="3">D8/F8</f>
        <v>#DIV/0!</v>
      </c>
      <c r="AB8" s="773" t="e">
        <f t="shared" ref="AB8:AB47" si="4">D8/H8</f>
        <v>#DIV/0!</v>
      </c>
      <c r="AC8" s="2674"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322" t="s">
        <v>2551</v>
      </c>
      <c r="Q9" s="1795" t="str">
        <f t="shared" ref="Q9:Q15" si="6">B9</f>
        <v>用途</v>
      </c>
      <c r="R9" s="770" t="s">
        <v>17</v>
      </c>
      <c r="S9" s="771">
        <f t="shared" si="0"/>
        <v>100</v>
      </c>
      <c r="T9" s="770" t="s">
        <v>17</v>
      </c>
      <c r="U9" s="771">
        <f t="shared" si="1"/>
        <v>100</v>
      </c>
      <c r="V9" s="770" t="s">
        <v>17</v>
      </c>
      <c r="W9" s="771">
        <f t="shared" si="2"/>
        <v>100</v>
      </c>
      <c r="X9" s="772"/>
      <c r="Y9" s="3088" t="s">
        <v>2552</v>
      </c>
      <c r="Z9" s="55" t="str">
        <f t="shared" ref="Z9:Z15" si="7">Q9</f>
        <v>用途</v>
      </c>
      <c r="AA9" s="773">
        <f t="shared" si="3"/>
        <v>1</v>
      </c>
      <c r="AB9" s="773">
        <f t="shared" si="4"/>
        <v>1</v>
      </c>
      <c r="AC9" s="2674">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322"/>
      <c r="Q10" s="1795"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2674">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322"/>
      <c r="Q11" s="1795" t="str">
        <f t="shared" si="6"/>
        <v>容积率</v>
      </c>
      <c r="R11" s="770" t="s">
        <v>17</v>
      </c>
      <c r="S11" s="771" t="e">
        <f t="shared" si="0"/>
        <v>#N/A</v>
      </c>
      <c r="T11" s="770" t="s">
        <v>17</v>
      </c>
      <c r="U11" s="771" t="e">
        <f t="shared" si="1"/>
        <v>#N/A</v>
      </c>
      <c r="V11" s="770" t="s">
        <v>17</v>
      </c>
      <c r="W11" s="771" t="e">
        <f t="shared" si="2"/>
        <v>#N/A</v>
      </c>
      <c r="X11" s="772"/>
      <c r="Y11" s="3088"/>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322"/>
      <c r="Q12" s="1795">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322"/>
      <c r="Q13" s="1795">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322"/>
      <c r="Q14" s="1795">
        <f t="shared" si="6"/>
        <v>111</v>
      </c>
      <c r="R14" s="770" t="s">
        <v>17</v>
      </c>
      <c r="S14" s="771">
        <f t="shared" si="0"/>
        <v>100</v>
      </c>
      <c r="T14" s="770" t="s">
        <v>17</v>
      </c>
      <c r="U14" s="771">
        <f t="shared" si="1"/>
        <v>100</v>
      </c>
      <c r="V14" s="770" t="s">
        <v>17</v>
      </c>
      <c r="W14" s="771">
        <f t="shared" si="2"/>
        <v>100</v>
      </c>
      <c r="X14" s="772"/>
      <c r="Y14" s="3088"/>
      <c r="Z14" s="55">
        <f t="shared" si="7"/>
        <v>111</v>
      </c>
      <c r="AA14" s="773">
        <f t="shared" si="3"/>
        <v>1</v>
      </c>
      <c r="AB14" s="773">
        <f t="shared" si="4"/>
        <v>1</v>
      </c>
      <c r="AC14" s="2674">
        <f t="shared" si="5"/>
        <v>1</v>
      </c>
    </row>
    <row r="15" spans="1:29" ht="71.25">
      <c r="A15" s="440" t="s">
        <v>2555</v>
      </c>
      <c r="B15" s="629" t="s">
        <v>2683</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20" t="s">
        <v>2556</v>
      </c>
      <c r="Q15" s="1810" t="str">
        <f t="shared" si="6"/>
        <v>办公集聚程度</v>
      </c>
      <c r="R15" s="774" t="s">
        <v>17</v>
      </c>
      <c r="S15" s="775">
        <f t="shared" si="0"/>
        <v>100</v>
      </c>
      <c r="T15" s="774" t="s">
        <v>17</v>
      </c>
      <c r="U15" s="775">
        <f t="shared" si="1"/>
        <v>100</v>
      </c>
      <c r="V15" s="774" t="s">
        <v>17</v>
      </c>
      <c r="W15" s="775">
        <f t="shared" si="2"/>
        <v>100</v>
      </c>
      <c r="X15" s="1813"/>
      <c r="Y15" s="3313" t="s">
        <v>2556</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321"/>
      <c r="Q16" s="1810"/>
      <c r="R16" s="774"/>
      <c r="S16" s="775"/>
      <c r="T16" s="774"/>
      <c r="U16" s="775"/>
      <c r="V16" s="774"/>
      <c r="W16" s="775"/>
      <c r="X16" s="1813"/>
      <c r="Y16" s="3314"/>
      <c r="Z16" s="1814"/>
      <c r="AA16" s="1811">
        <v>1</v>
      </c>
      <c r="AB16" s="1811">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21"/>
      <c r="Q17" s="1810" t="str">
        <f>B17</f>
        <v>交通便捷度</v>
      </c>
      <c r="R17" s="774" t="s">
        <v>17</v>
      </c>
      <c r="S17" s="775">
        <f>F17</f>
        <v>100</v>
      </c>
      <c r="T17" s="774" t="s">
        <v>17</v>
      </c>
      <c r="U17" s="775">
        <f>H17</f>
        <v>100</v>
      </c>
      <c r="V17" s="774" t="s">
        <v>17</v>
      </c>
      <c r="W17" s="775">
        <f>J17</f>
        <v>100</v>
      </c>
      <c r="X17" s="1813"/>
      <c r="Y17" s="3314"/>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321"/>
      <c r="Q18" s="1810"/>
      <c r="R18" s="774"/>
      <c r="S18" s="775"/>
      <c r="T18" s="774"/>
      <c r="U18" s="775"/>
      <c r="V18" s="774"/>
      <c r="W18" s="775"/>
      <c r="X18" s="1813"/>
      <c r="Y18" s="3314"/>
      <c r="Z18" s="1814"/>
      <c r="AA18" s="1811">
        <v>1</v>
      </c>
      <c r="AB18" s="1811">
        <v>1</v>
      </c>
      <c r="AC18" s="2677">
        <v>1</v>
      </c>
    </row>
    <row r="19" spans="1:29" ht="42.75">
      <c r="A19" s="428"/>
      <c r="B19" s="631" t="s">
        <v>2684</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21"/>
      <c r="Q19" s="1810" t="str">
        <f>B19</f>
        <v>公共配套设施</v>
      </c>
      <c r="R19" s="774" t="s">
        <v>17</v>
      </c>
      <c r="S19" s="775">
        <f>F19</f>
        <v>100</v>
      </c>
      <c r="T19" s="774" t="s">
        <v>17</v>
      </c>
      <c r="U19" s="775">
        <f>H19</f>
        <v>100</v>
      </c>
      <c r="V19" s="774" t="s">
        <v>17</v>
      </c>
      <c r="W19" s="775">
        <f>J19</f>
        <v>100</v>
      </c>
      <c r="X19" s="1813"/>
      <c r="Y19" s="3314"/>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321"/>
      <c r="Q20" s="1810"/>
      <c r="R20" s="774"/>
      <c r="S20" s="775"/>
      <c r="T20" s="774"/>
      <c r="U20" s="775"/>
      <c r="V20" s="774"/>
      <c r="W20" s="775"/>
      <c r="X20" s="1813"/>
      <c r="Y20" s="3314"/>
      <c r="Z20" s="1814"/>
      <c r="AA20" s="1811">
        <v>1</v>
      </c>
      <c r="AB20" s="1811">
        <v>1</v>
      </c>
      <c r="AC20" s="2677">
        <v>1</v>
      </c>
    </row>
    <row r="21" spans="1:29" ht="28.5">
      <c r="A21" s="428"/>
      <c r="B21" s="633" t="s">
        <v>2685</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21"/>
      <c r="Q21" s="1810" t="str">
        <f>B21</f>
        <v>基础设施水平</v>
      </c>
      <c r="R21" s="774" t="s">
        <v>17</v>
      </c>
      <c r="S21" s="775">
        <f>F21</f>
        <v>100</v>
      </c>
      <c r="T21" s="774" t="s">
        <v>17</v>
      </c>
      <c r="U21" s="775">
        <f>H21</f>
        <v>100</v>
      </c>
      <c r="V21" s="774" t="s">
        <v>17</v>
      </c>
      <c r="W21" s="775">
        <f>J21</f>
        <v>100</v>
      </c>
      <c r="X21" s="1813"/>
      <c r="Y21" s="3314"/>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321"/>
      <c r="Q22" s="1810"/>
      <c r="R22" s="774"/>
      <c r="S22" s="775"/>
      <c r="T22" s="774"/>
      <c r="U22" s="775"/>
      <c r="V22" s="774"/>
      <c r="W22" s="775"/>
      <c r="X22" s="1813"/>
      <c r="Y22" s="3314"/>
      <c r="Z22" s="1814"/>
      <c r="AA22" s="1811">
        <v>1</v>
      </c>
      <c r="AB22" s="1811">
        <v>1</v>
      </c>
      <c r="AC22" s="2677">
        <v>1</v>
      </c>
    </row>
    <row r="23" spans="1:29" ht="42.75">
      <c r="A23" s="428"/>
      <c r="B23" s="631" t="s">
        <v>2686</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21"/>
      <c r="Q23" s="1810" t="str">
        <f>B23</f>
        <v>环境质量</v>
      </c>
      <c r="R23" s="774" t="s">
        <v>17</v>
      </c>
      <c r="S23" s="775">
        <f>F23</f>
        <v>100</v>
      </c>
      <c r="T23" s="774" t="s">
        <v>17</v>
      </c>
      <c r="U23" s="775">
        <f>H23</f>
        <v>100</v>
      </c>
      <c r="V23" s="774" t="s">
        <v>17</v>
      </c>
      <c r="W23" s="775">
        <f>J23</f>
        <v>100</v>
      </c>
      <c r="X23" s="1813"/>
      <c r="Y23" s="3314"/>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321"/>
      <c r="Q24" s="1810"/>
      <c r="R24" s="774"/>
      <c r="S24" s="775"/>
      <c r="T24" s="774"/>
      <c r="U24" s="775"/>
      <c r="V24" s="774"/>
      <c r="W24" s="775"/>
      <c r="X24" s="1813"/>
      <c r="Y24" s="3314"/>
      <c r="Z24" s="1814"/>
      <c r="AA24" s="1811">
        <v>1</v>
      </c>
      <c r="AB24" s="1811">
        <v>1</v>
      </c>
      <c r="AC24" s="2677">
        <v>1</v>
      </c>
    </row>
    <row r="25" spans="1:29" ht="27">
      <c r="A25" s="404"/>
      <c r="B25" s="631" t="s">
        <v>2687</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321"/>
      <c r="Q25" s="1810" t="str">
        <f>B25</f>
        <v>毗邻道路的类型与等级</v>
      </c>
      <c r="R25" s="774" t="s">
        <v>17</v>
      </c>
      <c r="S25" s="775">
        <f>F25</f>
        <v>100</v>
      </c>
      <c r="T25" s="774" t="s">
        <v>17</v>
      </c>
      <c r="U25" s="775">
        <f>H25</f>
        <v>100</v>
      </c>
      <c r="V25" s="774" t="s">
        <v>17</v>
      </c>
      <c r="W25" s="775">
        <f>J25</f>
        <v>100</v>
      </c>
      <c r="X25" s="1813"/>
      <c r="Y25" s="3314"/>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321"/>
      <c r="Q26" s="1810"/>
      <c r="R26" s="774"/>
      <c r="S26" s="775"/>
      <c r="T26" s="774"/>
      <c r="U26" s="775"/>
      <c r="V26" s="774"/>
      <c r="W26" s="775"/>
      <c r="X26" s="1813"/>
      <c r="Y26" s="3314"/>
      <c r="Z26" s="1814"/>
      <c r="AA26" s="1811">
        <v>1</v>
      </c>
      <c r="AB26" s="1811">
        <v>1</v>
      </c>
      <c r="AC26" s="2677">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21"/>
      <c r="Q27" s="1810" t="str">
        <f t="shared" ref="Q27:Q47" si="11">B27</f>
        <v>楼层</v>
      </c>
      <c r="R27" s="774" t="s">
        <v>17</v>
      </c>
      <c r="S27" s="775">
        <f>F27</f>
        <v>100</v>
      </c>
      <c r="T27" s="774" t="s">
        <v>17</v>
      </c>
      <c r="U27" s="775">
        <f>H27</f>
        <v>100</v>
      </c>
      <c r="V27" s="774" t="s">
        <v>17</v>
      </c>
      <c r="W27" s="775">
        <f>J27</f>
        <v>100</v>
      </c>
      <c r="X27" s="1813"/>
      <c r="Y27" s="3314"/>
      <c r="Z27" s="1814" t="str">
        <f>Q27</f>
        <v>楼层</v>
      </c>
      <c r="AA27" s="1811">
        <f t="shared" si="3"/>
        <v>1</v>
      </c>
      <c r="AB27" s="1811">
        <f t="shared" si="4"/>
        <v>1</v>
      </c>
      <c r="AC27" s="2677">
        <f t="shared" si="5"/>
        <v>1</v>
      </c>
    </row>
    <row r="28" spans="1:29" s="117" customFormat="1" ht="15">
      <c r="A28" s="431"/>
      <c r="B28" s="631" t="s">
        <v>2688</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321"/>
      <c r="Q28" s="1795" t="str">
        <f t="shared" si="11"/>
        <v>朝向</v>
      </c>
      <c r="R28" s="770" t="s">
        <v>17</v>
      </c>
      <c r="S28" s="771">
        <f>F28</f>
        <v>100</v>
      </c>
      <c r="T28" s="770" t="s">
        <v>17</v>
      </c>
      <c r="U28" s="771">
        <f>H28</f>
        <v>100</v>
      </c>
      <c r="V28" s="770" t="s">
        <v>17</v>
      </c>
      <c r="W28" s="771">
        <f>J28</f>
        <v>100</v>
      </c>
      <c r="X28" s="772"/>
      <c r="Y28" s="3314"/>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321"/>
      <c r="Q29" s="1810">
        <f t="shared" si="11"/>
        <v>111</v>
      </c>
      <c r="R29" s="774" t="s">
        <v>17</v>
      </c>
      <c r="S29" s="775">
        <f t="shared" ref="S29:S47" si="12">F29</f>
        <v>100</v>
      </c>
      <c r="T29" s="774" t="s">
        <v>17</v>
      </c>
      <c r="U29" s="775">
        <f t="shared" ref="U29:U47" si="13">H29</f>
        <v>100</v>
      </c>
      <c r="V29" s="774" t="s">
        <v>17</v>
      </c>
      <c r="W29" s="775">
        <f t="shared" ref="W29:W47" si="14">J29</f>
        <v>100</v>
      </c>
      <c r="X29" s="1813"/>
      <c r="Y29" s="3314"/>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321"/>
      <c r="Q30" s="1810">
        <f t="shared" si="11"/>
        <v>111</v>
      </c>
      <c r="R30" s="774" t="s">
        <v>17</v>
      </c>
      <c r="S30" s="775">
        <f t="shared" si="12"/>
        <v>100</v>
      </c>
      <c r="T30" s="774" t="s">
        <v>17</v>
      </c>
      <c r="U30" s="775">
        <f t="shared" si="13"/>
        <v>100</v>
      </c>
      <c r="V30" s="774" t="s">
        <v>17</v>
      </c>
      <c r="W30" s="775">
        <f t="shared" si="14"/>
        <v>100</v>
      </c>
      <c r="X30" s="1813"/>
      <c r="Y30" s="3314"/>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321"/>
      <c r="Q31" s="1810">
        <f t="shared" si="11"/>
        <v>111</v>
      </c>
      <c r="R31" s="774" t="s">
        <v>17</v>
      </c>
      <c r="S31" s="775">
        <f t="shared" si="12"/>
        <v>100</v>
      </c>
      <c r="T31" s="774" t="s">
        <v>17</v>
      </c>
      <c r="U31" s="775">
        <f t="shared" si="13"/>
        <v>100</v>
      </c>
      <c r="V31" s="774" t="s">
        <v>17</v>
      </c>
      <c r="W31" s="775">
        <f t="shared" si="14"/>
        <v>100</v>
      </c>
      <c r="X31" s="1813"/>
      <c r="Y31" s="3314"/>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321"/>
      <c r="Q32" s="1810">
        <f t="shared" si="11"/>
        <v>111</v>
      </c>
      <c r="R32" s="774" t="s">
        <v>17</v>
      </c>
      <c r="S32" s="775">
        <f t="shared" si="12"/>
        <v>100</v>
      </c>
      <c r="T32" s="774" t="s">
        <v>17</v>
      </c>
      <c r="U32" s="775">
        <f t="shared" si="13"/>
        <v>100</v>
      </c>
      <c r="V32" s="774" t="s">
        <v>17</v>
      </c>
      <c r="W32" s="775">
        <f t="shared" si="14"/>
        <v>100</v>
      </c>
      <c r="X32" s="1813"/>
      <c r="Y32" s="3314"/>
      <c r="Z32" s="1814">
        <f t="shared" si="15"/>
        <v>111</v>
      </c>
      <c r="AA32" s="1811">
        <f t="shared" si="3"/>
        <v>1</v>
      </c>
      <c r="AB32" s="1811">
        <f t="shared" si="4"/>
        <v>1</v>
      </c>
      <c r="AC32" s="2677">
        <f t="shared" si="5"/>
        <v>1</v>
      </c>
    </row>
    <row r="33" spans="1:29" ht="15">
      <c r="A33" s="440" t="s">
        <v>2559</v>
      </c>
      <c r="B33" s="71" t="s">
        <v>2689</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315" t="s">
        <v>2561</v>
      </c>
      <c r="Q33" s="1810" t="str">
        <f t="shared" si="11"/>
        <v>建筑类型</v>
      </c>
      <c r="R33" s="774" t="s">
        <v>17</v>
      </c>
      <c r="S33" s="775">
        <f t="shared" si="12"/>
        <v>100</v>
      </c>
      <c r="T33" s="774" t="s">
        <v>17</v>
      </c>
      <c r="U33" s="775">
        <f t="shared" si="13"/>
        <v>100</v>
      </c>
      <c r="V33" s="774" t="s">
        <v>17</v>
      </c>
      <c r="W33" s="775">
        <f t="shared" si="14"/>
        <v>100</v>
      </c>
      <c r="X33" s="1813"/>
      <c r="Y33" s="3318" t="s">
        <v>2561</v>
      </c>
      <c r="Z33" s="1814" t="str">
        <f t="shared" si="15"/>
        <v>建筑类型</v>
      </c>
      <c r="AA33" s="1811">
        <f t="shared" si="3"/>
        <v>1</v>
      </c>
      <c r="AB33" s="1811">
        <f t="shared" si="4"/>
        <v>1</v>
      </c>
      <c r="AC33" s="2677">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16"/>
      <c r="Q34" s="776" t="str">
        <f t="shared" si="11"/>
        <v>项目建筑规模</v>
      </c>
      <c r="R34" s="777" t="s">
        <v>17</v>
      </c>
      <c r="S34" s="778" t="e">
        <f t="shared" si="12"/>
        <v>#N/A</v>
      </c>
      <c r="T34" s="777" t="s">
        <v>17</v>
      </c>
      <c r="U34" s="778" t="e">
        <f t="shared" si="13"/>
        <v>#N/A</v>
      </c>
      <c r="V34" s="777" t="s">
        <v>17</v>
      </c>
      <c r="W34" s="778" t="e">
        <f t="shared" si="14"/>
        <v>#N/A</v>
      </c>
      <c r="X34" s="779"/>
      <c r="Y34" s="3318"/>
      <c r="Z34" s="780" t="str">
        <f t="shared" si="15"/>
        <v>项目建筑规模</v>
      </c>
      <c r="AA34" s="1811" t="e">
        <f t="shared" si="3"/>
        <v>#N/A</v>
      </c>
      <c r="AB34" s="1811" t="e">
        <f t="shared" si="4"/>
        <v>#N/A</v>
      </c>
      <c r="AC34" s="2677"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16"/>
      <c r="Q35" s="1810" t="str">
        <f t="shared" si="11"/>
        <v>建筑结构</v>
      </c>
      <c r="R35" s="774" t="s">
        <v>17</v>
      </c>
      <c r="S35" s="775">
        <f t="shared" si="12"/>
        <v>100</v>
      </c>
      <c r="T35" s="774" t="s">
        <v>17</v>
      </c>
      <c r="U35" s="775">
        <f t="shared" si="13"/>
        <v>100</v>
      </c>
      <c r="V35" s="774" t="s">
        <v>17</v>
      </c>
      <c r="W35" s="775">
        <f t="shared" si="14"/>
        <v>100</v>
      </c>
      <c r="X35" s="1813"/>
      <c r="Y35" s="3318"/>
      <c r="Z35" s="1814" t="str">
        <f t="shared" si="15"/>
        <v>建筑结构</v>
      </c>
      <c r="AA35" s="1811">
        <f t="shared" si="3"/>
        <v>1</v>
      </c>
      <c r="AB35" s="1811">
        <f t="shared" si="4"/>
        <v>1</v>
      </c>
      <c r="AC35" s="2677">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16"/>
      <c r="Q36" s="1810" t="str">
        <f t="shared" si="11"/>
        <v>公共部分装修</v>
      </c>
      <c r="R36" s="774" t="s">
        <v>17</v>
      </c>
      <c r="S36" s="775">
        <f t="shared" si="12"/>
        <v>100</v>
      </c>
      <c r="T36" s="774" t="s">
        <v>17</v>
      </c>
      <c r="U36" s="775">
        <f t="shared" si="13"/>
        <v>100</v>
      </c>
      <c r="V36" s="774" t="s">
        <v>17</v>
      </c>
      <c r="W36" s="775">
        <f t="shared" si="14"/>
        <v>100</v>
      </c>
      <c r="X36" s="1813"/>
      <c r="Y36" s="3318"/>
      <c r="Z36" s="1814" t="str">
        <f t="shared" si="15"/>
        <v>公共部分装修</v>
      </c>
      <c r="AA36" s="1811">
        <f t="shared" si="3"/>
        <v>1</v>
      </c>
      <c r="AB36" s="1811">
        <f t="shared" si="4"/>
        <v>1</v>
      </c>
      <c r="AC36" s="2677">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16"/>
      <c r="Q37" s="1810" t="str">
        <f t="shared" si="11"/>
        <v>成新度</v>
      </c>
      <c r="R37" s="774" t="s">
        <v>17</v>
      </c>
      <c r="S37" s="775" t="e">
        <f t="shared" si="12"/>
        <v>#N/A</v>
      </c>
      <c r="T37" s="774" t="s">
        <v>17</v>
      </c>
      <c r="U37" s="775" t="e">
        <f t="shared" si="13"/>
        <v>#N/A</v>
      </c>
      <c r="V37" s="774" t="s">
        <v>17</v>
      </c>
      <c r="W37" s="775" t="e">
        <f t="shared" si="14"/>
        <v>#N/A</v>
      </c>
      <c r="X37" s="1813"/>
      <c r="Y37" s="3318"/>
      <c r="Z37" s="1814" t="str">
        <f t="shared" si="15"/>
        <v>成新度</v>
      </c>
      <c r="AA37" s="1811" t="e">
        <f t="shared" si="3"/>
        <v>#N/A</v>
      </c>
      <c r="AB37" s="1811" t="e">
        <f t="shared" si="4"/>
        <v>#N/A</v>
      </c>
      <c r="AC37" s="2677"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16"/>
      <c r="Q38" s="1795" t="str">
        <f t="shared" si="11"/>
        <v>写字楼等级</v>
      </c>
      <c r="R38" s="770" t="s">
        <v>17</v>
      </c>
      <c r="S38" s="771">
        <f t="shared" si="12"/>
        <v>100</v>
      </c>
      <c r="T38" s="770" t="s">
        <v>17</v>
      </c>
      <c r="U38" s="771">
        <f t="shared" si="13"/>
        <v>100</v>
      </c>
      <c r="V38" s="770" t="s">
        <v>17</v>
      </c>
      <c r="W38" s="771">
        <f t="shared" si="14"/>
        <v>100</v>
      </c>
      <c r="X38" s="772"/>
      <c r="Y38" s="3318"/>
      <c r="Z38" s="55" t="str">
        <f t="shared" si="15"/>
        <v>写字楼等级</v>
      </c>
      <c r="AA38" s="773">
        <f t="shared" si="3"/>
        <v>1</v>
      </c>
      <c r="AB38" s="773">
        <f t="shared" si="4"/>
        <v>1</v>
      </c>
      <c r="AC38" s="2674">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16" t="s">
        <v>2561</v>
      </c>
      <c r="Q39" s="1810" t="str">
        <f t="shared" si="11"/>
        <v>物业管理</v>
      </c>
      <c r="R39" s="774" t="s">
        <v>17</v>
      </c>
      <c r="S39" s="775">
        <f t="shared" si="12"/>
        <v>100</v>
      </c>
      <c r="T39" s="774" t="s">
        <v>17</v>
      </c>
      <c r="U39" s="775">
        <f t="shared" si="13"/>
        <v>100</v>
      </c>
      <c r="V39" s="774" t="s">
        <v>17</v>
      </c>
      <c r="W39" s="775">
        <f t="shared" si="14"/>
        <v>100</v>
      </c>
      <c r="X39" s="1813"/>
      <c r="Y39" s="3318" t="s">
        <v>2561</v>
      </c>
      <c r="Z39" s="1814" t="str">
        <f t="shared" si="15"/>
        <v>物业管理</v>
      </c>
      <c r="AA39" s="1811">
        <f t="shared" si="3"/>
        <v>1</v>
      </c>
      <c r="AB39" s="1811">
        <f t="shared" si="4"/>
        <v>1</v>
      </c>
      <c r="AC39" s="2677">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16"/>
      <c r="Q40" s="1810" t="str">
        <f t="shared" si="11"/>
        <v>市政基础设施</v>
      </c>
      <c r="R40" s="774" t="s">
        <v>17</v>
      </c>
      <c r="S40" s="775">
        <f t="shared" si="12"/>
        <v>100</v>
      </c>
      <c r="T40" s="774" t="s">
        <v>17</v>
      </c>
      <c r="U40" s="775">
        <f t="shared" si="13"/>
        <v>100</v>
      </c>
      <c r="V40" s="774" t="s">
        <v>17</v>
      </c>
      <c r="W40" s="775">
        <f t="shared" si="14"/>
        <v>100</v>
      </c>
      <c r="X40" s="1813"/>
      <c r="Y40" s="3318"/>
      <c r="Z40" s="1814" t="str">
        <f t="shared" si="15"/>
        <v>市政基础设施</v>
      </c>
      <c r="AA40" s="1811">
        <f t="shared" si="3"/>
        <v>1</v>
      </c>
      <c r="AB40" s="1811">
        <f t="shared" si="4"/>
        <v>1</v>
      </c>
      <c r="AC40" s="2677">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16"/>
      <c r="Q41" s="1810" t="str">
        <f t="shared" si="11"/>
        <v>层高</v>
      </c>
      <c r="R41" s="774" t="s">
        <v>17</v>
      </c>
      <c r="S41" s="775">
        <f t="shared" si="12"/>
        <v>100</v>
      </c>
      <c r="T41" s="774" t="s">
        <v>17</v>
      </c>
      <c r="U41" s="775">
        <f t="shared" si="13"/>
        <v>100</v>
      </c>
      <c r="V41" s="774" t="s">
        <v>17</v>
      </c>
      <c r="W41" s="775">
        <f t="shared" si="14"/>
        <v>100</v>
      </c>
      <c r="X41" s="1813"/>
      <c r="Y41" s="3318"/>
      <c r="Z41" s="1814" t="str">
        <f t="shared" si="15"/>
        <v>层高</v>
      </c>
      <c r="AA41" s="1811">
        <f t="shared" si="3"/>
        <v>1</v>
      </c>
      <c r="AB41" s="1811">
        <f t="shared" si="4"/>
        <v>1</v>
      </c>
      <c r="AC41" s="2677">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16"/>
      <c r="Q42" s="776" t="str">
        <f t="shared" si="11"/>
        <v>单套建筑面积</v>
      </c>
      <c r="R42" s="777" t="s">
        <v>17</v>
      </c>
      <c r="S42" s="778">
        <f t="shared" si="12"/>
        <v>100</v>
      </c>
      <c r="T42" s="777" t="s">
        <v>17</v>
      </c>
      <c r="U42" s="778">
        <f t="shared" si="13"/>
        <v>100</v>
      </c>
      <c r="V42" s="777" t="s">
        <v>17</v>
      </c>
      <c r="W42" s="778">
        <f t="shared" si="14"/>
        <v>100</v>
      </c>
      <c r="X42" s="779"/>
      <c r="Y42" s="3318"/>
      <c r="Z42" s="780" t="str">
        <f t="shared" si="15"/>
        <v>单套建筑面积</v>
      </c>
      <c r="AA42" s="1811">
        <f t="shared" si="3"/>
        <v>1</v>
      </c>
      <c r="AB42" s="1811">
        <f t="shared" si="4"/>
        <v>1</v>
      </c>
      <c r="AC42" s="2677">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16"/>
      <c r="Q43" s="1810" t="str">
        <f t="shared" si="11"/>
        <v>内部装修</v>
      </c>
      <c r="R43" s="774" t="s">
        <v>17</v>
      </c>
      <c r="S43" s="775">
        <f t="shared" si="12"/>
        <v>100</v>
      </c>
      <c r="T43" s="774" t="s">
        <v>17</v>
      </c>
      <c r="U43" s="775">
        <f t="shared" si="13"/>
        <v>100</v>
      </c>
      <c r="V43" s="774" t="s">
        <v>17</v>
      </c>
      <c r="W43" s="775">
        <f t="shared" si="14"/>
        <v>100</v>
      </c>
      <c r="X43" s="1813"/>
      <c r="Y43" s="3318"/>
      <c r="Z43" s="1814" t="str">
        <f t="shared" si="15"/>
        <v>内部装修</v>
      </c>
      <c r="AA43" s="1811">
        <f t="shared" si="3"/>
        <v>1</v>
      </c>
      <c r="AB43" s="1811">
        <f t="shared" si="4"/>
        <v>1</v>
      </c>
      <c r="AC43" s="2677">
        <f t="shared" si="5"/>
        <v>1</v>
      </c>
    </row>
    <row r="44" spans="1:29" ht="15">
      <c r="A44" s="472"/>
      <c r="B44" s="422" t="s">
        <v>2572</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316"/>
      <c r="Q44" s="1810" t="str">
        <f t="shared" si="11"/>
        <v>内部装修维护情况</v>
      </c>
      <c r="R44" s="774" t="s">
        <v>17</v>
      </c>
      <c r="S44" s="775">
        <f t="shared" si="12"/>
        <v>100</v>
      </c>
      <c r="T44" s="774" t="s">
        <v>17</v>
      </c>
      <c r="U44" s="775">
        <f t="shared" si="13"/>
        <v>100</v>
      </c>
      <c r="V44" s="774" t="s">
        <v>17</v>
      </c>
      <c r="W44" s="775">
        <f t="shared" si="14"/>
        <v>100</v>
      </c>
      <c r="X44" s="1813"/>
      <c r="Y44" s="3318"/>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16"/>
      <c r="Q45" s="1795">
        <f t="shared" si="11"/>
        <v>111</v>
      </c>
      <c r="R45" s="770" t="s">
        <v>17</v>
      </c>
      <c r="S45" s="771">
        <f t="shared" si="12"/>
        <v>100</v>
      </c>
      <c r="T45" s="770" t="s">
        <v>17</v>
      </c>
      <c r="U45" s="771">
        <f t="shared" si="13"/>
        <v>100</v>
      </c>
      <c r="V45" s="770" t="s">
        <v>17</v>
      </c>
      <c r="W45" s="771">
        <f t="shared" si="14"/>
        <v>100</v>
      </c>
      <c r="X45" s="772"/>
      <c r="Y45" s="3318"/>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16"/>
      <c r="Q46" s="1810">
        <f t="shared" si="11"/>
        <v>111</v>
      </c>
      <c r="R46" s="774" t="s">
        <v>17</v>
      </c>
      <c r="S46" s="775">
        <f t="shared" si="12"/>
        <v>100</v>
      </c>
      <c r="T46" s="774" t="s">
        <v>17</v>
      </c>
      <c r="U46" s="775">
        <f t="shared" si="13"/>
        <v>100</v>
      </c>
      <c r="V46" s="774" t="s">
        <v>17</v>
      </c>
      <c r="W46" s="775">
        <f t="shared" si="14"/>
        <v>100</v>
      </c>
      <c r="X46" s="1813"/>
      <c r="Y46" s="3318"/>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17"/>
      <c r="Q47" s="1810">
        <f t="shared" si="11"/>
        <v>111</v>
      </c>
      <c r="R47" s="774" t="s">
        <v>17</v>
      </c>
      <c r="S47" s="775">
        <f t="shared" si="12"/>
        <v>100</v>
      </c>
      <c r="T47" s="774" t="s">
        <v>17</v>
      </c>
      <c r="U47" s="775">
        <f t="shared" si="13"/>
        <v>100</v>
      </c>
      <c r="V47" s="774" t="s">
        <v>17</v>
      </c>
      <c r="W47" s="775">
        <f t="shared" si="14"/>
        <v>100</v>
      </c>
      <c r="X47" s="1813"/>
      <c r="Y47" s="3319"/>
      <c r="Z47" s="1814">
        <f t="shared" si="15"/>
        <v>111</v>
      </c>
      <c r="AA47" s="1811">
        <f t="shared" si="3"/>
        <v>1</v>
      </c>
      <c r="AB47" s="1811">
        <f t="shared" si="4"/>
        <v>1</v>
      </c>
      <c r="AC47" s="2677">
        <f t="shared" si="5"/>
        <v>1</v>
      </c>
    </row>
    <row r="48" spans="1:29" ht="15">
      <c r="A48" s="479" t="s">
        <v>2573</v>
      </c>
      <c r="B48" s="480"/>
      <c r="C48" s="1407" t="s">
        <v>1</v>
      </c>
      <c r="D48" s="1408"/>
      <c r="E48" s="1409"/>
      <c r="F48" s="1410"/>
      <c r="G48" s="1411"/>
      <c r="H48" s="1412"/>
      <c r="I48" s="1409"/>
      <c r="J48" s="485"/>
      <c r="K48" s="783"/>
      <c r="L48" s="1143"/>
      <c r="M48" s="1131"/>
      <c r="N48" s="1131"/>
      <c r="O48" s="1131"/>
      <c r="P48" s="3322" t="str">
        <f>A48</f>
        <v>成交单价（元/平方米）</v>
      </c>
      <c r="Q48" s="3311"/>
      <c r="R48" s="3312">
        <f>E48</f>
        <v>0</v>
      </c>
      <c r="S48" s="3312"/>
      <c r="T48" s="3312">
        <f>G48</f>
        <v>0</v>
      </c>
      <c r="U48" s="3312"/>
      <c r="V48" s="3312">
        <f>I48</f>
        <v>0</v>
      </c>
      <c r="W48" s="3312"/>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322" t="str">
        <f>A49</f>
        <v>比较价值（元/平方米）</v>
      </c>
      <c r="Q49" s="3311"/>
      <c r="R49" s="3312" t="e">
        <f>IF(F1="售价",ROUND(PRODUCT(R48,AA7:AA47),0),ROUND(PRODUCT(R48,AA7:AA47),1))</f>
        <v>#DIV/0!</v>
      </c>
      <c r="S49" s="3312"/>
      <c r="T49" s="3312" t="e">
        <f>IF(F1="售价",ROUND(PRODUCT(T48,AB7:AB47),0),ROUND(PRODUCT(T48,AB7:AB47),1))</f>
        <v>#DIV/0!</v>
      </c>
      <c r="U49" s="3312"/>
      <c r="V49" s="3312" t="e">
        <f>IF(F1="售价",ROUND(PRODUCT(V48,AC7:AC47),0),ROUND(PRODUCT(V48,AC7:AC47),1))</f>
        <v>#DIV/0!</v>
      </c>
      <c r="W49" s="3312"/>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354" t="str">
        <f>A50</f>
        <v>估价对象XX用房的比较价值（楼面单价，元/平方米）</v>
      </c>
      <c r="Q50" s="3355"/>
      <c r="R50" s="3356" t="e">
        <f>IF(F1="售价",ROUND(AVERAGE(R49:V49),0),ROUND(AVERAGE(R49:V49),1))</f>
        <v>#DIV/0!</v>
      </c>
      <c r="S50" s="3356"/>
      <c r="T50" s="3356"/>
      <c r="U50" s="3356"/>
      <c r="V50" s="3356"/>
      <c r="W50" s="3356"/>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4"/>
      <c r="Q58" s="504"/>
    </row>
    <row r="59" spans="1:29" s="508" customFormat="1" ht="15">
      <c r="A59" s="505" t="s">
        <v>2544</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2581</v>
      </c>
      <c r="B61" s="516"/>
      <c r="C61" s="517"/>
      <c r="D61" s="518"/>
      <c r="E61" s="518"/>
      <c r="F61" s="518"/>
      <c r="G61" s="518"/>
      <c r="H61" s="518"/>
      <c r="I61" s="518"/>
      <c r="J61" s="518"/>
      <c r="K61" s="518"/>
      <c r="L61" s="518"/>
      <c r="M61" s="519"/>
      <c r="N61" s="518"/>
      <c r="O61" s="519"/>
      <c r="P61" s="2685"/>
      <c r="Q61" s="504"/>
    </row>
    <row r="62" spans="1:29" s="117" customFormat="1" ht="15">
      <c r="A62" s="521" t="s">
        <v>2546</v>
      </c>
      <c r="B62" s="510"/>
      <c r="C62" s="522" t="s">
        <v>2648</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2584</v>
      </c>
      <c r="B64" s="528" t="s">
        <v>2550</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2695</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2559</v>
      </c>
      <c r="B101" s="528" t="s">
        <v>2608</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2610</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2612</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2613</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2614</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2697</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2616</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5"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33" sqref="J3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2" t="s">
        <v>2698</v>
      </c>
      <c r="C1" s="1620" t="s">
        <v>2526</v>
      </c>
      <c r="D1" s="1621"/>
      <c r="E1" s="1630"/>
      <c r="F1" s="2587"/>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9"/>
      <c r="D2" s="1124" t="e">
        <f ca="1">SUMIF(INDIRECT("'"&amp;F2&amp;"'"&amp;"!A:A"),"承租人权益价值",INDIRECT("'"&amp;F2&amp;"'"&amp;"!c:c"))</f>
        <v>#REF!</v>
      </c>
      <c r="E2" s="2590" t="s">
        <v>2324</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27202.3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326" t="s">
        <v>2642</v>
      </c>
      <c r="D4" s="3327"/>
      <c r="E4" s="3328" t="s">
        <v>2643</v>
      </c>
      <c r="F4" s="3329"/>
      <c r="G4" s="3326" t="s">
        <v>2644</v>
      </c>
      <c r="H4" s="3327"/>
      <c r="I4" s="3326" t="s">
        <v>2645</v>
      </c>
      <c r="J4" s="3327"/>
      <c r="K4" s="610" t="s">
        <v>2646</v>
      </c>
      <c r="L4" s="1130"/>
      <c r="M4" s="1131"/>
      <c r="N4" s="1131"/>
      <c r="O4" s="1131"/>
      <c r="P4" s="3330" t="s">
        <v>2647</v>
      </c>
      <c r="Q4" s="3331"/>
      <c r="R4" s="3336" t="s">
        <v>2643</v>
      </c>
      <c r="S4" s="3337"/>
      <c r="T4" s="3336" t="s">
        <v>2644</v>
      </c>
      <c r="U4" s="3337"/>
      <c r="V4" s="3342" t="s">
        <v>2645</v>
      </c>
      <c r="W4" s="3342"/>
      <c r="X4" s="1813"/>
      <c r="Y4" s="3336" t="s">
        <v>2647</v>
      </c>
      <c r="Z4" s="3337"/>
      <c r="AA4" s="3323" t="s">
        <v>2643</v>
      </c>
      <c r="AB4" s="3324" t="s">
        <v>2644</v>
      </c>
      <c r="AC4" s="3323" t="s">
        <v>2645</v>
      </c>
    </row>
    <row r="5" spans="1:29" ht="15">
      <c r="A5" s="404"/>
      <c r="B5" s="405"/>
      <c r="C5" s="3345" t="s">
        <v>2538</v>
      </c>
      <c r="D5" s="3346"/>
      <c r="E5" s="3352" t="s">
        <v>2539</v>
      </c>
      <c r="F5" s="3353"/>
      <c r="G5" s="3345" t="s">
        <v>2540</v>
      </c>
      <c r="H5" s="3346"/>
      <c r="I5" s="3345" t="s">
        <v>2541</v>
      </c>
      <c r="J5" s="3346"/>
      <c r="K5" s="610"/>
      <c r="L5" s="1130"/>
      <c r="M5" s="1131"/>
      <c r="N5" s="1131"/>
      <c r="O5" s="1131"/>
      <c r="P5" s="3332"/>
      <c r="Q5" s="3333"/>
      <c r="R5" s="3338"/>
      <c r="S5" s="3339"/>
      <c r="T5" s="3338"/>
      <c r="U5" s="3339"/>
      <c r="V5" s="3342"/>
      <c r="W5" s="3342"/>
      <c r="X5" s="1813"/>
      <c r="Y5" s="3338"/>
      <c r="Z5" s="3339"/>
      <c r="AA5" s="3324"/>
      <c r="AB5" s="3324"/>
      <c r="AC5" s="3324"/>
    </row>
    <row r="6" spans="1:29" ht="15.75" thickBot="1">
      <c r="A6" s="406"/>
      <c r="B6" s="407"/>
      <c r="C6" s="3343" t="s">
        <v>2542</v>
      </c>
      <c r="D6" s="3344"/>
      <c r="E6" s="3350" t="s">
        <v>2542</v>
      </c>
      <c r="F6" s="3351"/>
      <c r="G6" s="3343" t="s">
        <v>2542</v>
      </c>
      <c r="H6" s="3344"/>
      <c r="I6" s="3343" t="s">
        <v>2542</v>
      </c>
      <c r="J6" s="3344"/>
      <c r="K6" s="610" t="s">
        <v>2543</v>
      </c>
      <c r="L6" s="1130"/>
      <c r="M6" s="1131"/>
      <c r="N6" s="1131"/>
      <c r="O6" s="1131"/>
      <c r="P6" s="3334"/>
      <c r="Q6" s="3335"/>
      <c r="R6" s="3338"/>
      <c r="S6" s="3339"/>
      <c r="T6" s="3340"/>
      <c r="U6" s="3341"/>
      <c r="V6" s="3342"/>
      <c r="W6" s="3342"/>
      <c r="X6" s="1813"/>
      <c r="Y6" s="3340"/>
      <c r="Z6" s="3341"/>
      <c r="AA6" s="3325"/>
      <c r="AB6" s="3325"/>
      <c r="AC6" s="3325"/>
    </row>
    <row r="7" spans="1:29" s="117" customFormat="1" ht="15.75" thickBot="1">
      <c r="A7" s="408" t="s">
        <v>2544</v>
      </c>
      <c r="B7" s="409"/>
      <c r="C7" s="410">
        <f>'数据-取费表'!B2</f>
        <v>43592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347" t="s">
        <v>2545</v>
      </c>
      <c r="Q7" s="3349"/>
      <c r="R7" s="770" t="s">
        <v>17</v>
      </c>
      <c r="S7" s="771">
        <f t="shared" ref="S7:S15" si="0">F7</f>
        <v>0</v>
      </c>
      <c r="T7" s="770" t="s">
        <v>17</v>
      </c>
      <c r="U7" s="771">
        <f t="shared" ref="U7:U15" si="1">H7</f>
        <v>0</v>
      </c>
      <c r="V7" s="770" t="s">
        <v>17</v>
      </c>
      <c r="W7" s="771">
        <f t="shared" ref="W7:W15" si="2">J7</f>
        <v>0</v>
      </c>
      <c r="X7" s="772"/>
      <c r="Y7" s="3347" t="s">
        <v>2545</v>
      </c>
      <c r="Z7" s="3348"/>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347" t="s">
        <v>2548</v>
      </c>
      <c r="Q8" s="3348"/>
      <c r="R8" s="770" t="s">
        <v>17</v>
      </c>
      <c r="S8" s="771">
        <f t="shared" si="0"/>
        <v>0</v>
      </c>
      <c r="T8" s="770" t="s">
        <v>17</v>
      </c>
      <c r="U8" s="771">
        <f t="shared" si="1"/>
        <v>0</v>
      </c>
      <c r="V8" s="770" t="s">
        <v>17</v>
      </c>
      <c r="W8" s="771">
        <f t="shared" si="2"/>
        <v>0</v>
      </c>
      <c r="X8" s="772"/>
      <c r="Y8" s="3347" t="s">
        <v>2548</v>
      </c>
      <c r="Z8" s="3348"/>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311" t="s">
        <v>2551</v>
      </c>
      <c r="Q9" s="1795" t="str">
        <f t="shared" ref="Q9:Q15" si="6">B9</f>
        <v>用途</v>
      </c>
      <c r="R9" s="770" t="s">
        <v>17</v>
      </c>
      <c r="S9" s="771">
        <f t="shared" si="0"/>
        <v>100</v>
      </c>
      <c r="T9" s="770" t="s">
        <v>17</v>
      </c>
      <c r="U9" s="771">
        <f t="shared" si="1"/>
        <v>100</v>
      </c>
      <c r="V9" s="770" t="s">
        <v>17</v>
      </c>
      <c r="W9" s="771">
        <f t="shared" si="2"/>
        <v>100</v>
      </c>
      <c r="X9" s="772"/>
      <c r="Y9" s="308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311"/>
      <c r="Q10" s="1795"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311"/>
      <c r="Q11" s="1795" t="str">
        <f t="shared" si="6"/>
        <v>容积率</v>
      </c>
      <c r="R11" s="770" t="s">
        <v>17</v>
      </c>
      <c r="S11" s="771" t="e">
        <f t="shared" si="0"/>
        <v>#N/A</v>
      </c>
      <c r="T11" s="770" t="s">
        <v>17</v>
      </c>
      <c r="U11" s="771" t="e">
        <f t="shared" si="1"/>
        <v>#N/A</v>
      </c>
      <c r="V11" s="770" t="s">
        <v>17</v>
      </c>
      <c r="W11" s="771" t="e">
        <f t="shared" si="2"/>
        <v>#N/A</v>
      </c>
      <c r="X11" s="772"/>
      <c r="Y11" s="308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311"/>
      <c r="Q12" s="1795">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311"/>
      <c r="Q13" s="1795">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311"/>
      <c r="Q14" s="1795">
        <f t="shared" si="6"/>
        <v>111</v>
      </c>
      <c r="R14" s="770" t="s">
        <v>17</v>
      </c>
      <c r="S14" s="771">
        <f t="shared" si="0"/>
        <v>100</v>
      </c>
      <c r="T14" s="770" t="s">
        <v>17</v>
      </c>
      <c r="U14" s="771">
        <f t="shared" si="1"/>
        <v>100</v>
      </c>
      <c r="V14" s="770" t="s">
        <v>17</v>
      </c>
      <c r="W14" s="771">
        <f t="shared" si="2"/>
        <v>100</v>
      </c>
      <c r="X14" s="772"/>
      <c r="Y14" s="3088"/>
      <c r="Z14" s="55">
        <f t="shared" si="7"/>
        <v>111</v>
      </c>
      <c r="AA14" s="773">
        <f t="shared" si="3"/>
        <v>1</v>
      </c>
      <c r="AB14" s="773">
        <f t="shared" si="4"/>
        <v>1</v>
      </c>
      <c r="AC14" s="773">
        <f t="shared" si="5"/>
        <v>1</v>
      </c>
    </row>
    <row r="15" spans="1:29" ht="57">
      <c r="A15" s="440" t="s">
        <v>2555</v>
      </c>
      <c r="B15" s="69" t="s">
        <v>2699</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13" t="s">
        <v>2556</v>
      </c>
      <c r="Q15" s="1810" t="str">
        <f t="shared" si="6"/>
        <v>产业集聚程度</v>
      </c>
      <c r="R15" s="774" t="s">
        <v>17</v>
      </c>
      <c r="S15" s="775">
        <f t="shared" si="0"/>
        <v>100</v>
      </c>
      <c r="T15" s="774" t="s">
        <v>17</v>
      </c>
      <c r="U15" s="775">
        <f t="shared" si="1"/>
        <v>100</v>
      </c>
      <c r="V15" s="774" t="s">
        <v>17</v>
      </c>
      <c r="W15" s="775">
        <f t="shared" si="2"/>
        <v>100</v>
      </c>
      <c r="X15" s="1813"/>
      <c r="Y15" s="3313"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314"/>
      <c r="Q16" s="1810"/>
      <c r="R16" s="774"/>
      <c r="S16" s="775"/>
      <c r="T16" s="774"/>
      <c r="U16" s="775"/>
      <c r="V16" s="774"/>
      <c r="W16" s="775"/>
      <c r="X16" s="1813"/>
      <c r="Y16" s="3314"/>
      <c r="Z16" s="1814"/>
      <c r="AA16" s="1811">
        <v>1</v>
      </c>
      <c r="AB16" s="1811">
        <v>1</v>
      </c>
      <c r="AC16" s="1811">
        <v>1</v>
      </c>
    </row>
    <row r="17" spans="1:29" ht="85.5">
      <c r="A17" s="428"/>
      <c r="B17" s="451" t="s">
        <v>2095</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14"/>
      <c r="Q17" s="1810" t="str">
        <f>B17</f>
        <v>交通便捷度</v>
      </c>
      <c r="R17" s="774" t="s">
        <v>17</v>
      </c>
      <c r="S17" s="775">
        <f>F17</f>
        <v>100</v>
      </c>
      <c r="T17" s="774" t="s">
        <v>17</v>
      </c>
      <c r="U17" s="775">
        <f>H17</f>
        <v>100</v>
      </c>
      <c r="V17" s="774" t="s">
        <v>17</v>
      </c>
      <c r="W17" s="775">
        <f>J17</f>
        <v>100</v>
      </c>
      <c r="X17" s="1813"/>
      <c r="Y17" s="3314"/>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314"/>
      <c r="Q18" s="1810"/>
      <c r="R18" s="774"/>
      <c r="S18" s="775"/>
      <c r="T18" s="774"/>
      <c r="U18" s="775"/>
      <c r="V18" s="774"/>
      <c r="W18" s="775"/>
      <c r="X18" s="1813"/>
      <c r="Y18" s="3314"/>
      <c r="Z18" s="1814"/>
      <c r="AA18" s="1811">
        <v>1</v>
      </c>
      <c r="AB18" s="1811">
        <v>1</v>
      </c>
      <c r="AC18" s="1811">
        <v>1</v>
      </c>
    </row>
    <row r="19" spans="1:29" ht="42.75">
      <c r="A19" s="428"/>
      <c r="B19" s="451" t="s">
        <v>2684</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14"/>
      <c r="Q19" s="1810" t="str">
        <f>B19</f>
        <v>公共配套设施</v>
      </c>
      <c r="R19" s="774" t="s">
        <v>17</v>
      </c>
      <c r="S19" s="775">
        <f>F19</f>
        <v>100</v>
      </c>
      <c r="T19" s="774" t="s">
        <v>17</v>
      </c>
      <c r="U19" s="775">
        <f>H19</f>
        <v>100</v>
      </c>
      <c r="V19" s="774" t="s">
        <v>17</v>
      </c>
      <c r="W19" s="775">
        <f>J19</f>
        <v>100</v>
      </c>
      <c r="X19" s="1813"/>
      <c r="Y19" s="3314"/>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314"/>
      <c r="Q20" s="1810"/>
      <c r="R20" s="774"/>
      <c r="S20" s="775"/>
      <c r="T20" s="774"/>
      <c r="U20" s="775"/>
      <c r="V20" s="774"/>
      <c r="W20" s="775"/>
      <c r="X20" s="1813"/>
      <c r="Y20" s="3314"/>
      <c r="Z20" s="1814"/>
      <c r="AA20" s="1811">
        <v>1</v>
      </c>
      <c r="AB20" s="1811">
        <v>1</v>
      </c>
      <c r="AC20" s="1811">
        <v>1</v>
      </c>
    </row>
    <row r="21" spans="1:29" ht="28.5">
      <c r="A21" s="428"/>
      <c r="B21" s="1384" t="s">
        <v>2685</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14"/>
      <c r="Q21" s="1810" t="str">
        <f>B21</f>
        <v>基础设施水平</v>
      </c>
      <c r="R21" s="774" t="s">
        <v>17</v>
      </c>
      <c r="S21" s="775">
        <f>F21</f>
        <v>100</v>
      </c>
      <c r="T21" s="774" t="s">
        <v>17</v>
      </c>
      <c r="U21" s="775">
        <f>H21</f>
        <v>100</v>
      </c>
      <c r="V21" s="774" t="s">
        <v>17</v>
      </c>
      <c r="W21" s="775">
        <f>J21</f>
        <v>100</v>
      </c>
      <c r="X21" s="1813"/>
      <c r="Y21" s="3314"/>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314"/>
      <c r="Q22" s="1810"/>
      <c r="R22" s="774"/>
      <c r="S22" s="775"/>
      <c r="T22" s="774"/>
      <c r="U22" s="775"/>
      <c r="V22" s="774"/>
      <c r="W22" s="775"/>
      <c r="X22" s="1813"/>
      <c r="Y22" s="3314"/>
      <c r="Z22" s="1814"/>
      <c r="AA22" s="1811">
        <v>1</v>
      </c>
      <c r="AB22" s="1811">
        <v>1</v>
      </c>
      <c r="AC22" s="1811">
        <v>1</v>
      </c>
    </row>
    <row r="23" spans="1:29" ht="71.25">
      <c r="A23" s="428"/>
      <c r="B23" s="451" t="s">
        <v>2686</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14"/>
      <c r="Q23" s="1810" t="str">
        <f>B23</f>
        <v>环境质量</v>
      </c>
      <c r="R23" s="774" t="s">
        <v>17</v>
      </c>
      <c r="S23" s="775">
        <f>F23</f>
        <v>100</v>
      </c>
      <c r="T23" s="774" t="s">
        <v>17</v>
      </c>
      <c r="U23" s="775">
        <f>H23</f>
        <v>100</v>
      </c>
      <c r="V23" s="774" t="s">
        <v>17</v>
      </c>
      <c r="W23" s="775">
        <f>J23</f>
        <v>100</v>
      </c>
      <c r="X23" s="1813"/>
      <c r="Y23" s="3314"/>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314"/>
      <c r="Q24" s="1810"/>
      <c r="R24" s="774"/>
      <c r="S24" s="775"/>
      <c r="T24" s="774"/>
      <c r="U24" s="775"/>
      <c r="V24" s="774"/>
      <c r="W24" s="775"/>
      <c r="X24" s="1813"/>
      <c r="Y24" s="331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14"/>
      <c r="Q25" s="1810">
        <f>B25</f>
        <v>111</v>
      </c>
      <c r="R25" s="774" t="s">
        <v>17</v>
      </c>
      <c r="S25" s="775">
        <f>F25</f>
        <v>100</v>
      </c>
      <c r="T25" s="774" t="s">
        <v>17</v>
      </c>
      <c r="U25" s="775">
        <f>H25</f>
        <v>100</v>
      </c>
      <c r="V25" s="774" t="s">
        <v>17</v>
      </c>
      <c r="W25" s="775">
        <f>J25</f>
        <v>100</v>
      </c>
      <c r="X25" s="1813"/>
      <c r="Y25" s="331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14"/>
      <c r="Q26" s="1810">
        <f t="shared" ref="Q26:Q40" si="11">B26</f>
        <v>111</v>
      </c>
      <c r="R26" s="774" t="s">
        <v>17</v>
      </c>
      <c r="S26" s="775">
        <f>F26</f>
        <v>100</v>
      </c>
      <c r="T26" s="774" t="s">
        <v>17</v>
      </c>
      <c r="U26" s="775">
        <f>H26</f>
        <v>100</v>
      </c>
      <c r="V26" s="774" t="s">
        <v>17</v>
      </c>
      <c r="W26" s="775">
        <f>J26</f>
        <v>100</v>
      </c>
      <c r="X26" s="1813"/>
      <c r="Y26" s="331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14"/>
      <c r="Q27" s="1795">
        <f t="shared" si="11"/>
        <v>111</v>
      </c>
      <c r="R27" s="770" t="s">
        <v>17</v>
      </c>
      <c r="S27" s="771">
        <f>F27</f>
        <v>100</v>
      </c>
      <c r="T27" s="770" t="s">
        <v>17</v>
      </c>
      <c r="U27" s="771">
        <f>H27</f>
        <v>100</v>
      </c>
      <c r="V27" s="770" t="s">
        <v>17</v>
      </c>
      <c r="W27" s="771">
        <f>J27</f>
        <v>100</v>
      </c>
      <c r="X27" s="772"/>
      <c r="Y27" s="331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14"/>
      <c r="Q28" s="1810">
        <f t="shared" si="11"/>
        <v>111</v>
      </c>
      <c r="R28" s="774" t="s">
        <v>17</v>
      </c>
      <c r="S28" s="775">
        <f t="shared" ref="S28:S40" si="12">F28</f>
        <v>100</v>
      </c>
      <c r="T28" s="774" t="s">
        <v>17</v>
      </c>
      <c r="U28" s="775">
        <f t="shared" ref="U28:U40" si="13">H28</f>
        <v>100</v>
      </c>
      <c r="V28" s="774" t="s">
        <v>17</v>
      </c>
      <c r="W28" s="775">
        <f t="shared" ref="W28:W40" si="14">J28</f>
        <v>100</v>
      </c>
      <c r="X28" s="1813"/>
      <c r="Y28" s="3314"/>
      <c r="Z28" s="1814">
        <f t="shared" ref="Z28:Z40" si="15">Q28</f>
        <v>111</v>
      </c>
      <c r="AA28" s="1811">
        <f t="shared" si="3"/>
        <v>1</v>
      </c>
      <c r="AB28" s="1811">
        <f t="shared" si="4"/>
        <v>1</v>
      </c>
      <c r="AC28" s="1811">
        <f t="shared" si="5"/>
        <v>1</v>
      </c>
    </row>
    <row r="29" spans="1:29" ht="28.5">
      <c r="A29" s="466" t="s">
        <v>2559</v>
      </c>
      <c r="B29" s="71" t="s">
        <v>2689</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369" t="s">
        <v>2561</v>
      </c>
      <c r="Q29" s="1810" t="str">
        <f t="shared" si="11"/>
        <v>建筑类型</v>
      </c>
      <c r="R29" s="774" t="s">
        <v>17</v>
      </c>
      <c r="S29" s="775">
        <f t="shared" si="12"/>
        <v>100</v>
      </c>
      <c r="T29" s="774" t="s">
        <v>17</v>
      </c>
      <c r="U29" s="775">
        <f t="shared" si="13"/>
        <v>100</v>
      </c>
      <c r="V29" s="774" t="s">
        <v>17</v>
      </c>
      <c r="W29" s="775">
        <f t="shared" si="14"/>
        <v>100</v>
      </c>
      <c r="X29" s="1813"/>
      <c r="Y29" s="3318"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18"/>
      <c r="Q30" s="776" t="str">
        <f t="shared" si="11"/>
        <v>项目建筑规模</v>
      </c>
      <c r="R30" s="777" t="s">
        <v>17</v>
      </c>
      <c r="S30" s="778" t="e">
        <f t="shared" si="12"/>
        <v>#N/A</v>
      </c>
      <c r="T30" s="777" t="s">
        <v>17</v>
      </c>
      <c r="U30" s="778" t="e">
        <f t="shared" si="13"/>
        <v>#N/A</v>
      </c>
      <c r="V30" s="777" t="s">
        <v>17</v>
      </c>
      <c r="W30" s="778" t="e">
        <f t="shared" si="14"/>
        <v>#N/A</v>
      </c>
      <c r="X30" s="779"/>
      <c r="Y30" s="3318"/>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18"/>
      <c r="Q31" s="1810" t="str">
        <f t="shared" si="11"/>
        <v>建筑结构</v>
      </c>
      <c r="R31" s="774" t="s">
        <v>17</v>
      </c>
      <c r="S31" s="775">
        <f t="shared" si="12"/>
        <v>100</v>
      </c>
      <c r="T31" s="774" t="s">
        <v>17</v>
      </c>
      <c r="U31" s="775">
        <f t="shared" si="13"/>
        <v>100</v>
      </c>
      <c r="V31" s="774" t="s">
        <v>17</v>
      </c>
      <c r="W31" s="775">
        <f t="shared" si="14"/>
        <v>100</v>
      </c>
      <c r="X31" s="1813"/>
      <c r="Y31" s="3318"/>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18"/>
      <c r="Q32" s="1810" t="str">
        <f t="shared" si="11"/>
        <v>公共部分装修</v>
      </c>
      <c r="R32" s="774" t="s">
        <v>17</v>
      </c>
      <c r="S32" s="775">
        <f t="shared" si="12"/>
        <v>100</v>
      </c>
      <c r="T32" s="774" t="s">
        <v>17</v>
      </c>
      <c r="U32" s="775">
        <f t="shared" si="13"/>
        <v>100</v>
      </c>
      <c r="V32" s="774" t="s">
        <v>17</v>
      </c>
      <c r="W32" s="775">
        <f t="shared" si="14"/>
        <v>100</v>
      </c>
      <c r="X32" s="1813"/>
      <c r="Y32" s="3318"/>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18"/>
      <c r="Q33" s="1810" t="str">
        <f t="shared" si="11"/>
        <v>成新度</v>
      </c>
      <c r="R33" s="774" t="s">
        <v>17</v>
      </c>
      <c r="S33" s="775" t="e">
        <f t="shared" si="12"/>
        <v>#N/A</v>
      </c>
      <c r="T33" s="774" t="s">
        <v>17</v>
      </c>
      <c r="U33" s="775" t="e">
        <f t="shared" si="13"/>
        <v>#N/A</v>
      </c>
      <c r="V33" s="774" t="s">
        <v>17</v>
      </c>
      <c r="W33" s="775" t="e">
        <f t="shared" si="14"/>
        <v>#N/A</v>
      </c>
      <c r="X33" s="1813"/>
      <c r="Y33" s="3318"/>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18"/>
      <c r="Q34" s="1795" t="str">
        <f t="shared" si="11"/>
        <v>物业管理</v>
      </c>
      <c r="R34" s="770" t="s">
        <v>17</v>
      </c>
      <c r="S34" s="771">
        <f t="shared" si="12"/>
        <v>100</v>
      </c>
      <c r="T34" s="770" t="s">
        <v>17</v>
      </c>
      <c r="U34" s="771">
        <f t="shared" si="13"/>
        <v>100</v>
      </c>
      <c r="V34" s="770" t="s">
        <v>17</v>
      </c>
      <c r="W34" s="771">
        <f t="shared" si="14"/>
        <v>100</v>
      </c>
      <c r="X34" s="772"/>
      <c r="Y34" s="3318"/>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18" t="s">
        <v>2561</v>
      </c>
      <c r="Q35" s="1810" t="str">
        <f t="shared" si="11"/>
        <v>市政基础设施</v>
      </c>
      <c r="R35" s="774" t="s">
        <v>17</v>
      </c>
      <c r="S35" s="775">
        <f t="shared" si="12"/>
        <v>100</v>
      </c>
      <c r="T35" s="774" t="s">
        <v>17</v>
      </c>
      <c r="U35" s="775">
        <f t="shared" si="13"/>
        <v>100</v>
      </c>
      <c r="V35" s="774" t="s">
        <v>17</v>
      </c>
      <c r="W35" s="775">
        <f t="shared" si="14"/>
        <v>100</v>
      </c>
      <c r="X35" s="1813"/>
      <c r="Y35" s="3318"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18"/>
      <c r="Q36" s="1810" t="str">
        <f t="shared" si="11"/>
        <v>内部装修</v>
      </c>
      <c r="R36" s="774" t="s">
        <v>17</v>
      </c>
      <c r="S36" s="775">
        <f t="shared" si="12"/>
        <v>100</v>
      </c>
      <c r="T36" s="774" t="s">
        <v>17</v>
      </c>
      <c r="U36" s="775">
        <f t="shared" si="13"/>
        <v>100</v>
      </c>
      <c r="V36" s="774" t="s">
        <v>17</v>
      </c>
      <c r="W36" s="775">
        <f t="shared" si="14"/>
        <v>100</v>
      </c>
      <c r="X36" s="1813"/>
      <c r="Y36" s="3318"/>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18"/>
      <c r="Q37" s="1810" t="str">
        <f t="shared" si="11"/>
        <v>内部装修状况</v>
      </c>
      <c r="R37" s="774" t="s">
        <v>17</v>
      </c>
      <c r="S37" s="775">
        <f t="shared" si="12"/>
        <v>100</v>
      </c>
      <c r="T37" s="774" t="s">
        <v>17</v>
      </c>
      <c r="U37" s="775">
        <f t="shared" si="13"/>
        <v>100</v>
      </c>
      <c r="V37" s="774" t="s">
        <v>17</v>
      </c>
      <c r="W37" s="775">
        <f t="shared" si="14"/>
        <v>100</v>
      </c>
      <c r="X37" s="1813"/>
      <c r="Y37" s="331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18"/>
      <c r="Q38" s="776">
        <f t="shared" si="11"/>
        <v>111</v>
      </c>
      <c r="R38" s="777" t="s">
        <v>17</v>
      </c>
      <c r="S38" s="778">
        <f t="shared" si="12"/>
        <v>100</v>
      </c>
      <c r="T38" s="777" t="s">
        <v>17</v>
      </c>
      <c r="U38" s="778">
        <f t="shared" si="13"/>
        <v>100</v>
      </c>
      <c r="V38" s="777" t="s">
        <v>17</v>
      </c>
      <c r="W38" s="778">
        <f t="shared" si="14"/>
        <v>100</v>
      </c>
      <c r="X38" s="779"/>
      <c r="Y38" s="331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18"/>
      <c r="Q39" s="1810">
        <f t="shared" si="11"/>
        <v>111</v>
      </c>
      <c r="R39" s="774" t="s">
        <v>17</v>
      </c>
      <c r="S39" s="775">
        <f t="shared" si="12"/>
        <v>100</v>
      </c>
      <c r="T39" s="774" t="s">
        <v>17</v>
      </c>
      <c r="U39" s="775">
        <f t="shared" si="13"/>
        <v>100</v>
      </c>
      <c r="V39" s="774" t="s">
        <v>17</v>
      </c>
      <c r="W39" s="775">
        <f t="shared" si="14"/>
        <v>100</v>
      </c>
      <c r="X39" s="1813"/>
      <c r="Y39" s="3318"/>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19"/>
      <c r="Q40" s="1810">
        <f t="shared" si="11"/>
        <v>111</v>
      </c>
      <c r="R40" s="774" t="s">
        <v>17</v>
      </c>
      <c r="S40" s="775">
        <f t="shared" si="12"/>
        <v>100</v>
      </c>
      <c r="T40" s="774" t="s">
        <v>17</v>
      </c>
      <c r="U40" s="775">
        <f t="shared" si="13"/>
        <v>100</v>
      </c>
      <c r="V40" s="774" t="s">
        <v>17</v>
      </c>
      <c r="W40" s="775">
        <f t="shared" si="14"/>
        <v>100</v>
      </c>
      <c r="X40" s="1813"/>
      <c r="Y40" s="3319"/>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311" t="str">
        <f>A41</f>
        <v>成交单价（元/平方米）</v>
      </c>
      <c r="Q41" s="3311"/>
      <c r="R41" s="3312">
        <f>E41</f>
        <v>0</v>
      </c>
      <c r="S41" s="3312"/>
      <c r="T41" s="3312">
        <f>G41</f>
        <v>0</v>
      </c>
      <c r="U41" s="3312"/>
      <c r="V41" s="3312">
        <f>I41</f>
        <v>0</v>
      </c>
      <c r="W41" s="3312"/>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311" t="str">
        <f>A42</f>
        <v>比较价值（元/平方米）</v>
      </c>
      <c r="Q42" s="3311"/>
      <c r="R42" s="3312" t="e">
        <f>IF(F1="售价",ROUND(PRODUCT(R41,AA7:AA40),0),ROUND(PRODUCT(R41,AA7:AA40),1))</f>
        <v>#DIV/0!</v>
      </c>
      <c r="S42" s="3312"/>
      <c r="T42" s="3312" t="e">
        <f>IF(F1="售价",ROUND(PRODUCT(T41,AB7:AB40),0),ROUND(PRODUCT(T41,AB7:AB40),1))</f>
        <v>#DIV/0!</v>
      </c>
      <c r="U42" s="3312"/>
      <c r="V42" s="3312" t="e">
        <f>IF(F1="售价",ROUND(PRODUCT(V41,AC7:AC40),0),ROUND(PRODUCT(V41,AC7:AC40),1))</f>
        <v>#DIV/0!</v>
      </c>
      <c r="W42" s="3312"/>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308" t="str">
        <f>A43</f>
        <v>估价对象XX用房的比较价值（楼面单价，元/平方米）</v>
      </c>
      <c r="Q43" s="3309"/>
      <c r="R43" s="3310" t="e">
        <f>IF(F1="售价",ROUND(AVERAGE(R42:V42),0),ROUND(AVERAGE(R42:V42),1))</f>
        <v>#DIV/0!</v>
      </c>
      <c r="S43" s="3310"/>
      <c r="T43" s="3310"/>
      <c r="U43" s="3310"/>
      <c r="V43" s="3310"/>
      <c r="W43" s="331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5"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33" sqref="J3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7"/>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9"/>
      <c r="D2" s="1124" t="e">
        <f ca="1">SUMIF(INDIRECT("'"&amp;F2&amp;"'"&amp;"!A:A"),"承租人权益价值",INDIRECT("'"&amp;F2&amp;"'"&amp;"!c:c"))</f>
        <v>#REF!</v>
      </c>
      <c r="E2" s="2590" t="s">
        <v>2324</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326" t="s">
        <v>2642</v>
      </c>
      <c r="D4" s="3327"/>
      <c r="E4" s="3328" t="s">
        <v>2643</v>
      </c>
      <c r="F4" s="3329"/>
      <c r="G4" s="3326" t="s">
        <v>2644</v>
      </c>
      <c r="H4" s="3327"/>
      <c r="I4" s="3326" t="s">
        <v>2645</v>
      </c>
      <c r="J4" s="3327"/>
      <c r="K4" s="610" t="s">
        <v>2646</v>
      </c>
      <c r="L4" s="1130"/>
      <c r="M4" s="1131"/>
      <c r="N4" s="1131"/>
      <c r="O4" s="1131"/>
      <c r="P4" s="3330" t="s">
        <v>2647</v>
      </c>
      <c r="Q4" s="3331"/>
      <c r="R4" s="3336" t="s">
        <v>2643</v>
      </c>
      <c r="S4" s="3337"/>
      <c r="T4" s="3336" t="s">
        <v>2644</v>
      </c>
      <c r="U4" s="3337"/>
      <c r="V4" s="3342" t="s">
        <v>2645</v>
      </c>
      <c r="W4" s="3342"/>
      <c r="X4" s="1813"/>
      <c r="Y4" s="3336" t="s">
        <v>2647</v>
      </c>
      <c r="Z4" s="3337"/>
      <c r="AA4" s="3323" t="s">
        <v>2643</v>
      </c>
      <c r="AB4" s="3324" t="s">
        <v>2644</v>
      </c>
      <c r="AC4" s="3323" t="s">
        <v>2645</v>
      </c>
    </row>
    <row r="5" spans="1:29" ht="15">
      <c r="A5" s="404"/>
      <c r="B5" s="405"/>
      <c r="C5" s="3345" t="s">
        <v>2538</v>
      </c>
      <c r="D5" s="3346"/>
      <c r="E5" s="3352" t="s">
        <v>2539</v>
      </c>
      <c r="F5" s="3353"/>
      <c r="G5" s="3345" t="s">
        <v>2540</v>
      </c>
      <c r="H5" s="3346"/>
      <c r="I5" s="3345" t="s">
        <v>2541</v>
      </c>
      <c r="J5" s="3346"/>
      <c r="K5" s="610"/>
      <c r="L5" s="1130"/>
      <c r="M5" s="1131"/>
      <c r="N5" s="1131"/>
      <c r="O5" s="1131"/>
      <c r="P5" s="3332"/>
      <c r="Q5" s="3333"/>
      <c r="R5" s="3338"/>
      <c r="S5" s="3339"/>
      <c r="T5" s="3338"/>
      <c r="U5" s="3339"/>
      <c r="V5" s="3342"/>
      <c r="W5" s="3342"/>
      <c r="X5" s="1813"/>
      <c r="Y5" s="3338"/>
      <c r="Z5" s="3339"/>
      <c r="AA5" s="3324"/>
      <c r="AB5" s="3324"/>
      <c r="AC5" s="3324"/>
    </row>
    <row r="6" spans="1:29" ht="15.75" thickBot="1">
      <c r="A6" s="406"/>
      <c r="B6" s="407"/>
      <c r="C6" s="3343" t="s">
        <v>2542</v>
      </c>
      <c r="D6" s="3344"/>
      <c r="E6" s="3350" t="s">
        <v>2542</v>
      </c>
      <c r="F6" s="3351"/>
      <c r="G6" s="3343" t="s">
        <v>2542</v>
      </c>
      <c r="H6" s="3344"/>
      <c r="I6" s="3343" t="s">
        <v>2542</v>
      </c>
      <c r="J6" s="3344"/>
      <c r="K6" s="610" t="s">
        <v>2543</v>
      </c>
      <c r="L6" s="1130"/>
      <c r="M6" s="1131"/>
      <c r="N6" s="1131"/>
      <c r="O6" s="1131"/>
      <c r="P6" s="3334"/>
      <c r="Q6" s="3335"/>
      <c r="R6" s="3338"/>
      <c r="S6" s="3339"/>
      <c r="T6" s="3340"/>
      <c r="U6" s="3341"/>
      <c r="V6" s="3342"/>
      <c r="W6" s="3342"/>
      <c r="X6" s="1813"/>
      <c r="Y6" s="3340"/>
      <c r="Z6" s="3341"/>
      <c r="AA6" s="3325"/>
      <c r="AB6" s="3325"/>
      <c r="AC6" s="3325"/>
    </row>
    <row r="7" spans="1:29" s="117" customFormat="1" ht="15.75" thickBot="1">
      <c r="A7" s="408" t="s">
        <v>2544</v>
      </c>
      <c r="B7" s="409"/>
      <c r="C7" s="410">
        <f>'数据-取费表'!B2</f>
        <v>43592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347" t="s">
        <v>2545</v>
      </c>
      <c r="Q7" s="3349"/>
      <c r="R7" s="770" t="s">
        <v>17</v>
      </c>
      <c r="S7" s="771">
        <f t="shared" ref="S7:S14" si="0">F7</f>
        <v>0</v>
      </c>
      <c r="T7" s="770" t="s">
        <v>17</v>
      </c>
      <c r="U7" s="771">
        <f t="shared" ref="U7:U14" si="1">H7</f>
        <v>0</v>
      </c>
      <c r="V7" s="770" t="s">
        <v>17</v>
      </c>
      <c r="W7" s="771">
        <f t="shared" ref="W7:W14" si="2">J7</f>
        <v>0</v>
      </c>
      <c r="X7" s="772"/>
      <c r="Y7" s="3347" t="s">
        <v>2545</v>
      </c>
      <c r="Z7" s="3348"/>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347" t="s">
        <v>2548</v>
      </c>
      <c r="Q8" s="3348"/>
      <c r="R8" s="770" t="s">
        <v>17</v>
      </c>
      <c r="S8" s="771">
        <f t="shared" si="0"/>
        <v>0</v>
      </c>
      <c r="T8" s="770" t="s">
        <v>17</v>
      </c>
      <c r="U8" s="771">
        <f t="shared" si="1"/>
        <v>0</v>
      </c>
      <c r="V8" s="770" t="s">
        <v>17</v>
      </c>
      <c r="W8" s="771">
        <f t="shared" si="2"/>
        <v>0</v>
      </c>
      <c r="X8" s="772"/>
      <c r="Y8" s="3347" t="s">
        <v>2548</v>
      </c>
      <c r="Z8" s="3348"/>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311" t="s">
        <v>2551</v>
      </c>
      <c r="Q9" s="1795" t="str">
        <f t="shared" ref="Q9:Q14" si="6">B9</f>
        <v>用途</v>
      </c>
      <c r="R9" s="770" t="s">
        <v>17</v>
      </c>
      <c r="S9" s="771">
        <f t="shared" si="0"/>
        <v>100</v>
      </c>
      <c r="T9" s="770" t="s">
        <v>17</v>
      </c>
      <c r="U9" s="771">
        <f t="shared" si="1"/>
        <v>100</v>
      </c>
      <c r="V9" s="770" t="s">
        <v>17</v>
      </c>
      <c r="W9" s="771">
        <f t="shared" si="2"/>
        <v>100</v>
      </c>
      <c r="X9" s="772"/>
      <c r="Y9" s="3088"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311"/>
      <c r="Q10" s="1795"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311"/>
      <c r="Q11" s="1795">
        <f t="shared" si="6"/>
        <v>111</v>
      </c>
      <c r="R11" s="770" t="s">
        <v>17</v>
      </c>
      <c r="S11" s="771">
        <f t="shared" si="0"/>
        <v>100</v>
      </c>
      <c r="T11" s="770" t="s">
        <v>17</v>
      </c>
      <c r="U11" s="771">
        <f t="shared" si="1"/>
        <v>100</v>
      </c>
      <c r="V11" s="770" t="s">
        <v>17</v>
      </c>
      <c r="W11" s="771">
        <f t="shared" si="2"/>
        <v>100</v>
      </c>
      <c r="X11" s="772"/>
      <c r="Y11" s="308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311"/>
      <c r="Q12" s="1795">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311"/>
      <c r="Q13" s="1795">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773">
        <f t="shared" si="5"/>
        <v>1</v>
      </c>
    </row>
    <row r="14" spans="1:29" ht="85.5">
      <c r="A14" s="401" t="s">
        <v>2555</v>
      </c>
      <c r="B14" s="629" t="s">
        <v>2705</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13" t="s">
        <v>2556</v>
      </c>
      <c r="Q14" s="1810" t="str">
        <f t="shared" si="6"/>
        <v>交通便捷度</v>
      </c>
      <c r="R14" s="774" t="s">
        <v>17</v>
      </c>
      <c r="S14" s="775">
        <f t="shared" si="0"/>
        <v>100</v>
      </c>
      <c r="T14" s="774" t="s">
        <v>17</v>
      </c>
      <c r="U14" s="775">
        <f t="shared" si="1"/>
        <v>100</v>
      </c>
      <c r="V14" s="774" t="s">
        <v>17</v>
      </c>
      <c r="W14" s="775">
        <f t="shared" si="2"/>
        <v>100</v>
      </c>
      <c r="X14" s="1813"/>
      <c r="Y14" s="3313"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314"/>
      <c r="Q15" s="1810"/>
      <c r="R15" s="774"/>
      <c r="S15" s="775"/>
      <c r="T15" s="774"/>
      <c r="U15" s="775"/>
      <c r="V15" s="774"/>
      <c r="W15" s="775"/>
      <c r="X15" s="1813"/>
      <c r="Y15" s="3314"/>
      <c r="Z15" s="1814"/>
      <c r="AA15" s="1811">
        <v>1</v>
      </c>
      <c r="AB15" s="1811">
        <v>1</v>
      </c>
      <c r="AC15" s="1811">
        <v>1</v>
      </c>
    </row>
    <row r="16" spans="1:29" ht="42.75">
      <c r="A16" s="404"/>
      <c r="B16" s="631" t="s">
        <v>2684</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14"/>
      <c r="Q16" s="1810" t="str">
        <f>B16</f>
        <v>公共配套设施</v>
      </c>
      <c r="R16" s="774" t="s">
        <v>17</v>
      </c>
      <c r="S16" s="775">
        <f>F16</f>
        <v>100</v>
      </c>
      <c r="T16" s="774" t="s">
        <v>17</v>
      </c>
      <c r="U16" s="775">
        <f>H16</f>
        <v>100</v>
      </c>
      <c r="V16" s="774" t="s">
        <v>17</v>
      </c>
      <c r="W16" s="775">
        <f>J16</f>
        <v>100</v>
      </c>
      <c r="X16" s="1813"/>
      <c r="Y16" s="3314"/>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314"/>
      <c r="Q17" s="1810"/>
      <c r="R17" s="774"/>
      <c r="S17" s="775"/>
      <c r="T17" s="774"/>
      <c r="U17" s="775"/>
      <c r="V17" s="774"/>
      <c r="W17" s="775"/>
      <c r="X17" s="1813"/>
      <c r="Y17" s="3314"/>
      <c r="Z17" s="1814"/>
      <c r="AA17" s="1811">
        <v>1</v>
      </c>
      <c r="AB17" s="1811">
        <v>1</v>
      </c>
      <c r="AC17" s="1811">
        <v>1</v>
      </c>
    </row>
    <row r="18" spans="1:29" ht="28.5">
      <c r="A18" s="404"/>
      <c r="B18" s="633" t="s">
        <v>2685</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14"/>
      <c r="Q18" s="1810" t="str">
        <f>B18</f>
        <v>基础设施水平</v>
      </c>
      <c r="R18" s="774" t="s">
        <v>17</v>
      </c>
      <c r="S18" s="775">
        <f>F18</f>
        <v>100</v>
      </c>
      <c r="T18" s="774" t="s">
        <v>17</v>
      </c>
      <c r="U18" s="775">
        <f>H18</f>
        <v>100</v>
      </c>
      <c r="V18" s="774" t="s">
        <v>17</v>
      </c>
      <c r="W18" s="775">
        <f>J18</f>
        <v>100</v>
      </c>
      <c r="X18" s="1813"/>
      <c r="Y18" s="3314"/>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314"/>
      <c r="Q19" s="1810"/>
      <c r="R19" s="774"/>
      <c r="S19" s="775"/>
      <c r="T19" s="774"/>
      <c r="U19" s="775"/>
      <c r="V19" s="774"/>
      <c r="W19" s="775"/>
      <c r="X19" s="1813"/>
      <c r="Y19" s="3314"/>
      <c r="Z19" s="1814"/>
      <c r="AA19" s="1811">
        <v>1</v>
      </c>
      <c r="AB19" s="1811">
        <v>1</v>
      </c>
      <c r="AC19" s="1811">
        <v>1</v>
      </c>
    </row>
    <row r="20" spans="1:29" ht="57">
      <c r="A20" s="404"/>
      <c r="B20" s="631" t="s">
        <v>2706</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14"/>
      <c r="Q20" s="1810" t="str">
        <f>B20</f>
        <v>自然及人文环境</v>
      </c>
      <c r="R20" s="774" t="s">
        <v>17</v>
      </c>
      <c r="S20" s="775">
        <f>F20</f>
        <v>100</v>
      </c>
      <c r="T20" s="774" t="s">
        <v>17</v>
      </c>
      <c r="U20" s="775">
        <f>H20</f>
        <v>100</v>
      </c>
      <c r="V20" s="774" t="s">
        <v>17</v>
      </c>
      <c r="W20" s="775">
        <f>J20</f>
        <v>100</v>
      </c>
      <c r="X20" s="1813"/>
      <c r="Y20" s="331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314"/>
      <c r="Q21" s="1810"/>
      <c r="R21" s="774"/>
      <c r="S21" s="775"/>
      <c r="T21" s="774"/>
      <c r="U21" s="775"/>
      <c r="V21" s="774"/>
      <c r="W21" s="775"/>
      <c r="X21" s="1813"/>
      <c r="Y21" s="3314"/>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14"/>
      <c r="Q22" s="1810" t="str">
        <f>B22</f>
        <v>楼层</v>
      </c>
      <c r="R22" s="774" t="s">
        <v>17</v>
      </c>
      <c r="S22" s="775">
        <f>F22</f>
        <v>100</v>
      </c>
      <c r="T22" s="774" t="s">
        <v>17</v>
      </c>
      <c r="U22" s="775">
        <f>H22</f>
        <v>100</v>
      </c>
      <c r="V22" s="774" t="s">
        <v>17</v>
      </c>
      <c r="W22" s="775">
        <f>J22</f>
        <v>100</v>
      </c>
      <c r="X22" s="1813"/>
      <c r="Y22" s="331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14"/>
      <c r="Q23" s="1810">
        <f>B23</f>
        <v>111</v>
      </c>
      <c r="R23" s="774" t="s">
        <v>17</v>
      </c>
      <c r="S23" s="775">
        <f>F23</f>
        <v>100</v>
      </c>
      <c r="T23" s="774" t="s">
        <v>17</v>
      </c>
      <c r="U23" s="775">
        <f>H23</f>
        <v>100</v>
      </c>
      <c r="V23" s="774" t="s">
        <v>17</v>
      </c>
      <c r="W23" s="775">
        <f>J23</f>
        <v>100</v>
      </c>
      <c r="X23" s="1813"/>
      <c r="Y23" s="331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14"/>
      <c r="Q24" s="1810">
        <f t="shared" ref="Q24:Q36" si="11">B24</f>
        <v>111</v>
      </c>
      <c r="R24" s="774" t="s">
        <v>17</v>
      </c>
      <c r="S24" s="775">
        <f>F24</f>
        <v>100</v>
      </c>
      <c r="T24" s="774" t="s">
        <v>17</v>
      </c>
      <c r="U24" s="775">
        <f>H24</f>
        <v>100</v>
      </c>
      <c r="V24" s="774" t="s">
        <v>17</v>
      </c>
      <c r="W24" s="775">
        <f>J24</f>
        <v>100</v>
      </c>
      <c r="X24" s="1813"/>
      <c r="Y24" s="331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314"/>
      <c r="Q25" s="1795">
        <f t="shared" si="11"/>
        <v>111</v>
      </c>
      <c r="R25" s="770" t="s">
        <v>17</v>
      </c>
      <c r="S25" s="771">
        <f>F25</f>
        <v>100</v>
      </c>
      <c r="T25" s="770" t="s">
        <v>17</v>
      </c>
      <c r="U25" s="771">
        <f>H25</f>
        <v>100</v>
      </c>
      <c r="V25" s="770" t="s">
        <v>17</v>
      </c>
      <c r="W25" s="771">
        <f>J25</f>
        <v>100</v>
      </c>
      <c r="X25" s="772"/>
      <c r="Y25" s="3314"/>
      <c r="Z25" s="55">
        <f>Q25</f>
        <v>111</v>
      </c>
      <c r="AA25" s="1811">
        <f>D25/F25</f>
        <v>1</v>
      </c>
      <c r="AB25" s="1811">
        <f>D25/H25</f>
        <v>1</v>
      </c>
      <c r="AC25" s="1811">
        <f>D25/J25</f>
        <v>1</v>
      </c>
    </row>
    <row r="26" spans="1:29" ht="28.5">
      <c r="A26" s="652" t="s">
        <v>2559</v>
      </c>
      <c r="B26" s="70" t="s">
        <v>2708</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69"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318"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18"/>
      <c r="Q27" s="776" t="str">
        <f t="shared" si="11"/>
        <v>项目停车位配比</v>
      </c>
      <c r="R27" s="777" t="s">
        <v>17</v>
      </c>
      <c r="S27" s="778">
        <f t="shared" si="12"/>
        <v>100</v>
      </c>
      <c r="T27" s="777" t="s">
        <v>17</v>
      </c>
      <c r="U27" s="778">
        <f t="shared" si="13"/>
        <v>100</v>
      </c>
      <c r="V27" s="777" t="s">
        <v>17</v>
      </c>
      <c r="W27" s="778">
        <f t="shared" si="14"/>
        <v>100</v>
      </c>
      <c r="X27" s="779"/>
      <c r="Y27" s="3318"/>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18"/>
      <c r="Q28" s="1810" t="str">
        <f t="shared" si="11"/>
        <v>公共部分装修</v>
      </c>
      <c r="R28" s="774" t="s">
        <v>17</v>
      </c>
      <c r="S28" s="775">
        <f t="shared" si="12"/>
        <v>100</v>
      </c>
      <c r="T28" s="774" t="s">
        <v>17</v>
      </c>
      <c r="U28" s="775">
        <f t="shared" si="13"/>
        <v>100</v>
      </c>
      <c r="V28" s="774" t="s">
        <v>17</v>
      </c>
      <c r="W28" s="775">
        <f t="shared" si="14"/>
        <v>100</v>
      </c>
      <c r="X28" s="1813"/>
      <c r="Y28" s="3318"/>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18"/>
      <c r="Q29" s="1810" t="str">
        <f t="shared" si="11"/>
        <v>成新率</v>
      </c>
      <c r="R29" s="774" t="s">
        <v>17</v>
      </c>
      <c r="S29" s="775" t="e">
        <f t="shared" si="12"/>
        <v>#N/A</v>
      </c>
      <c r="T29" s="774" t="s">
        <v>17</v>
      </c>
      <c r="U29" s="775" t="e">
        <f t="shared" si="13"/>
        <v>#N/A</v>
      </c>
      <c r="V29" s="774" t="s">
        <v>17</v>
      </c>
      <c r="W29" s="775" t="e">
        <f t="shared" si="14"/>
        <v>#N/A</v>
      </c>
      <c r="X29" s="1813"/>
      <c r="Y29" s="3318"/>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18"/>
      <c r="Q30" s="1810" t="str">
        <f t="shared" si="11"/>
        <v>物业等级</v>
      </c>
      <c r="R30" s="774" t="s">
        <v>17</v>
      </c>
      <c r="S30" s="775">
        <f t="shared" si="12"/>
        <v>100</v>
      </c>
      <c r="T30" s="774" t="s">
        <v>17</v>
      </c>
      <c r="U30" s="775">
        <f t="shared" si="13"/>
        <v>100</v>
      </c>
      <c r="V30" s="774" t="s">
        <v>17</v>
      </c>
      <c r="W30" s="775">
        <f t="shared" si="14"/>
        <v>100</v>
      </c>
      <c r="X30" s="1813"/>
      <c r="Y30" s="3318"/>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18"/>
      <c r="Q31" s="1795" t="str">
        <f t="shared" si="11"/>
        <v>停车位面积</v>
      </c>
      <c r="R31" s="770" t="s">
        <v>17</v>
      </c>
      <c r="S31" s="771" t="e">
        <f t="shared" si="12"/>
        <v>#N/A</v>
      </c>
      <c r="T31" s="770" t="s">
        <v>17</v>
      </c>
      <c r="U31" s="771" t="e">
        <f t="shared" si="13"/>
        <v>#N/A</v>
      </c>
      <c r="V31" s="770" t="s">
        <v>17</v>
      </c>
      <c r="W31" s="771" t="e">
        <f t="shared" si="14"/>
        <v>#N/A</v>
      </c>
      <c r="X31" s="772"/>
      <c r="Y31" s="3318"/>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18" t="s">
        <v>2561</v>
      </c>
      <c r="Q32" s="1810" t="str">
        <f t="shared" si="11"/>
        <v>车位类型</v>
      </c>
      <c r="R32" s="774" t="s">
        <v>17</v>
      </c>
      <c r="S32" s="775">
        <f t="shared" si="12"/>
        <v>100</v>
      </c>
      <c r="T32" s="774" t="s">
        <v>17</v>
      </c>
      <c r="U32" s="775">
        <f t="shared" si="13"/>
        <v>100</v>
      </c>
      <c r="V32" s="774" t="s">
        <v>17</v>
      </c>
      <c r="W32" s="775">
        <f t="shared" si="14"/>
        <v>100</v>
      </c>
      <c r="X32" s="1813"/>
      <c r="Y32" s="3318"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18"/>
      <c r="Q33" s="1810" t="str">
        <f t="shared" si="11"/>
        <v>是否直接入户</v>
      </c>
      <c r="R33" s="774" t="s">
        <v>17</v>
      </c>
      <c r="S33" s="775">
        <f t="shared" si="12"/>
        <v>100</v>
      </c>
      <c r="T33" s="774" t="s">
        <v>17</v>
      </c>
      <c r="U33" s="775">
        <f t="shared" si="13"/>
        <v>100</v>
      </c>
      <c r="V33" s="774" t="s">
        <v>17</v>
      </c>
      <c r="W33" s="775">
        <f t="shared" si="14"/>
        <v>100</v>
      </c>
      <c r="X33" s="1813"/>
      <c r="Y33" s="331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18"/>
      <c r="Q34" s="1810">
        <f t="shared" si="11"/>
        <v>111</v>
      </c>
      <c r="R34" s="774" t="s">
        <v>17</v>
      </c>
      <c r="S34" s="775">
        <f t="shared" si="12"/>
        <v>100</v>
      </c>
      <c r="T34" s="774" t="s">
        <v>17</v>
      </c>
      <c r="U34" s="775">
        <f t="shared" si="13"/>
        <v>100</v>
      </c>
      <c r="V34" s="774" t="s">
        <v>17</v>
      </c>
      <c r="W34" s="775">
        <f t="shared" si="14"/>
        <v>100</v>
      </c>
      <c r="X34" s="1813"/>
      <c r="Y34" s="331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18"/>
      <c r="Q35" s="776">
        <f t="shared" si="11"/>
        <v>111</v>
      </c>
      <c r="R35" s="777" t="s">
        <v>17</v>
      </c>
      <c r="S35" s="778">
        <f t="shared" si="12"/>
        <v>100</v>
      </c>
      <c r="T35" s="777" t="s">
        <v>17</v>
      </c>
      <c r="U35" s="778">
        <f t="shared" si="13"/>
        <v>100</v>
      </c>
      <c r="V35" s="777" t="s">
        <v>17</v>
      </c>
      <c r="W35" s="778">
        <f t="shared" si="14"/>
        <v>100</v>
      </c>
      <c r="X35" s="779"/>
      <c r="Y35" s="331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18"/>
      <c r="Q36" s="1810">
        <f t="shared" si="11"/>
        <v>111</v>
      </c>
      <c r="R36" s="774" t="s">
        <v>17</v>
      </c>
      <c r="S36" s="775">
        <f t="shared" si="12"/>
        <v>100</v>
      </c>
      <c r="T36" s="774" t="s">
        <v>17</v>
      </c>
      <c r="U36" s="775">
        <f t="shared" si="13"/>
        <v>100</v>
      </c>
      <c r="V36" s="774" t="s">
        <v>17</v>
      </c>
      <c r="W36" s="775">
        <f t="shared" si="14"/>
        <v>100</v>
      </c>
      <c r="X36" s="1813"/>
      <c r="Y36" s="3318"/>
      <c r="Z36" s="1814">
        <f t="shared" si="15"/>
        <v>111</v>
      </c>
      <c r="AA36" s="1811">
        <f t="shared" si="3"/>
        <v>1</v>
      </c>
      <c r="AB36" s="1811">
        <f t="shared" si="4"/>
        <v>1</v>
      </c>
      <c r="AC36" s="1811">
        <f t="shared" si="5"/>
        <v>1</v>
      </c>
    </row>
    <row r="37" spans="1:29" ht="15">
      <c r="A37" s="479" t="s">
        <v>2716</v>
      </c>
      <c r="B37" s="2698" t="s">
        <v>2717</v>
      </c>
      <c r="C37" s="1407" t="s">
        <v>1</v>
      </c>
      <c r="D37" s="1408"/>
      <c r="E37" s="1409"/>
      <c r="F37" s="1410"/>
      <c r="G37" s="1411"/>
      <c r="H37" s="1412"/>
      <c r="I37" s="1409"/>
      <c r="J37" s="1412"/>
      <c r="K37" s="619"/>
      <c r="L37" s="1143"/>
      <c r="M37" s="1144"/>
      <c r="N37" s="1131"/>
      <c r="O37" s="1144"/>
      <c r="P37" s="3311" t="str">
        <f>A37</f>
        <v>成交单价</v>
      </c>
      <c r="Q37" s="3311"/>
      <c r="R37" s="3312">
        <f>E37</f>
        <v>0</v>
      </c>
      <c r="S37" s="3312"/>
      <c r="T37" s="3312">
        <f>G37</f>
        <v>0</v>
      </c>
      <c r="U37" s="3312"/>
      <c r="V37" s="3312">
        <f>I37</f>
        <v>0</v>
      </c>
      <c r="W37" s="3312"/>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311" t="str">
        <f>A38</f>
        <v>比较价值（元/平方米）</v>
      </c>
      <c r="Q38" s="3311"/>
      <c r="R38" s="3312" t="e">
        <f>IF(F1="售价",ROUND(PRODUCT(R37,AA7:AA36),0),ROUND(PRODUCT(R37,AA7:AA36),1))</f>
        <v>#DIV/0!</v>
      </c>
      <c r="S38" s="3312"/>
      <c r="T38" s="3312" t="e">
        <f>IF(F1="售价",ROUND(PRODUCT(T37,AB7:AB36),0),ROUND(PRODUCT(T37,AB7:AB36),1))</f>
        <v>#DIV/0!</v>
      </c>
      <c r="U38" s="3312"/>
      <c r="V38" s="3312" t="e">
        <f>IF(F1="售价",ROUND(PRODUCT(V37,AC7:AC36),0),ROUND(PRODUCT(V37,AC7:AC36),1))</f>
        <v>#DIV/0!</v>
      </c>
      <c r="W38" s="3312"/>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308" t="str">
        <f>A39</f>
        <v>估价对象XX用房的比较价值（楼面单价，元/平方米）</v>
      </c>
      <c r="Q39" s="3309"/>
      <c r="R39" s="3310" t="e">
        <f>IF(F1="售价",ROUND(AVERAGE(R38:V38),0),ROUND(AVERAGE(R38:V38),1))</f>
        <v>#DIV/0!</v>
      </c>
      <c r="S39" s="3310"/>
      <c r="T39" s="3310"/>
      <c r="U39" s="3310"/>
      <c r="V39" s="3310"/>
      <c r="W39" s="331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5"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33" sqref="J3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7"/>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9"/>
      <c r="D2" s="1124" t="e">
        <f ca="1">SUMIF(INDIRECT("'"&amp;F2&amp;"'"&amp;"!A:A"),"承租人权益价值",INDIRECT("'"&amp;F2&amp;"'"&amp;"!c:c"))</f>
        <v>#REF!</v>
      </c>
      <c r="E2" s="2590" t="s">
        <v>2324</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326" t="s">
        <v>2642</v>
      </c>
      <c r="D4" s="3327"/>
      <c r="E4" s="3328" t="s">
        <v>2643</v>
      </c>
      <c r="F4" s="3329"/>
      <c r="G4" s="3326" t="s">
        <v>2644</v>
      </c>
      <c r="H4" s="3327"/>
      <c r="I4" s="3326" t="s">
        <v>2645</v>
      </c>
      <c r="J4" s="3327"/>
      <c r="K4" s="610" t="s">
        <v>2646</v>
      </c>
      <c r="L4" s="1130"/>
      <c r="M4" s="1131"/>
      <c r="N4" s="1131"/>
      <c r="O4" s="1131"/>
      <c r="P4" s="3330" t="s">
        <v>2647</v>
      </c>
      <c r="Q4" s="3331"/>
      <c r="R4" s="3336" t="s">
        <v>2643</v>
      </c>
      <c r="S4" s="3337"/>
      <c r="T4" s="3336" t="s">
        <v>2644</v>
      </c>
      <c r="U4" s="3337"/>
      <c r="V4" s="3342" t="s">
        <v>2645</v>
      </c>
      <c r="W4" s="3342"/>
      <c r="X4" s="1813"/>
      <c r="Y4" s="3336" t="s">
        <v>2647</v>
      </c>
      <c r="Z4" s="3337"/>
      <c r="AA4" s="3323" t="s">
        <v>2643</v>
      </c>
      <c r="AB4" s="3324" t="s">
        <v>2644</v>
      </c>
      <c r="AC4" s="3323" t="s">
        <v>2645</v>
      </c>
    </row>
    <row r="5" spans="1:29" ht="15">
      <c r="A5" s="404"/>
      <c r="B5" s="405"/>
      <c r="C5" s="3345" t="s">
        <v>2538</v>
      </c>
      <c r="D5" s="3346"/>
      <c r="E5" s="3352" t="s">
        <v>2539</v>
      </c>
      <c r="F5" s="3353"/>
      <c r="G5" s="3345" t="s">
        <v>2540</v>
      </c>
      <c r="H5" s="3346"/>
      <c r="I5" s="3345" t="s">
        <v>2541</v>
      </c>
      <c r="J5" s="3346"/>
      <c r="K5" s="610"/>
      <c r="L5" s="1130"/>
      <c r="M5" s="1131"/>
      <c r="N5" s="1131"/>
      <c r="O5" s="1131"/>
      <c r="P5" s="3332"/>
      <c r="Q5" s="3333"/>
      <c r="R5" s="3338"/>
      <c r="S5" s="3339"/>
      <c r="T5" s="3338"/>
      <c r="U5" s="3339"/>
      <c r="V5" s="3342"/>
      <c r="W5" s="3342"/>
      <c r="X5" s="1813"/>
      <c r="Y5" s="3338"/>
      <c r="Z5" s="3339"/>
      <c r="AA5" s="3324"/>
      <c r="AB5" s="3324"/>
      <c r="AC5" s="3324"/>
    </row>
    <row r="6" spans="1:29" ht="15.75" thickBot="1">
      <c r="A6" s="406"/>
      <c r="B6" s="407"/>
      <c r="C6" s="3343" t="s">
        <v>2542</v>
      </c>
      <c r="D6" s="3344"/>
      <c r="E6" s="3350" t="s">
        <v>2542</v>
      </c>
      <c r="F6" s="3351"/>
      <c r="G6" s="3343" t="s">
        <v>2542</v>
      </c>
      <c r="H6" s="3344"/>
      <c r="I6" s="3343" t="s">
        <v>2542</v>
      </c>
      <c r="J6" s="3344"/>
      <c r="K6" s="610" t="s">
        <v>2543</v>
      </c>
      <c r="L6" s="1130"/>
      <c r="M6" s="1131"/>
      <c r="N6" s="1131"/>
      <c r="O6" s="1131"/>
      <c r="P6" s="3334"/>
      <c r="Q6" s="3335"/>
      <c r="R6" s="3338"/>
      <c r="S6" s="3339"/>
      <c r="T6" s="3340"/>
      <c r="U6" s="3341"/>
      <c r="V6" s="3342"/>
      <c r="W6" s="3342"/>
      <c r="X6" s="1813"/>
      <c r="Y6" s="3340"/>
      <c r="Z6" s="3341"/>
      <c r="AA6" s="3325"/>
      <c r="AB6" s="3325"/>
      <c r="AC6" s="3325"/>
    </row>
    <row r="7" spans="1:29" s="117" customFormat="1" ht="15.75" thickBot="1">
      <c r="A7" s="408" t="s">
        <v>2544</v>
      </c>
      <c r="B7" s="409"/>
      <c r="C7" s="410">
        <f>'数据-取费表'!B2</f>
        <v>43592</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347" t="s">
        <v>2545</v>
      </c>
      <c r="Q7" s="3349"/>
      <c r="R7" s="770" t="s">
        <v>17</v>
      </c>
      <c r="S7" s="771">
        <f t="shared" ref="S7:S14" si="0">F7</f>
        <v>0</v>
      </c>
      <c r="T7" s="770" t="s">
        <v>17</v>
      </c>
      <c r="U7" s="771">
        <f t="shared" ref="U7:U14" si="1">H7</f>
        <v>0</v>
      </c>
      <c r="V7" s="770" t="s">
        <v>17</v>
      </c>
      <c r="W7" s="771">
        <f t="shared" ref="W7:W14" si="2">J7</f>
        <v>0</v>
      </c>
      <c r="X7" s="772"/>
      <c r="Y7" s="3347" t="s">
        <v>2545</v>
      </c>
      <c r="Z7" s="3348"/>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347" t="s">
        <v>2548</v>
      </c>
      <c r="Q8" s="3348"/>
      <c r="R8" s="770" t="s">
        <v>17</v>
      </c>
      <c r="S8" s="771">
        <f t="shared" si="0"/>
        <v>0</v>
      </c>
      <c r="T8" s="770" t="s">
        <v>17</v>
      </c>
      <c r="U8" s="771">
        <f t="shared" si="1"/>
        <v>0</v>
      </c>
      <c r="V8" s="770" t="s">
        <v>17</v>
      </c>
      <c r="W8" s="771">
        <f t="shared" si="2"/>
        <v>0</v>
      </c>
      <c r="X8" s="772"/>
      <c r="Y8" s="3347" t="s">
        <v>2548</v>
      </c>
      <c r="Z8" s="3348"/>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311" t="s">
        <v>2551</v>
      </c>
      <c r="Q9" s="1795" t="str">
        <f t="shared" ref="Q9:Q14" si="6">B9</f>
        <v>用途</v>
      </c>
      <c r="R9" s="770" t="s">
        <v>17</v>
      </c>
      <c r="S9" s="771">
        <f t="shared" si="0"/>
        <v>100</v>
      </c>
      <c r="T9" s="770" t="s">
        <v>17</v>
      </c>
      <c r="U9" s="771">
        <f t="shared" si="1"/>
        <v>100</v>
      </c>
      <c r="V9" s="770" t="s">
        <v>17</v>
      </c>
      <c r="W9" s="771">
        <f t="shared" si="2"/>
        <v>100</v>
      </c>
      <c r="X9" s="772"/>
      <c r="Y9" s="3088"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311"/>
      <c r="Q10" s="1795"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311"/>
      <c r="Q11" s="1795">
        <f t="shared" si="6"/>
        <v>111</v>
      </c>
      <c r="R11" s="770" t="s">
        <v>17</v>
      </c>
      <c r="S11" s="771">
        <f t="shared" si="0"/>
        <v>100</v>
      </c>
      <c r="T11" s="770" t="s">
        <v>17</v>
      </c>
      <c r="U11" s="771">
        <f t="shared" si="1"/>
        <v>100</v>
      </c>
      <c r="V11" s="770" t="s">
        <v>17</v>
      </c>
      <c r="W11" s="771">
        <f t="shared" si="2"/>
        <v>100</v>
      </c>
      <c r="X11" s="772"/>
      <c r="Y11" s="3088"/>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311"/>
      <c r="Q12" s="1795">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311"/>
      <c r="Q13" s="1795">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773">
        <f t="shared" si="5"/>
        <v>1</v>
      </c>
    </row>
    <row r="14" spans="1:29" ht="85.5">
      <c r="A14" s="440" t="s">
        <v>2555</v>
      </c>
      <c r="B14" s="69" t="s">
        <v>2705</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13" t="s">
        <v>2556</v>
      </c>
      <c r="Q14" s="1810" t="str">
        <f t="shared" si="6"/>
        <v>交通便捷度</v>
      </c>
      <c r="R14" s="774" t="s">
        <v>17</v>
      </c>
      <c r="S14" s="775">
        <f t="shared" si="0"/>
        <v>100</v>
      </c>
      <c r="T14" s="774" t="s">
        <v>17</v>
      </c>
      <c r="U14" s="775">
        <f t="shared" si="1"/>
        <v>100</v>
      </c>
      <c r="V14" s="774" t="s">
        <v>17</v>
      </c>
      <c r="W14" s="775">
        <f t="shared" si="2"/>
        <v>100</v>
      </c>
      <c r="X14" s="1813"/>
      <c r="Y14" s="3313"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314"/>
      <c r="Q15" s="1810"/>
      <c r="R15" s="774"/>
      <c r="S15" s="775"/>
      <c r="T15" s="774"/>
      <c r="U15" s="775"/>
      <c r="V15" s="774"/>
      <c r="W15" s="775"/>
      <c r="X15" s="1813"/>
      <c r="Y15" s="3314"/>
      <c r="Z15" s="1814"/>
      <c r="AA15" s="1811">
        <v>1</v>
      </c>
      <c r="AB15" s="1811">
        <v>1</v>
      </c>
      <c r="AC15" s="1811">
        <v>1</v>
      </c>
    </row>
    <row r="16" spans="1:29" ht="42.75">
      <c r="A16" s="428"/>
      <c r="B16" s="451" t="s">
        <v>2684</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14"/>
      <c r="Q16" s="1810" t="str">
        <f>B16</f>
        <v>公共配套设施</v>
      </c>
      <c r="R16" s="774" t="s">
        <v>17</v>
      </c>
      <c r="S16" s="775">
        <f>F16</f>
        <v>100</v>
      </c>
      <c r="T16" s="774" t="s">
        <v>17</v>
      </c>
      <c r="U16" s="775">
        <f>H16</f>
        <v>100</v>
      </c>
      <c r="V16" s="774" t="s">
        <v>17</v>
      </c>
      <c r="W16" s="775">
        <f>J16</f>
        <v>100</v>
      </c>
      <c r="X16" s="1813"/>
      <c r="Y16" s="3314"/>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314"/>
      <c r="Q17" s="1810"/>
      <c r="R17" s="774"/>
      <c r="S17" s="775"/>
      <c r="T17" s="774"/>
      <c r="U17" s="775"/>
      <c r="V17" s="774"/>
      <c r="W17" s="775"/>
      <c r="X17" s="1813"/>
      <c r="Y17" s="3314"/>
      <c r="Z17" s="1814"/>
      <c r="AA17" s="1811">
        <v>1</v>
      </c>
      <c r="AB17" s="1811">
        <v>1</v>
      </c>
      <c r="AC17" s="1811">
        <v>1</v>
      </c>
    </row>
    <row r="18" spans="1:29" ht="28.5">
      <c r="A18" s="428"/>
      <c r="B18" s="1384" t="s">
        <v>2685</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14"/>
      <c r="Q18" s="1810" t="str">
        <f>B18</f>
        <v>基础设施水平</v>
      </c>
      <c r="R18" s="774" t="s">
        <v>17</v>
      </c>
      <c r="S18" s="775">
        <f>F18</f>
        <v>100</v>
      </c>
      <c r="T18" s="774" t="s">
        <v>17</v>
      </c>
      <c r="U18" s="775">
        <f>H18</f>
        <v>100</v>
      </c>
      <c r="V18" s="774" t="s">
        <v>17</v>
      </c>
      <c r="W18" s="775">
        <f>J18</f>
        <v>100</v>
      </c>
      <c r="X18" s="1813"/>
      <c r="Y18" s="3314"/>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314"/>
      <c r="Q19" s="1810"/>
      <c r="R19" s="774"/>
      <c r="S19" s="775"/>
      <c r="T19" s="774"/>
      <c r="U19" s="775"/>
      <c r="V19" s="774"/>
      <c r="W19" s="775"/>
      <c r="X19" s="1813"/>
      <c r="Y19" s="3314"/>
      <c r="Z19" s="1814"/>
      <c r="AA19" s="1811">
        <v>1</v>
      </c>
      <c r="AB19" s="1811">
        <v>1</v>
      </c>
      <c r="AC19" s="1811">
        <v>1</v>
      </c>
    </row>
    <row r="20" spans="1:29" ht="57">
      <c r="A20" s="428"/>
      <c r="B20" s="451" t="s">
        <v>2706</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14"/>
      <c r="Q20" s="1810" t="str">
        <f>B20</f>
        <v>自然及人文环境</v>
      </c>
      <c r="R20" s="774" t="s">
        <v>17</v>
      </c>
      <c r="S20" s="775">
        <f>F20</f>
        <v>100</v>
      </c>
      <c r="T20" s="774" t="s">
        <v>17</v>
      </c>
      <c r="U20" s="775">
        <f>H20</f>
        <v>100</v>
      </c>
      <c r="V20" s="774" t="s">
        <v>17</v>
      </c>
      <c r="W20" s="775">
        <f>J20</f>
        <v>100</v>
      </c>
      <c r="X20" s="1813"/>
      <c r="Y20" s="331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314"/>
      <c r="Q21" s="1810"/>
      <c r="R21" s="774"/>
      <c r="S21" s="775"/>
      <c r="T21" s="774"/>
      <c r="U21" s="775"/>
      <c r="V21" s="774"/>
      <c r="W21" s="775"/>
      <c r="X21" s="1813"/>
      <c r="Y21" s="3314"/>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14"/>
      <c r="Q22" s="1810" t="str">
        <f>B22</f>
        <v>楼层</v>
      </c>
      <c r="R22" s="774" t="s">
        <v>17</v>
      </c>
      <c r="S22" s="775">
        <f>F22</f>
        <v>100</v>
      </c>
      <c r="T22" s="774" t="s">
        <v>17</v>
      </c>
      <c r="U22" s="775">
        <f>H22</f>
        <v>100</v>
      </c>
      <c r="V22" s="774" t="s">
        <v>17</v>
      </c>
      <c r="W22" s="775">
        <f>J22</f>
        <v>100</v>
      </c>
      <c r="X22" s="1813"/>
      <c r="Y22" s="3314"/>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14"/>
      <c r="Q23" s="1810">
        <f>B23</f>
        <v>111</v>
      </c>
      <c r="R23" s="774" t="s">
        <v>17</v>
      </c>
      <c r="S23" s="775">
        <f>F23</f>
        <v>100</v>
      </c>
      <c r="T23" s="774" t="s">
        <v>17</v>
      </c>
      <c r="U23" s="775">
        <f>H23</f>
        <v>100</v>
      </c>
      <c r="V23" s="774" t="s">
        <v>17</v>
      </c>
      <c r="W23" s="775">
        <f>J23</f>
        <v>100</v>
      </c>
      <c r="X23" s="1813"/>
      <c r="Y23" s="3314"/>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14"/>
      <c r="Q24" s="1810">
        <f t="shared" ref="Q24:Q34" si="11">B24</f>
        <v>111</v>
      </c>
      <c r="R24" s="774" t="s">
        <v>17</v>
      </c>
      <c r="S24" s="775">
        <f>F24</f>
        <v>100</v>
      </c>
      <c r="T24" s="774" t="s">
        <v>17</v>
      </c>
      <c r="U24" s="775">
        <f>H24</f>
        <v>100</v>
      </c>
      <c r="V24" s="774" t="s">
        <v>17</v>
      </c>
      <c r="W24" s="775">
        <f>J24</f>
        <v>100</v>
      </c>
      <c r="X24" s="1813"/>
      <c r="Y24" s="3314"/>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314"/>
      <c r="Q25" s="1795">
        <f t="shared" si="11"/>
        <v>111</v>
      </c>
      <c r="R25" s="770" t="s">
        <v>17</v>
      </c>
      <c r="S25" s="771">
        <f>F25</f>
        <v>100</v>
      </c>
      <c r="T25" s="770" t="s">
        <v>17</v>
      </c>
      <c r="U25" s="771">
        <f>H25</f>
        <v>100</v>
      </c>
      <c r="V25" s="770" t="s">
        <v>17</v>
      </c>
      <c r="W25" s="771">
        <f>J25</f>
        <v>100</v>
      </c>
      <c r="X25" s="772"/>
      <c r="Y25" s="3314"/>
      <c r="Z25" s="55">
        <f>Q25</f>
        <v>111</v>
      </c>
      <c r="AA25" s="1811">
        <f>D25/F25</f>
        <v>1</v>
      </c>
      <c r="AB25" s="1811">
        <f>D25/H25</f>
        <v>1</v>
      </c>
      <c r="AC25" s="1811">
        <f>D25/J25</f>
        <v>1</v>
      </c>
    </row>
    <row r="26" spans="1:29" ht="28.5">
      <c r="A26" s="466" t="s">
        <v>2559</v>
      </c>
      <c r="B26" s="71" t="s">
        <v>2710</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369"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318"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18"/>
      <c r="Q27" s="776" t="str">
        <f t="shared" si="11"/>
        <v>成新率</v>
      </c>
      <c r="R27" s="777" t="s">
        <v>17</v>
      </c>
      <c r="S27" s="778" t="e">
        <f t="shared" si="12"/>
        <v>#N/A</v>
      </c>
      <c r="T27" s="777" t="s">
        <v>17</v>
      </c>
      <c r="U27" s="778" t="e">
        <f t="shared" si="13"/>
        <v>#N/A</v>
      </c>
      <c r="V27" s="777" t="s">
        <v>17</v>
      </c>
      <c r="W27" s="778" t="e">
        <f t="shared" si="14"/>
        <v>#N/A</v>
      </c>
      <c r="X27" s="779"/>
      <c r="Y27" s="3318"/>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18"/>
      <c r="Q28" s="1810" t="str">
        <f t="shared" si="11"/>
        <v>物业等级</v>
      </c>
      <c r="R28" s="774" t="s">
        <v>17</v>
      </c>
      <c r="S28" s="775">
        <f t="shared" si="12"/>
        <v>100</v>
      </c>
      <c r="T28" s="774" t="s">
        <v>17</v>
      </c>
      <c r="U28" s="775">
        <f t="shared" si="13"/>
        <v>100</v>
      </c>
      <c r="V28" s="774" t="s">
        <v>17</v>
      </c>
      <c r="W28" s="775">
        <f t="shared" si="14"/>
        <v>100</v>
      </c>
      <c r="X28" s="1813"/>
      <c r="Y28" s="3318"/>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18"/>
      <c r="Q29" s="1810" t="str">
        <f t="shared" si="11"/>
        <v>有无电梯</v>
      </c>
      <c r="R29" s="774" t="s">
        <v>17</v>
      </c>
      <c r="S29" s="775">
        <f t="shared" si="12"/>
        <v>100</v>
      </c>
      <c r="T29" s="774" t="s">
        <v>17</v>
      </c>
      <c r="U29" s="775">
        <f t="shared" si="13"/>
        <v>100</v>
      </c>
      <c r="V29" s="774" t="s">
        <v>17</v>
      </c>
      <c r="W29" s="775">
        <f t="shared" si="14"/>
        <v>100</v>
      </c>
      <c r="X29" s="1813"/>
      <c r="Y29" s="3318"/>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18"/>
      <c r="Q30" s="1810" t="str">
        <f t="shared" si="11"/>
        <v>建筑面积</v>
      </c>
      <c r="R30" s="774" t="s">
        <v>17</v>
      </c>
      <c r="S30" s="775" t="e">
        <f t="shared" si="12"/>
        <v>#N/A</v>
      </c>
      <c r="T30" s="774" t="s">
        <v>17</v>
      </c>
      <c r="U30" s="775" t="e">
        <f t="shared" si="13"/>
        <v>#N/A</v>
      </c>
      <c r="V30" s="774" t="s">
        <v>17</v>
      </c>
      <c r="W30" s="775" t="e">
        <f t="shared" si="14"/>
        <v>#N/A</v>
      </c>
      <c r="X30" s="1813"/>
      <c r="Y30" s="3318"/>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18"/>
      <c r="Q31" s="1795" t="str">
        <f t="shared" si="11"/>
        <v>是否封闭</v>
      </c>
      <c r="R31" s="770" t="s">
        <v>17</v>
      </c>
      <c r="S31" s="771">
        <f t="shared" si="12"/>
        <v>100</v>
      </c>
      <c r="T31" s="770" t="s">
        <v>17</v>
      </c>
      <c r="U31" s="771">
        <f t="shared" si="13"/>
        <v>100</v>
      </c>
      <c r="V31" s="770" t="s">
        <v>17</v>
      </c>
      <c r="W31" s="771">
        <f t="shared" si="14"/>
        <v>100</v>
      </c>
      <c r="X31" s="772"/>
      <c r="Y31" s="3318"/>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18" t="s">
        <v>2561</v>
      </c>
      <c r="Q32" s="1810">
        <f t="shared" si="11"/>
        <v>111</v>
      </c>
      <c r="R32" s="774" t="s">
        <v>17</v>
      </c>
      <c r="S32" s="775">
        <f t="shared" si="12"/>
        <v>100</v>
      </c>
      <c r="T32" s="774" t="s">
        <v>17</v>
      </c>
      <c r="U32" s="775">
        <f t="shared" si="13"/>
        <v>100</v>
      </c>
      <c r="V32" s="774" t="s">
        <v>17</v>
      </c>
      <c r="W32" s="775">
        <f t="shared" si="14"/>
        <v>100</v>
      </c>
      <c r="X32" s="1813"/>
      <c r="Y32" s="3318" t="s">
        <v>2561</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18"/>
      <c r="Q33" s="1810">
        <f t="shared" si="11"/>
        <v>111</v>
      </c>
      <c r="R33" s="774" t="s">
        <v>17</v>
      </c>
      <c r="S33" s="775">
        <f t="shared" si="12"/>
        <v>100</v>
      </c>
      <c r="T33" s="774" t="s">
        <v>17</v>
      </c>
      <c r="U33" s="775">
        <f t="shared" si="13"/>
        <v>100</v>
      </c>
      <c r="V33" s="774" t="s">
        <v>17</v>
      </c>
      <c r="W33" s="775">
        <f t="shared" si="14"/>
        <v>100</v>
      </c>
      <c r="X33" s="1813"/>
      <c r="Y33" s="3318"/>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318"/>
      <c r="Q34" s="1810">
        <f t="shared" si="11"/>
        <v>111</v>
      </c>
      <c r="R34" s="774" t="s">
        <v>17</v>
      </c>
      <c r="S34" s="775">
        <f t="shared" si="12"/>
        <v>100</v>
      </c>
      <c r="T34" s="774" t="s">
        <v>17</v>
      </c>
      <c r="U34" s="775">
        <f t="shared" si="13"/>
        <v>100</v>
      </c>
      <c r="V34" s="774" t="s">
        <v>17</v>
      </c>
      <c r="W34" s="775">
        <f t="shared" si="14"/>
        <v>100</v>
      </c>
      <c r="X34" s="1813"/>
      <c r="Y34" s="3318"/>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311" t="str">
        <f>A35</f>
        <v>成交单价（元/平方米）</v>
      </c>
      <c r="Q35" s="3311"/>
      <c r="R35" s="3312">
        <f>E35</f>
        <v>0</v>
      </c>
      <c r="S35" s="3312"/>
      <c r="T35" s="3312">
        <f>G35</f>
        <v>0</v>
      </c>
      <c r="U35" s="3312"/>
      <c r="V35" s="3312">
        <f>I35</f>
        <v>0</v>
      </c>
      <c r="W35" s="3312"/>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311" t="str">
        <f>A36</f>
        <v>比较价值（元/平方米）</v>
      </c>
      <c r="Q36" s="3311"/>
      <c r="R36" s="3312" t="e">
        <f>IF(F1="售价",ROUND(PRODUCT(R35,AA7:AA34),0),ROUND(PRODUCT(R35,AA7:AA34),1))</f>
        <v>#DIV/0!</v>
      </c>
      <c r="S36" s="3312"/>
      <c r="T36" s="3312" t="e">
        <f>IF(F1="售价",ROUND(PRODUCT(T35,AB7:AB34),0),ROUND(PRODUCT(T35,AB7:AB34),1))</f>
        <v>#DIV/0!</v>
      </c>
      <c r="U36" s="3312"/>
      <c r="V36" s="3312" t="e">
        <f>IF(F1="售价",ROUND(PRODUCT(V35,AC7:AC34),0),ROUND(PRODUCT(V35,AC7:AC34),1))</f>
        <v>#DIV/0!</v>
      </c>
      <c r="W36" s="3312"/>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308" t="str">
        <f>A37</f>
        <v>估价对象XX用房的比较价值（楼面单价，元/平方米）</v>
      </c>
      <c r="Q37" s="3309"/>
      <c r="R37" s="3310" t="e">
        <f>IF(F1="售价",ROUND(AVERAGE(R36:V36),0),ROUND(AVERAGE(R36:V36),1))</f>
        <v>#DIV/0!</v>
      </c>
      <c r="S37" s="3310"/>
      <c r="T37" s="3310"/>
      <c r="U37" s="3310"/>
      <c r="V37" s="3310"/>
      <c r="W37" s="331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5"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33" sqref="J3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326" t="s">
        <v>2642</v>
      </c>
      <c r="D4" s="3327"/>
      <c r="E4" s="3328" t="s">
        <v>2643</v>
      </c>
      <c r="F4" s="3329"/>
      <c r="G4" s="3326" t="s">
        <v>2644</v>
      </c>
      <c r="H4" s="3327"/>
      <c r="I4" s="3326" t="s">
        <v>2645</v>
      </c>
      <c r="J4" s="3327"/>
      <c r="K4" s="610" t="s">
        <v>2646</v>
      </c>
      <c r="L4" s="1130"/>
      <c r="M4" s="1131"/>
      <c r="N4" s="1131"/>
      <c r="O4" s="1131"/>
      <c r="P4" s="3330" t="s">
        <v>2647</v>
      </c>
      <c r="Q4" s="3331"/>
      <c r="R4" s="3336" t="s">
        <v>2643</v>
      </c>
      <c r="S4" s="3337"/>
      <c r="T4" s="3336" t="s">
        <v>2644</v>
      </c>
      <c r="U4" s="3337"/>
      <c r="V4" s="3342" t="s">
        <v>2645</v>
      </c>
      <c r="W4" s="3342"/>
      <c r="X4" s="1813"/>
      <c r="Y4" s="3336" t="s">
        <v>2647</v>
      </c>
      <c r="Z4" s="3337"/>
      <c r="AA4" s="3323" t="s">
        <v>2643</v>
      </c>
      <c r="AB4" s="3324" t="s">
        <v>2644</v>
      </c>
      <c r="AC4" s="3323" t="s">
        <v>2645</v>
      </c>
    </row>
    <row r="5" spans="1:30" ht="15">
      <c r="A5" s="404"/>
      <c r="B5" s="405"/>
      <c r="C5" s="3345" t="s">
        <v>2538</v>
      </c>
      <c r="D5" s="3346"/>
      <c r="E5" s="3352" t="s">
        <v>2539</v>
      </c>
      <c r="F5" s="3353"/>
      <c r="G5" s="3345" t="s">
        <v>2540</v>
      </c>
      <c r="H5" s="3346"/>
      <c r="I5" s="3345" t="s">
        <v>2541</v>
      </c>
      <c r="J5" s="3346"/>
      <c r="K5" s="610"/>
      <c r="L5" s="1130"/>
      <c r="M5" s="1131"/>
      <c r="N5" s="1131"/>
      <c r="O5" s="1131"/>
      <c r="P5" s="3332"/>
      <c r="Q5" s="3333"/>
      <c r="R5" s="3338"/>
      <c r="S5" s="3339"/>
      <c r="T5" s="3338"/>
      <c r="U5" s="3339"/>
      <c r="V5" s="3342"/>
      <c r="W5" s="3342"/>
      <c r="X5" s="1813"/>
      <c r="Y5" s="3338"/>
      <c r="Z5" s="3339"/>
      <c r="AA5" s="3324"/>
      <c r="AB5" s="3324"/>
      <c r="AC5" s="3324"/>
    </row>
    <row r="6" spans="1:30" ht="15.75" thickBot="1">
      <c r="A6" s="406"/>
      <c r="B6" s="407"/>
      <c r="C6" s="3343" t="s">
        <v>2542</v>
      </c>
      <c r="D6" s="3344"/>
      <c r="E6" s="3350" t="s">
        <v>2542</v>
      </c>
      <c r="F6" s="3351"/>
      <c r="G6" s="3343" t="s">
        <v>2542</v>
      </c>
      <c r="H6" s="3344"/>
      <c r="I6" s="3343" t="s">
        <v>2542</v>
      </c>
      <c r="J6" s="3344"/>
      <c r="K6" s="610" t="s">
        <v>2543</v>
      </c>
      <c r="L6" s="1130"/>
      <c r="M6" s="1131"/>
      <c r="N6" s="1131"/>
      <c r="O6" s="1131"/>
      <c r="P6" s="3334"/>
      <c r="Q6" s="3335"/>
      <c r="R6" s="3338"/>
      <c r="S6" s="3339"/>
      <c r="T6" s="3340"/>
      <c r="U6" s="3341"/>
      <c r="V6" s="3342"/>
      <c r="W6" s="3342"/>
      <c r="X6" s="1813"/>
      <c r="Y6" s="3340"/>
      <c r="Z6" s="3341"/>
      <c r="AA6" s="3325"/>
      <c r="AB6" s="3325"/>
      <c r="AC6" s="3325"/>
    </row>
    <row r="7" spans="1:30" s="117" customFormat="1" ht="15.75" thickBot="1">
      <c r="A7" s="408" t="s">
        <v>2544</v>
      </c>
      <c r="B7" s="409"/>
      <c r="C7" s="410">
        <f>'数据-取费表'!B2</f>
        <v>43592</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347" t="s">
        <v>2545</v>
      </c>
      <c r="Q7" s="3349"/>
      <c r="R7" s="770" t="s">
        <v>17</v>
      </c>
      <c r="S7" s="771">
        <f t="shared" ref="S7:S15" si="0">F7</f>
        <v>0</v>
      </c>
      <c r="T7" s="770" t="s">
        <v>17</v>
      </c>
      <c r="U7" s="771">
        <f t="shared" ref="U7:U15" si="1">H7</f>
        <v>0</v>
      </c>
      <c r="V7" s="770" t="s">
        <v>17</v>
      </c>
      <c r="W7" s="771">
        <f t="shared" ref="W7:W15" si="2">J7</f>
        <v>0</v>
      </c>
      <c r="X7" s="772"/>
      <c r="Y7" s="3347" t="s">
        <v>2545</v>
      </c>
      <c r="Z7" s="3348"/>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347" t="s">
        <v>2548</v>
      </c>
      <c r="Q8" s="3348"/>
      <c r="R8" s="770" t="s">
        <v>17</v>
      </c>
      <c r="S8" s="771">
        <f t="shared" si="0"/>
        <v>0</v>
      </c>
      <c r="T8" s="770" t="s">
        <v>17</v>
      </c>
      <c r="U8" s="771">
        <f t="shared" si="1"/>
        <v>0</v>
      </c>
      <c r="V8" s="770" t="s">
        <v>17</v>
      </c>
      <c r="W8" s="771">
        <f t="shared" si="2"/>
        <v>0</v>
      </c>
      <c r="X8" s="772"/>
      <c r="Y8" s="3347" t="s">
        <v>2548</v>
      </c>
      <c r="Z8" s="3348"/>
      <c r="AA8" s="773" t="e">
        <f t="shared" ref="AA8:AA45" si="3">D8/F8</f>
        <v>#DIV/0!</v>
      </c>
      <c r="AB8" s="773" t="e">
        <f t="shared" ref="AB8:AB45" si="4">D8/H8</f>
        <v>#DIV/0!</v>
      </c>
      <c r="AC8" s="773" t="e">
        <f t="shared" ref="AC8:AC45" si="5">D8/J8</f>
        <v>#DIV/0!</v>
      </c>
    </row>
    <row r="9" spans="1:30" s="117" customFormat="1">
      <c r="A9" s="415" t="s">
        <v>2549</v>
      </c>
      <c r="B9" s="71" t="s">
        <v>2550</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311" t="s">
        <v>2551</v>
      </c>
      <c r="Q9" s="1795" t="str">
        <f t="shared" ref="Q9:Q15" si="6">B9</f>
        <v>用途</v>
      </c>
      <c r="R9" s="770" t="s">
        <v>17</v>
      </c>
      <c r="S9" s="771">
        <f t="shared" si="0"/>
        <v>100</v>
      </c>
      <c r="T9" s="770" t="s">
        <v>17</v>
      </c>
      <c r="U9" s="771">
        <f t="shared" si="1"/>
        <v>100</v>
      </c>
      <c r="V9" s="770" t="s">
        <v>17</v>
      </c>
      <c r="W9" s="771">
        <f t="shared" si="2"/>
        <v>100</v>
      </c>
      <c r="X9" s="772"/>
      <c r="Y9" s="3088"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 ca="1">ROUND(100/'数据-取费表'!G16,0)</f>
        <v>124</v>
      </c>
      <c r="G10" s="463"/>
      <c r="H10" s="136">
        <f ca="1">ROUND(100/'数据-取费表'!G16,0)</f>
        <v>124</v>
      </c>
      <c r="I10" s="463"/>
      <c r="J10" s="136">
        <f ca="1">ROUND(100/'数据-取费表'!G16,0)</f>
        <v>124</v>
      </c>
      <c r="K10" s="672"/>
      <c r="L10" s="1135"/>
      <c r="M10" s="1136"/>
      <c r="N10" s="1136"/>
      <c r="O10" s="1137"/>
      <c r="P10" s="3311"/>
      <c r="Q10" s="1795" t="str">
        <f t="shared" si="6"/>
        <v>土地使用年限（年）</v>
      </c>
      <c r="R10" s="770" t="s">
        <v>17</v>
      </c>
      <c r="S10" s="771">
        <f t="shared" ca="1" si="0"/>
        <v>124</v>
      </c>
      <c r="T10" s="770" t="s">
        <v>17</v>
      </c>
      <c r="U10" s="771">
        <f t="shared" ca="1" si="1"/>
        <v>124</v>
      </c>
      <c r="V10" s="770" t="s">
        <v>17</v>
      </c>
      <c r="W10" s="771">
        <f t="shared" ca="1" si="2"/>
        <v>124</v>
      </c>
      <c r="X10" s="772"/>
      <c r="Y10" s="3088"/>
      <c r="Z10" s="55" t="str">
        <f t="shared" si="7"/>
        <v>土地使用年限（年）</v>
      </c>
      <c r="AA10" s="773">
        <f t="shared" ca="1" si="3"/>
        <v>0.80645161290322576</v>
      </c>
      <c r="AB10" s="773">
        <f t="shared" ca="1" si="4"/>
        <v>0.80645161290322576</v>
      </c>
      <c r="AC10" s="773">
        <f t="shared" ca="1" si="5"/>
        <v>0.80645161290322576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311"/>
      <c r="Q11" s="1795" t="str">
        <f t="shared" si="6"/>
        <v>容积率</v>
      </c>
      <c r="R11" s="770" t="s">
        <v>17</v>
      </c>
      <c r="S11" s="771" t="e">
        <f t="shared" si="0"/>
        <v>#N/A</v>
      </c>
      <c r="T11" s="770" t="s">
        <v>17</v>
      </c>
      <c r="U11" s="771" t="e">
        <f t="shared" si="1"/>
        <v>#N/A</v>
      </c>
      <c r="V11" s="770" t="s">
        <v>17</v>
      </c>
      <c r="W11" s="771" t="e">
        <f t="shared" si="2"/>
        <v>#N/A</v>
      </c>
      <c r="X11" s="772"/>
      <c r="Y11" s="3088"/>
      <c r="Z11" s="55" t="str">
        <f t="shared" si="7"/>
        <v>容积率</v>
      </c>
      <c r="AA11" s="773" t="e">
        <f t="shared" si="3"/>
        <v>#N/A</v>
      </c>
      <c r="AB11" s="773" t="e">
        <f t="shared" si="4"/>
        <v>#N/A</v>
      </c>
      <c r="AC11" s="773" t="e">
        <f t="shared" si="5"/>
        <v>#N/A</v>
      </c>
    </row>
    <row r="12" spans="1:30" s="117" customFormat="1" ht="15">
      <c r="A12" s="431"/>
      <c r="B12" s="2603"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311"/>
      <c r="Q12" s="1795" t="str">
        <f t="shared" si="6"/>
        <v>配建</v>
      </c>
      <c r="R12" s="770" t="s">
        <v>17</v>
      </c>
      <c r="S12" s="771">
        <f t="shared" si="0"/>
        <v>100</v>
      </c>
      <c r="T12" s="770" t="s">
        <v>17</v>
      </c>
      <c r="U12" s="771">
        <f t="shared" si="1"/>
        <v>100</v>
      </c>
      <c r="V12" s="770" t="s">
        <v>17</v>
      </c>
      <c r="W12" s="771">
        <f t="shared" si="2"/>
        <v>100</v>
      </c>
      <c r="X12" s="772"/>
      <c r="Y12" s="3088"/>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311"/>
      <c r="Q13" s="1795">
        <f t="shared" si="6"/>
        <v>111</v>
      </c>
      <c r="R13" s="770" t="s">
        <v>17</v>
      </c>
      <c r="S13" s="771">
        <f t="shared" si="0"/>
        <v>100</v>
      </c>
      <c r="T13" s="770" t="s">
        <v>17</v>
      </c>
      <c r="U13" s="771">
        <f t="shared" si="1"/>
        <v>100</v>
      </c>
      <c r="V13" s="770" t="s">
        <v>17</v>
      </c>
      <c r="W13" s="771">
        <f t="shared" si="2"/>
        <v>100</v>
      </c>
      <c r="X13" s="772"/>
      <c r="Y13" s="3088"/>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311"/>
      <c r="Q14" s="1795">
        <f t="shared" si="6"/>
        <v>111</v>
      </c>
      <c r="R14" s="770" t="s">
        <v>17</v>
      </c>
      <c r="S14" s="771">
        <f t="shared" si="0"/>
        <v>100</v>
      </c>
      <c r="T14" s="770" t="s">
        <v>17</v>
      </c>
      <c r="U14" s="771">
        <f t="shared" si="1"/>
        <v>100</v>
      </c>
      <c r="V14" s="770" t="s">
        <v>17</v>
      </c>
      <c r="W14" s="771">
        <f t="shared" si="2"/>
        <v>100</v>
      </c>
      <c r="X14" s="772"/>
      <c r="Y14" s="3088"/>
      <c r="Z14" s="55">
        <f t="shared" si="7"/>
        <v>111</v>
      </c>
      <c r="AA14" s="773">
        <f>D14/F14</f>
        <v>1</v>
      </c>
      <c r="AB14" s="773">
        <f>D14/H14</f>
        <v>1</v>
      </c>
      <c r="AC14" s="773">
        <f>D14/J14</f>
        <v>1</v>
      </c>
    </row>
    <row r="15" spans="1:30" ht="99.75">
      <c r="A15" s="440" t="s">
        <v>2555</v>
      </c>
      <c r="B15" s="69" t="s">
        <v>2083</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313" t="s">
        <v>2556</v>
      </c>
      <c r="Q15" s="1810" t="str">
        <f t="shared" si="6"/>
        <v>居住社区成熟度</v>
      </c>
      <c r="R15" s="774" t="s">
        <v>17</v>
      </c>
      <c r="S15" s="775">
        <f t="shared" si="0"/>
        <v>100</v>
      </c>
      <c r="T15" s="774" t="s">
        <v>17</v>
      </c>
      <c r="U15" s="775">
        <f t="shared" si="1"/>
        <v>100</v>
      </c>
      <c r="V15" s="774" t="s">
        <v>17</v>
      </c>
      <c r="W15" s="775">
        <f t="shared" si="2"/>
        <v>100</v>
      </c>
      <c r="X15" s="1813"/>
      <c r="Y15" s="3313" t="s">
        <v>2556</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314"/>
      <c r="Q16" s="1810"/>
      <c r="R16" s="774"/>
      <c r="S16" s="775"/>
      <c r="T16" s="774"/>
      <c r="U16" s="775"/>
      <c r="V16" s="774"/>
      <c r="W16" s="775"/>
      <c r="X16" s="1813"/>
      <c r="Y16" s="3314"/>
      <c r="Z16" s="1814"/>
      <c r="AA16" s="1811">
        <v>1</v>
      </c>
      <c r="AB16" s="1811">
        <v>1</v>
      </c>
      <c r="AC16" s="1811">
        <v>1</v>
      </c>
    </row>
    <row r="17" spans="1:29" ht="71.25">
      <c r="A17" s="428"/>
      <c r="B17" s="451" t="s">
        <v>2649</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314"/>
      <c r="Q17" s="1810" t="str">
        <f>B17</f>
        <v>商业繁华度</v>
      </c>
      <c r="R17" s="774" t="s">
        <v>17</v>
      </c>
      <c r="S17" s="775">
        <f>F17</f>
        <v>100</v>
      </c>
      <c r="T17" s="774" t="s">
        <v>17</v>
      </c>
      <c r="U17" s="775">
        <f>H17</f>
        <v>100</v>
      </c>
      <c r="V17" s="774" t="s">
        <v>17</v>
      </c>
      <c r="W17" s="775">
        <f>J17</f>
        <v>100</v>
      </c>
      <c r="X17" s="1813"/>
      <c r="Y17" s="3314"/>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314"/>
      <c r="Q18" s="1810"/>
      <c r="R18" s="774"/>
      <c r="S18" s="775"/>
      <c r="T18" s="774"/>
      <c r="U18" s="775"/>
      <c r="V18" s="774"/>
      <c r="W18" s="775"/>
      <c r="X18" s="1813"/>
      <c r="Y18" s="3314"/>
      <c r="Z18" s="1814"/>
      <c r="AA18" s="1811">
        <v>1</v>
      </c>
      <c r="AB18" s="1811">
        <v>1</v>
      </c>
      <c r="AC18" s="1811">
        <v>1</v>
      </c>
    </row>
    <row r="19" spans="1:29" ht="71.25">
      <c r="A19" s="428"/>
      <c r="B19" s="451" t="s">
        <v>2683</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314"/>
      <c r="Q19" s="1810" t="str">
        <f>B19</f>
        <v>办公集聚程度</v>
      </c>
      <c r="R19" s="774" t="s">
        <v>17</v>
      </c>
      <c r="S19" s="775">
        <f>F19</f>
        <v>100</v>
      </c>
      <c r="T19" s="774" t="s">
        <v>17</v>
      </c>
      <c r="U19" s="775">
        <f>H19</f>
        <v>100</v>
      </c>
      <c r="V19" s="774" t="s">
        <v>17</v>
      </c>
      <c r="W19" s="775">
        <f>J19</f>
        <v>100</v>
      </c>
      <c r="X19" s="1813"/>
      <c r="Y19" s="3314"/>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314"/>
      <c r="Q20" s="1810"/>
      <c r="R20" s="774"/>
      <c r="S20" s="775"/>
      <c r="T20" s="774"/>
      <c r="U20" s="775"/>
      <c r="V20" s="774"/>
      <c r="W20" s="775"/>
      <c r="X20" s="1813"/>
      <c r="Y20" s="3314"/>
      <c r="Z20" s="1814"/>
      <c r="AA20" s="1811">
        <v>1</v>
      </c>
      <c r="AB20" s="1811">
        <v>1</v>
      </c>
      <c r="AC20" s="1811">
        <v>1</v>
      </c>
    </row>
    <row r="21" spans="1:29" ht="85.5">
      <c r="A21" s="428"/>
      <c r="B21" s="451" t="s">
        <v>2705</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314"/>
      <c r="Q21" s="1810" t="str">
        <f>B21</f>
        <v>交通便捷度</v>
      </c>
      <c r="R21" s="774" t="s">
        <v>17</v>
      </c>
      <c r="S21" s="775">
        <f>F21</f>
        <v>100</v>
      </c>
      <c r="T21" s="774" t="s">
        <v>17</v>
      </c>
      <c r="U21" s="775">
        <f>H21</f>
        <v>100</v>
      </c>
      <c r="V21" s="774" t="s">
        <v>17</v>
      </c>
      <c r="W21" s="775">
        <f>J21</f>
        <v>100</v>
      </c>
      <c r="X21" s="1813"/>
      <c r="Y21" s="3314"/>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314"/>
      <c r="Q22" s="1810"/>
      <c r="R22" s="774"/>
      <c r="S22" s="775"/>
      <c r="T22" s="774"/>
      <c r="U22" s="775"/>
      <c r="V22" s="774"/>
      <c r="W22" s="775"/>
      <c r="X22" s="1813"/>
      <c r="Y22" s="3314"/>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314"/>
      <c r="Q23" s="1810" t="str">
        <f t="shared" ref="Q23:Q37" si="8">B23</f>
        <v>区域土地利用方向</v>
      </c>
      <c r="R23" s="774" t="s">
        <v>17</v>
      </c>
      <c r="S23" s="775">
        <f>F23</f>
        <v>100</v>
      </c>
      <c r="T23" s="774" t="s">
        <v>17</v>
      </c>
      <c r="U23" s="775">
        <f>H23</f>
        <v>100</v>
      </c>
      <c r="V23" s="774" t="s">
        <v>17</v>
      </c>
      <c r="W23" s="775">
        <f>J23</f>
        <v>100</v>
      </c>
      <c r="X23" s="1813"/>
      <c r="Y23" s="3314"/>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314"/>
      <c r="Q24" s="1810"/>
      <c r="R24" s="774"/>
      <c r="S24" s="775"/>
      <c r="T24" s="774"/>
      <c r="U24" s="775"/>
      <c r="V24" s="774"/>
      <c r="W24" s="775"/>
      <c r="X24" s="1813"/>
      <c r="Y24" s="3314"/>
      <c r="Z24" s="1814"/>
      <c r="AA24" s="1811"/>
      <c r="AB24" s="1811"/>
      <c r="AC24" s="1811"/>
    </row>
    <row r="25" spans="1:29" ht="57">
      <c r="A25" s="404"/>
      <c r="B25" s="1384" t="s">
        <v>2745</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314"/>
      <c r="Q25" s="1810" t="str">
        <f t="shared" si="8"/>
        <v>自然及人文环境状况</v>
      </c>
      <c r="R25" s="774" t="s">
        <v>17</v>
      </c>
      <c r="S25" s="775">
        <f>F25</f>
        <v>100</v>
      </c>
      <c r="T25" s="774" t="s">
        <v>17</v>
      </c>
      <c r="U25" s="775">
        <f>H25</f>
        <v>100</v>
      </c>
      <c r="V25" s="774" t="s">
        <v>17</v>
      </c>
      <c r="W25" s="775">
        <f>J25</f>
        <v>100</v>
      </c>
      <c r="X25" s="1813"/>
      <c r="Y25" s="3314"/>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314"/>
      <c r="Q26" s="1810"/>
      <c r="R26" s="774"/>
      <c r="S26" s="775"/>
      <c r="T26" s="774"/>
      <c r="U26" s="775"/>
      <c r="V26" s="774"/>
      <c r="W26" s="775"/>
      <c r="X26" s="1813"/>
      <c r="Y26" s="3314"/>
      <c r="Z26" s="1814"/>
      <c r="AA26" s="1811">
        <v>1</v>
      </c>
      <c r="AB26" s="1811">
        <v>1</v>
      </c>
      <c r="AC26" s="1811">
        <v>1</v>
      </c>
    </row>
    <row r="27" spans="1:29" s="117" customFormat="1" ht="42.75">
      <c r="A27" s="649"/>
      <c r="B27" s="1384" t="s">
        <v>2650</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314"/>
      <c r="Q27" s="1795" t="str">
        <f t="shared" si="8"/>
        <v>公共配套设施</v>
      </c>
      <c r="R27" s="770" t="s">
        <v>17</v>
      </c>
      <c r="S27" s="771">
        <f>F27</f>
        <v>100</v>
      </c>
      <c r="T27" s="770" t="s">
        <v>17</v>
      </c>
      <c r="U27" s="771">
        <f>H27</f>
        <v>100</v>
      </c>
      <c r="V27" s="770" t="s">
        <v>17</v>
      </c>
      <c r="W27" s="771">
        <f>J27</f>
        <v>100</v>
      </c>
      <c r="X27" s="772"/>
      <c r="Y27" s="3314"/>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314"/>
      <c r="Q28" s="1795"/>
      <c r="R28" s="770"/>
      <c r="S28" s="771"/>
      <c r="T28" s="770"/>
      <c r="U28" s="771"/>
      <c r="V28" s="770"/>
      <c r="W28" s="771"/>
      <c r="X28" s="772"/>
      <c r="Y28" s="3314"/>
      <c r="Z28" s="55"/>
      <c r="AA28" s="1811">
        <v>1</v>
      </c>
      <c r="AB28" s="1811">
        <v>1</v>
      </c>
      <c r="AC28" s="1811">
        <v>1</v>
      </c>
    </row>
    <row r="29" spans="1:29" s="117" customFormat="1" ht="28.5">
      <c r="A29" s="649"/>
      <c r="B29" s="1384" t="s">
        <v>2651</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314"/>
      <c r="Q29" s="1795" t="str">
        <f t="shared" ref="Q29" si="9">B29</f>
        <v>基础设施水平</v>
      </c>
      <c r="R29" s="770" t="s">
        <v>17</v>
      </c>
      <c r="S29" s="771">
        <f>F29</f>
        <v>100</v>
      </c>
      <c r="T29" s="770" t="s">
        <v>17</v>
      </c>
      <c r="U29" s="771">
        <f>H29</f>
        <v>100</v>
      </c>
      <c r="V29" s="770" t="s">
        <v>17</v>
      </c>
      <c r="W29" s="771">
        <f>J29</f>
        <v>100</v>
      </c>
      <c r="X29" s="772"/>
      <c r="Y29" s="3314"/>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314"/>
      <c r="Q30" s="1795"/>
      <c r="R30" s="770"/>
      <c r="S30" s="771"/>
      <c r="T30" s="770"/>
      <c r="U30" s="771"/>
      <c r="V30" s="770"/>
      <c r="W30" s="771"/>
      <c r="X30" s="772"/>
      <c r="Y30" s="3314"/>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31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314"/>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314"/>
      <c r="Q32" s="1810" t="str">
        <f t="shared" si="8"/>
        <v>毗邻道路的类型与等级</v>
      </c>
      <c r="R32" s="774" t="s">
        <v>17</v>
      </c>
      <c r="S32" s="775">
        <f t="shared" si="10"/>
        <v>100</v>
      </c>
      <c r="T32" s="774" t="s">
        <v>17</v>
      </c>
      <c r="U32" s="775">
        <f t="shared" si="11"/>
        <v>100</v>
      </c>
      <c r="V32" s="774" t="s">
        <v>17</v>
      </c>
      <c r="W32" s="775">
        <f t="shared" si="12"/>
        <v>100</v>
      </c>
      <c r="X32" s="1813"/>
      <c r="Y32" s="3314"/>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314"/>
      <c r="Q33" s="1810"/>
      <c r="R33" s="774"/>
      <c r="S33" s="775"/>
      <c r="T33" s="774"/>
      <c r="U33" s="775"/>
      <c r="V33" s="774"/>
      <c r="W33" s="775"/>
      <c r="X33" s="1813"/>
      <c r="Y33" s="3314"/>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314"/>
      <c r="Q34" s="1810" t="str">
        <f t="shared" si="8"/>
        <v>土地级别</v>
      </c>
      <c r="R34" s="774" t="s">
        <v>17</v>
      </c>
      <c r="S34" s="775">
        <f t="shared" si="10"/>
        <v>100</v>
      </c>
      <c r="T34" s="774" t="s">
        <v>17</v>
      </c>
      <c r="U34" s="775">
        <f t="shared" si="11"/>
        <v>100</v>
      </c>
      <c r="V34" s="774" t="s">
        <v>17</v>
      </c>
      <c r="W34" s="775">
        <f t="shared" si="12"/>
        <v>100</v>
      </c>
      <c r="X34" s="1813"/>
      <c r="Y34" s="331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314"/>
      <c r="Q35" s="1810">
        <f t="shared" si="8"/>
        <v>111</v>
      </c>
      <c r="R35" s="774" t="s">
        <v>17</v>
      </c>
      <c r="S35" s="775">
        <f t="shared" si="10"/>
        <v>100</v>
      </c>
      <c r="T35" s="774" t="s">
        <v>17</v>
      </c>
      <c r="U35" s="775">
        <f t="shared" si="11"/>
        <v>100</v>
      </c>
      <c r="V35" s="774" t="s">
        <v>17</v>
      </c>
      <c r="W35" s="775">
        <f t="shared" si="12"/>
        <v>100</v>
      </c>
      <c r="X35" s="1813"/>
      <c r="Y35" s="331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69" t="s">
        <v>2561</v>
      </c>
      <c r="Q36" s="1810">
        <f t="shared" si="8"/>
        <v>111</v>
      </c>
      <c r="R36" s="774" t="s">
        <v>17</v>
      </c>
      <c r="S36" s="775">
        <f t="shared" si="10"/>
        <v>100</v>
      </c>
      <c r="T36" s="774" t="s">
        <v>17</v>
      </c>
      <c r="U36" s="775">
        <f t="shared" si="11"/>
        <v>100</v>
      </c>
      <c r="V36" s="774" t="s">
        <v>17</v>
      </c>
      <c r="W36" s="775">
        <f t="shared" si="12"/>
        <v>100</v>
      </c>
      <c r="X36" s="1813"/>
      <c r="Y36" s="3318"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18"/>
      <c r="Q37" s="1810">
        <f t="shared" si="8"/>
        <v>111</v>
      </c>
      <c r="R37" s="777" t="s">
        <v>17</v>
      </c>
      <c r="S37" s="778">
        <f t="shared" si="10"/>
        <v>100</v>
      </c>
      <c r="T37" s="777" t="s">
        <v>17</v>
      </c>
      <c r="U37" s="778">
        <f t="shared" si="11"/>
        <v>100</v>
      </c>
      <c r="V37" s="777" t="s">
        <v>17</v>
      </c>
      <c r="W37" s="778">
        <f t="shared" si="12"/>
        <v>100</v>
      </c>
      <c r="X37" s="779"/>
      <c r="Y37" s="3318"/>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318"/>
      <c r="Q38" s="1810" t="str">
        <f>B38</f>
        <v>宗地面积</v>
      </c>
      <c r="R38" s="774" t="s">
        <v>17</v>
      </c>
      <c r="S38" s="775" t="e">
        <f t="shared" si="10"/>
        <v>#N/A</v>
      </c>
      <c r="T38" s="774" t="s">
        <v>17</v>
      </c>
      <c r="U38" s="775" t="e">
        <f t="shared" si="11"/>
        <v>#N/A</v>
      </c>
      <c r="V38" s="774" t="s">
        <v>17</v>
      </c>
      <c r="W38" s="775" t="e">
        <f t="shared" si="12"/>
        <v>#N/A</v>
      </c>
      <c r="X38" s="1813"/>
      <c r="Y38" s="3318"/>
      <c r="Z38" s="1814" t="str">
        <f t="shared" si="13"/>
        <v>宗地面积</v>
      </c>
      <c r="AA38" s="1811" t="e">
        <f t="shared" si="3"/>
        <v>#N/A</v>
      </c>
      <c r="AB38" s="1811" t="e">
        <f t="shared" si="4"/>
        <v>#N/A</v>
      </c>
      <c r="AC38" s="1811" t="e">
        <f t="shared" si="5"/>
        <v>#N/A</v>
      </c>
    </row>
    <row r="39" spans="1:29" ht="15">
      <c r="A39" s="472"/>
      <c r="B39" s="422" t="s">
        <v>2748</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318"/>
      <c r="Q39" s="1810" t="str">
        <f t="shared" ref="Q39:Q45" si="14">B39</f>
        <v>宗地形状</v>
      </c>
      <c r="R39" s="774" t="s">
        <v>17</v>
      </c>
      <c r="S39" s="775">
        <f t="shared" si="10"/>
        <v>100</v>
      </c>
      <c r="T39" s="774" t="s">
        <v>17</v>
      </c>
      <c r="U39" s="775">
        <f t="shared" si="11"/>
        <v>100</v>
      </c>
      <c r="V39" s="774" t="s">
        <v>17</v>
      </c>
      <c r="W39" s="775">
        <f t="shared" si="12"/>
        <v>100</v>
      </c>
      <c r="X39" s="1813"/>
      <c r="Y39" s="3318"/>
      <c r="Z39" s="1814" t="str">
        <f t="shared" si="13"/>
        <v>宗地形状</v>
      </c>
      <c r="AA39" s="1811">
        <f t="shared" si="3"/>
        <v>1</v>
      </c>
      <c r="AB39" s="1811">
        <f t="shared" si="4"/>
        <v>1</v>
      </c>
      <c r="AC39" s="1811">
        <f t="shared" si="5"/>
        <v>1</v>
      </c>
    </row>
    <row r="40" spans="1:29" ht="15">
      <c r="A40" s="472"/>
      <c r="B40" s="422" t="s">
        <v>2749</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318"/>
      <c r="Q40" s="1810" t="str">
        <f t="shared" si="14"/>
        <v>临街宽度及深度</v>
      </c>
      <c r="R40" s="774" t="s">
        <v>17</v>
      </c>
      <c r="S40" s="775">
        <f t="shared" si="10"/>
        <v>100</v>
      </c>
      <c r="T40" s="774" t="s">
        <v>17</v>
      </c>
      <c r="U40" s="775">
        <f t="shared" si="11"/>
        <v>100</v>
      </c>
      <c r="V40" s="774" t="s">
        <v>17</v>
      </c>
      <c r="W40" s="775">
        <f t="shared" si="12"/>
        <v>100</v>
      </c>
      <c r="X40" s="1813"/>
      <c r="Y40" s="3318"/>
      <c r="Z40" s="1814" t="str">
        <f t="shared" si="13"/>
        <v>临街宽度及深度</v>
      </c>
      <c r="AA40" s="1811">
        <f t="shared" si="3"/>
        <v>1</v>
      </c>
      <c r="AB40" s="1811">
        <f t="shared" si="4"/>
        <v>1</v>
      </c>
      <c r="AC40" s="1811">
        <f t="shared" si="5"/>
        <v>1</v>
      </c>
    </row>
    <row r="41" spans="1:29" s="117" customFormat="1" ht="15">
      <c r="A41" s="473"/>
      <c r="B41" s="422" t="s">
        <v>2750</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318"/>
      <c r="Q41" s="1810" t="str">
        <f t="shared" si="14"/>
        <v>宗地开发程度</v>
      </c>
      <c r="R41" s="770" t="s">
        <v>17</v>
      </c>
      <c r="S41" s="771">
        <f t="shared" si="10"/>
        <v>100</v>
      </c>
      <c r="T41" s="770" t="s">
        <v>17</v>
      </c>
      <c r="U41" s="771">
        <f t="shared" si="11"/>
        <v>100</v>
      </c>
      <c r="V41" s="770" t="s">
        <v>17</v>
      </c>
      <c r="W41" s="771">
        <f t="shared" si="12"/>
        <v>100</v>
      </c>
      <c r="X41" s="772"/>
      <c r="Y41" s="3318"/>
      <c r="Z41" s="55" t="str">
        <f t="shared" si="13"/>
        <v>宗地开发程度</v>
      </c>
      <c r="AA41" s="773">
        <f t="shared" si="3"/>
        <v>1</v>
      </c>
      <c r="AB41" s="773">
        <f t="shared" si="4"/>
        <v>1</v>
      </c>
      <c r="AC41" s="773">
        <f t="shared" si="5"/>
        <v>1</v>
      </c>
    </row>
    <row r="42" spans="1:29" ht="15">
      <c r="A42" s="472"/>
      <c r="B42" s="422" t="s">
        <v>2751</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318" t="s">
        <v>2561</v>
      </c>
      <c r="Q42" s="1810" t="str">
        <f t="shared" si="14"/>
        <v>工程地质条件</v>
      </c>
      <c r="R42" s="774" t="s">
        <v>17</v>
      </c>
      <c r="S42" s="775">
        <f t="shared" si="10"/>
        <v>100</v>
      </c>
      <c r="T42" s="774" t="s">
        <v>17</v>
      </c>
      <c r="U42" s="775">
        <f t="shared" si="11"/>
        <v>100</v>
      </c>
      <c r="V42" s="774" t="s">
        <v>17</v>
      </c>
      <c r="W42" s="775">
        <f t="shared" si="12"/>
        <v>100</v>
      </c>
      <c r="X42" s="1813"/>
      <c r="Y42" s="3318"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18"/>
      <c r="Q43" s="1810">
        <f t="shared" si="14"/>
        <v>111</v>
      </c>
      <c r="R43" s="774" t="s">
        <v>17</v>
      </c>
      <c r="S43" s="775">
        <f t="shared" si="10"/>
        <v>100</v>
      </c>
      <c r="T43" s="774" t="s">
        <v>17</v>
      </c>
      <c r="U43" s="775">
        <f t="shared" si="11"/>
        <v>100</v>
      </c>
      <c r="V43" s="774" t="s">
        <v>17</v>
      </c>
      <c r="W43" s="775">
        <f t="shared" si="12"/>
        <v>100</v>
      </c>
      <c r="X43" s="1813"/>
      <c r="Y43" s="331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18"/>
      <c r="Q44" s="1810">
        <f t="shared" si="14"/>
        <v>111</v>
      </c>
      <c r="R44" s="774" t="s">
        <v>17</v>
      </c>
      <c r="S44" s="775">
        <f t="shared" si="10"/>
        <v>100</v>
      </c>
      <c r="T44" s="774" t="s">
        <v>17</v>
      </c>
      <c r="U44" s="775">
        <f t="shared" si="11"/>
        <v>100</v>
      </c>
      <c r="V44" s="774" t="s">
        <v>17</v>
      </c>
      <c r="W44" s="775">
        <f t="shared" si="12"/>
        <v>100</v>
      </c>
      <c r="X44" s="1813"/>
      <c r="Y44" s="3318"/>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18"/>
      <c r="Q45" s="1810">
        <f t="shared" si="14"/>
        <v>111</v>
      </c>
      <c r="R45" s="777" t="s">
        <v>17</v>
      </c>
      <c r="S45" s="778">
        <f t="shared" si="10"/>
        <v>100</v>
      </c>
      <c r="T45" s="777" t="s">
        <v>17</v>
      </c>
      <c r="U45" s="778">
        <f t="shared" si="11"/>
        <v>100</v>
      </c>
      <c r="V45" s="777" t="s">
        <v>17</v>
      </c>
      <c r="W45" s="778">
        <f t="shared" si="12"/>
        <v>100</v>
      </c>
      <c r="X45" s="779"/>
      <c r="Y45" s="3318"/>
      <c r="Z45" s="780">
        <f t="shared" si="13"/>
        <v>111</v>
      </c>
      <c r="AA45" s="1811">
        <f t="shared" si="3"/>
        <v>1</v>
      </c>
      <c r="AB45" s="1811">
        <f t="shared" si="4"/>
        <v>1</v>
      </c>
      <c r="AC45" s="1811">
        <f t="shared" si="5"/>
        <v>1</v>
      </c>
    </row>
    <row r="46" spans="1:29" ht="15">
      <c r="A46" s="479" t="s">
        <v>2716</v>
      </c>
      <c r="B46" s="2707" t="s">
        <v>2752</v>
      </c>
      <c r="C46" s="682" t="s">
        <v>1</v>
      </c>
      <c r="D46" s="481"/>
      <c r="E46" s="482"/>
      <c r="F46" s="483"/>
      <c r="G46" s="484"/>
      <c r="H46" s="485"/>
      <c r="I46" s="482"/>
      <c r="J46" s="485"/>
      <c r="K46" s="783"/>
      <c r="L46" s="1143"/>
      <c r="M46" s="1144"/>
      <c r="N46" s="1131"/>
      <c r="O46" s="1144"/>
      <c r="P46" s="3311" t="str">
        <f>A46</f>
        <v>成交单价</v>
      </c>
      <c r="Q46" s="3311"/>
      <c r="R46" s="3342">
        <f>E46</f>
        <v>0</v>
      </c>
      <c r="S46" s="3342"/>
      <c r="T46" s="3342">
        <f>G46</f>
        <v>0</v>
      </c>
      <c r="U46" s="3342"/>
      <c r="V46" s="3342">
        <f>I46</f>
        <v>0</v>
      </c>
      <c r="W46" s="3342"/>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311" t="str">
        <f>A47</f>
        <v>比较价值（元/平方米）</v>
      </c>
      <c r="Q47" s="3311"/>
      <c r="R47" s="3370" t="e">
        <f>ROUND(PRODUCT(R46,AA7:AA45),0)</f>
        <v>#DIV/0!</v>
      </c>
      <c r="S47" s="3370"/>
      <c r="T47" s="3370" t="e">
        <f>ROUND(PRODUCT(T46,AB7:AB45),0)</f>
        <v>#DIV/0!</v>
      </c>
      <c r="U47" s="3370"/>
      <c r="V47" s="3370" t="e">
        <f>ROUND(PRODUCT(V46,AC7:AC45),0)</f>
        <v>#DIV/0!</v>
      </c>
      <c r="W47" s="3370"/>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308" t="str">
        <f>A48</f>
        <v>估价对象XX用房的比较价值（楼面单价，元/平方米）</v>
      </c>
      <c r="Q48" s="3309"/>
      <c r="R48" s="3371" t="e">
        <f>ROUND(AVERAGE(R47:V47),0)</f>
        <v>#DIV/0!</v>
      </c>
      <c r="S48" s="3371"/>
      <c r="T48" s="3371"/>
      <c r="U48" s="3371"/>
      <c r="V48" s="3371"/>
      <c r="W48" s="337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8" t="s">
        <v>2756</v>
      </c>
      <c r="D55" s="2709" t="s">
        <v>2757</v>
      </c>
      <c r="E55" s="686" t="s">
        <v>2758</v>
      </c>
      <c r="F55" s="1107" t="s">
        <v>2759</v>
      </c>
      <c r="G55" s="3326" t="s">
        <v>2760</v>
      </c>
      <c r="H55" s="3372"/>
      <c r="I55" s="144" t="s">
        <v>2761</v>
      </c>
      <c r="J55" s="2710">
        <f>项目基本情况!F35</f>
        <v>0</v>
      </c>
      <c r="K55" s="2711" t="s">
        <v>2762</v>
      </c>
      <c r="L55" s="1106"/>
      <c r="M55" s="1144"/>
      <c r="N55" s="1144"/>
      <c r="O55" s="1144"/>
    </row>
    <row r="56" spans="1:15" s="692" customFormat="1">
      <c r="A56" s="688" t="s">
        <v>2763</v>
      </c>
      <c r="B56" s="689" t="e">
        <f>C48</f>
        <v>#DIV/0!</v>
      </c>
      <c r="C56" s="690">
        <v>1</v>
      </c>
      <c r="D56" s="1163">
        <v>1</v>
      </c>
      <c r="E56" s="690">
        <f>'数据-汇总表'!E8+'数据-汇总表'!E9</f>
        <v>27202.3</v>
      </c>
      <c r="F56" s="1103" t="e">
        <f t="shared" ref="F56:F65" si="15">ROUND(B56*E56/10000,0)</f>
        <v>#DIV/0!</v>
      </c>
      <c r="G56" s="3322"/>
      <c r="H56" s="3311"/>
      <c r="I56" s="1108">
        <v>1</v>
      </c>
      <c r="J56" s="1111">
        <v>1</v>
      </c>
      <c r="K56" s="1145"/>
      <c r="L56" s="941"/>
      <c r="M56" s="941"/>
      <c r="N56" s="941"/>
      <c r="O56" s="941"/>
    </row>
    <row r="57" spans="1:15" s="692" customFormat="1">
      <c r="A57" s="693" t="s">
        <v>2764</v>
      </c>
      <c r="B57" s="262" t="e">
        <f>ROUND($C$48*C57*D57,0)</f>
        <v>#DIV/0!</v>
      </c>
      <c r="C57" s="200">
        <f t="shared" ref="C57:C65" si="16">IF($C$55="北京市系数",I57,J57)</f>
        <v>0.8</v>
      </c>
      <c r="D57" s="1164">
        <v>0.25</v>
      </c>
      <c r="E57" s="694"/>
      <c r="F57" s="1103" t="e">
        <f t="shared" si="15"/>
        <v>#DIV/0!</v>
      </c>
      <c r="G57" s="3373" t="s">
        <v>2765</v>
      </c>
      <c r="H57" s="1104" t="str">
        <f>项目基本情况!B37</f>
        <v>二级</v>
      </c>
      <c r="I57" s="1108">
        <f>SUMIF(修正!A45:A56,H57,修正!B45:B56)</f>
        <v>0.8</v>
      </c>
      <c r="J57" s="1112"/>
      <c r="K57" s="1144"/>
      <c r="L57" s="941"/>
      <c r="M57" s="941"/>
      <c r="N57" s="941"/>
      <c r="O57" s="941"/>
    </row>
    <row r="58" spans="1:15" s="692" customFormat="1">
      <c r="A58" s="693" t="s">
        <v>2766</v>
      </c>
      <c r="B58" s="262" t="e">
        <f t="shared" ref="B58:B65" si="17">ROUND($C$48*C58*D58,0)</f>
        <v>#DIV/0!</v>
      </c>
      <c r="C58" s="200">
        <f t="shared" si="16"/>
        <v>0.5</v>
      </c>
      <c r="D58" s="1164">
        <v>0.25</v>
      </c>
      <c r="E58" s="694"/>
      <c r="F58" s="1103" t="e">
        <f t="shared" si="15"/>
        <v>#DIV/0!</v>
      </c>
      <c r="G58" s="3373"/>
      <c r="H58" s="1104" t="str">
        <f>项目基本情况!B37</f>
        <v>二级</v>
      </c>
      <c r="I58" s="1108">
        <f>SUMIF(修正!A45:A56,H58,修正!C45:C56)</f>
        <v>0.5</v>
      </c>
      <c r="J58" s="1112"/>
      <c r="K58" s="1145"/>
      <c r="L58" s="941"/>
      <c r="M58" s="941"/>
      <c r="N58" s="941"/>
      <c r="O58" s="941"/>
    </row>
    <row r="59" spans="1:15" s="692" customFormat="1">
      <c r="A59" s="693" t="s">
        <v>2767</v>
      </c>
      <c r="B59" s="262" t="e">
        <f t="shared" si="17"/>
        <v>#DIV/0!</v>
      </c>
      <c r="C59" s="200">
        <f t="shared" si="16"/>
        <v>0.36</v>
      </c>
      <c r="D59" s="1164">
        <v>0.25</v>
      </c>
      <c r="E59" s="694"/>
      <c r="F59" s="1103" t="e">
        <f t="shared" si="15"/>
        <v>#DIV/0!</v>
      </c>
      <c r="G59" s="3373"/>
      <c r="H59" s="1104" t="str">
        <f>项目基本情况!B37</f>
        <v>二级</v>
      </c>
      <c r="I59" s="1108">
        <f>SUMIF(修正!A45:A56,H59,修正!D45:D56)</f>
        <v>0.36</v>
      </c>
      <c r="J59" s="1112"/>
      <c r="K59" s="1144"/>
      <c r="L59" s="941"/>
      <c r="M59" s="941"/>
      <c r="N59" s="941"/>
      <c r="O59" s="941"/>
    </row>
    <row r="60" spans="1:15" s="692" customFormat="1">
      <c r="A60" s="693" t="s">
        <v>2768</v>
      </c>
      <c r="B60" s="262" t="e">
        <f t="shared" si="17"/>
        <v>#DIV/0!</v>
      </c>
      <c r="C60" s="200">
        <f t="shared" si="16"/>
        <v>0.3</v>
      </c>
      <c r="D60" s="1164">
        <v>0.25</v>
      </c>
      <c r="E60" s="694"/>
      <c r="F60" s="1103" t="e">
        <f t="shared" si="15"/>
        <v>#DIV/0!</v>
      </c>
      <c r="G60" s="3373"/>
      <c r="H60" s="1104" t="str">
        <f>项目基本情况!B37</f>
        <v>二级</v>
      </c>
      <c r="I60" s="1108">
        <f>SUMIF(修正!A45:A56,H60,修正!E45:E56)</f>
        <v>0.3</v>
      </c>
      <c r="J60" s="1112"/>
      <c r="K60" s="1145"/>
      <c r="L60" s="941"/>
      <c r="M60" s="941"/>
      <c r="N60" s="941"/>
      <c r="O60" s="941"/>
    </row>
    <row r="61" spans="1:15" s="692" customFormat="1">
      <c r="A61" s="693" t="s">
        <v>2769</v>
      </c>
      <c r="B61" s="262" t="e">
        <f t="shared" si="17"/>
        <v>#DIV/0!</v>
      </c>
      <c r="C61" s="200">
        <f t="shared" si="16"/>
        <v>0.3</v>
      </c>
      <c r="D61" s="1164">
        <v>0.25</v>
      </c>
      <c r="E61" s="261">
        <f>'数据-汇总表'!E11</f>
        <v>0</v>
      </c>
      <c r="F61" s="1103" t="e">
        <f t="shared" si="15"/>
        <v>#DIV/0!</v>
      </c>
      <c r="G61" s="2712" t="s">
        <v>2770</v>
      </c>
      <c r="H61" s="1104" t="str">
        <f>项目基本情况!C37</f>
        <v>二级</v>
      </c>
      <c r="I61" s="1108">
        <f>SUMIF(修正!A45:A56,H61,修正!F45:F56)</f>
        <v>0.3</v>
      </c>
      <c r="J61" s="1112"/>
      <c r="K61" s="1144"/>
      <c r="L61" s="941"/>
      <c r="M61" s="941"/>
      <c r="N61" s="941"/>
      <c r="O61" s="941"/>
    </row>
    <row r="62" spans="1:15" s="692" customFormat="1">
      <c r="A62" s="693" t="s">
        <v>2771</v>
      </c>
      <c r="B62" s="262" t="e">
        <f t="shared" si="17"/>
        <v>#DIV/0!</v>
      </c>
      <c r="C62" s="200">
        <f t="shared" si="16"/>
        <v>0.3</v>
      </c>
      <c r="D62" s="1164">
        <v>0.25</v>
      </c>
      <c r="E62" s="261">
        <f>'数据-汇总表'!E12</f>
        <v>0</v>
      </c>
      <c r="F62" s="1103" t="e">
        <f t="shared" si="15"/>
        <v>#DIV/0!</v>
      </c>
      <c r="G62" s="1109" t="s">
        <v>2772</v>
      </c>
      <c r="H62" s="1104" t="str">
        <f>IF(G62="商业",项目基本情况!B37,IF(G62="办公",项目基本情况!C37,IF(G62="住宅",项目基本情况!D37,项目基本情况!E37)))</f>
        <v>二级</v>
      </c>
      <c r="I62" s="1108">
        <f>SUMIF(修正!A45:A56,H62,修正!G45:G56)</f>
        <v>0.3</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0.25</v>
      </c>
      <c r="D64" s="1164">
        <v>0.25</v>
      </c>
      <c r="E64" s="261">
        <f>'数据-汇总表'!E14</f>
        <v>0</v>
      </c>
      <c r="F64" s="1103" t="e">
        <f t="shared" si="15"/>
        <v>#DIV/0!</v>
      </c>
      <c r="G64" s="2712" t="s">
        <v>2765</v>
      </c>
      <c r="H64" s="1104" t="str">
        <f>项目基本情况!B37</f>
        <v>二级</v>
      </c>
      <c r="I64" s="1108">
        <f>SUMIF(修正!A45:A56,H64,修正!H45:H56)</f>
        <v>0.25</v>
      </c>
      <c r="J64" s="1112"/>
      <c r="K64" s="1145"/>
      <c r="L64" s="941"/>
      <c r="M64" s="941"/>
      <c r="N64" s="941"/>
      <c r="O64" s="941"/>
    </row>
    <row r="65" spans="1:17" s="692" customFormat="1" ht="15" thickBot="1">
      <c r="A65" s="693" t="s">
        <v>2776</v>
      </c>
      <c r="B65" s="262" t="e">
        <f t="shared" si="17"/>
        <v>#DIV/0!</v>
      </c>
      <c r="C65" s="200">
        <f t="shared" si="16"/>
        <v>0.25</v>
      </c>
      <c r="D65" s="1164">
        <v>0.25</v>
      </c>
      <c r="E65" s="261">
        <f>'数据-汇总表'!E15</f>
        <v>0</v>
      </c>
      <c r="F65" s="1103" t="e">
        <f t="shared" si="15"/>
        <v>#DIV/0!</v>
      </c>
      <c r="G65" s="2713" t="s">
        <v>2770</v>
      </c>
      <c r="H65" s="1114" t="str">
        <f>项目基本情况!C37</f>
        <v>二级</v>
      </c>
      <c r="I65" s="1110">
        <f>SUMIF(修正!A45:A56,H65,修正!H45:H56)</f>
        <v>0.25</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27202.3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4" t="s">
        <v>2778</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5" t="s">
        <v>2779</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4"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33" sqref="J3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326" t="s">
        <v>2642</v>
      </c>
      <c r="D4" s="3327"/>
      <c r="E4" s="3328" t="s">
        <v>2643</v>
      </c>
      <c r="F4" s="3329"/>
      <c r="G4" s="3326" t="s">
        <v>2644</v>
      </c>
      <c r="H4" s="3327"/>
      <c r="I4" s="3326" t="s">
        <v>2645</v>
      </c>
      <c r="J4" s="3327"/>
      <c r="K4" s="610" t="s">
        <v>2646</v>
      </c>
      <c r="L4" s="1130"/>
      <c r="M4" s="1131"/>
      <c r="N4" s="1131"/>
      <c r="O4" s="1131"/>
      <c r="P4" s="3330" t="s">
        <v>2647</v>
      </c>
      <c r="Q4" s="3331"/>
      <c r="R4" s="3336" t="s">
        <v>2643</v>
      </c>
      <c r="S4" s="3337"/>
      <c r="T4" s="3336" t="s">
        <v>2644</v>
      </c>
      <c r="U4" s="3337"/>
      <c r="V4" s="3342" t="s">
        <v>2645</v>
      </c>
      <c r="W4" s="3342"/>
      <c r="X4" s="1813"/>
      <c r="Y4" s="3336" t="s">
        <v>2647</v>
      </c>
      <c r="Z4" s="3337"/>
      <c r="AA4" s="3323" t="s">
        <v>2643</v>
      </c>
      <c r="AB4" s="3324" t="s">
        <v>2644</v>
      </c>
      <c r="AC4" s="3323" t="s">
        <v>2645</v>
      </c>
    </row>
    <row r="5" spans="1:29" ht="15">
      <c r="A5" s="404"/>
      <c r="B5" s="405"/>
      <c r="C5" s="3345" t="s">
        <v>2538</v>
      </c>
      <c r="D5" s="3346"/>
      <c r="E5" s="3352" t="s">
        <v>2539</v>
      </c>
      <c r="F5" s="3353"/>
      <c r="G5" s="3345" t="s">
        <v>2540</v>
      </c>
      <c r="H5" s="3346"/>
      <c r="I5" s="3345" t="s">
        <v>2541</v>
      </c>
      <c r="J5" s="3346"/>
      <c r="K5" s="610"/>
      <c r="L5" s="1130"/>
      <c r="M5" s="1131"/>
      <c r="N5" s="1131"/>
      <c r="O5" s="1131"/>
      <c r="P5" s="3332"/>
      <c r="Q5" s="3333"/>
      <c r="R5" s="3338"/>
      <c r="S5" s="3339"/>
      <c r="T5" s="3338"/>
      <c r="U5" s="3339"/>
      <c r="V5" s="3342"/>
      <c r="W5" s="3342"/>
      <c r="X5" s="1813"/>
      <c r="Y5" s="3338"/>
      <c r="Z5" s="3339"/>
      <c r="AA5" s="3324"/>
      <c r="AB5" s="3324"/>
      <c r="AC5" s="3324"/>
    </row>
    <row r="6" spans="1:29" ht="15.75" thickBot="1">
      <c r="A6" s="406"/>
      <c r="B6" s="407"/>
      <c r="C6" s="3374" t="s">
        <v>2793</v>
      </c>
      <c r="D6" s="3375"/>
      <c r="E6" s="3376" t="s">
        <v>2793</v>
      </c>
      <c r="F6" s="3377"/>
      <c r="G6" s="3374" t="s">
        <v>2793</v>
      </c>
      <c r="H6" s="3375"/>
      <c r="I6" s="3374" t="s">
        <v>2793</v>
      </c>
      <c r="J6" s="3375"/>
      <c r="K6" s="610" t="s">
        <v>2543</v>
      </c>
      <c r="L6" s="1130"/>
      <c r="M6" s="1131"/>
      <c r="N6" s="1131"/>
      <c r="O6" s="1131"/>
      <c r="P6" s="3334"/>
      <c r="Q6" s="3335"/>
      <c r="R6" s="3338"/>
      <c r="S6" s="3339"/>
      <c r="T6" s="3340"/>
      <c r="U6" s="3341"/>
      <c r="V6" s="3342"/>
      <c r="W6" s="3342"/>
      <c r="X6" s="1813"/>
      <c r="Y6" s="3340"/>
      <c r="Z6" s="3341"/>
      <c r="AA6" s="3325"/>
      <c r="AB6" s="3325"/>
      <c r="AC6" s="3325"/>
    </row>
    <row r="7" spans="1:29" s="117" customFormat="1" ht="15.75" thickBot="1">
      <c r="A7" s="408" t="s">
        <v>2544</v>
      </c>
      <c r="B7" s="409"/>
      <c r="C7" s="410">
        <f>'数据-取费表'!B2</f>
        <v>43592</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347" t="s">
        <v>2545</v>
      </c>
      <c r="Q7" s="3349"/>
      <c r="R7" s="770" t="s">
        <v>17</v>
      </c>
      <c r="S7" s="771">
        <f t="shared" ref="S7:S15" si="0">F7</f>
        <v>0</v>
      </c>
      <c r="T7" s="770" t="s">
        <v>17</v>
      </c>
      <c r="U7" s="771">
        <f t="shared" ref="U7:U15" si="1">H7</f>
        <v>0</v>
      </c>
      <c r="V7" s="770" t="s">
        <v>17</v>
      </c>
      <c r="W7" s="771">
        <f t="shared" ref="W7:W15" si="2">J7</f>
        <v>0</v>
      </c>
      <c r="X7" s="772"/>
      <c r="Y7" s="3347" t="s">
        <v>2545</v>
      </c>
      <c r="Z7" s="3348"/>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347" t="s">
        <v>2548</v>
      </c>
      <c r="Q8" s="3348"/>
      <c r="R8" s="770" t="s">
        <v>17</v>
      </c>
      <c r="S8" s="771">
        <f t="shared" si="0"/>
        <v>0</v>
      </c>
      <c r="T8" s="770" t="s">
        <v>17</v>
      </c>
      <c r="U8" s="771">
        <f t="shared" si="1"/>
        <v>0</v>
      </c>
      <c r="V8" s="770" t="s">
        <v>17</v>
      </c>
      <c r="W8" s="771">
        <f t="shared" si="2"/>
        <v>0</v>
      </c>
      <c r="X8" s="772"/>
      <c r="Y8" s="3347" t="s">
        <v>2548</v>
      </c>
      <c r="Z8" s="3348"/>
      <c r="AA8" s="773" t="e">
        <f t="shared" ref="AA8:AA40" si="3">D8/F8</f>
        <v>#DIV/0!</v>
      </c>
      <c r="AB8" s="773" t="e">
        <f t="shared" ref="AB8:AB40" si="4">D8/H8</f>
        <v>#DIV/0!</v>
      </c>
      <c r="AC8" s="773" t="e">
        <f t="shared" ref="AC8:AC40" si="5">D8/J8</f>
        <v>#DIV/0!</v>
      </c>
    </row>
    <row r="9" spans="1:29" s="117" customFormat="1">
      <c r="A9" s="415" t="s">
        <v>2549</v>
      </c>
      <c r="B9" s="71" t="s">
        <v>2550</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311" t="s">
        <v>2551</v>
      </c>
      <c r="Q9" s="1795" t="str">
        <f t="shared" ref="Q9:Q15" si="6">B9</f>
        <v>用途</v>
      </c>
      <c r="R9" s="770" t="s">
        <v>17</v>
      </c>
      <c r="S9" s="771">
        <f t="shared" si="0"/>
        <v>100</v>
      </c>
      <c r="T9" s="770" t="s">
        <v>17</v>
      </c>
      <c r="U9" s="771">
        <f t="shared" si="1"/>
        <v>100</v>
      </c>
      <c r="V9" s="770" t="s">
        <v>17</v>
      </c>
      <c r="W9" s="771">
        <f t="shared" si="2"/>
        <v>100</v>
      </c>
      <c r="X9" s="772"/>
      <c r="Y9" s="3088"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 ca="1">ROUND(100/'数据-取费表'!G16,0)</f>
        <v>124</v>
      </c>
      <c r="G10" s="432"/>
      <c r="H10" s="136">
        <f ca="1">ROUND(100/'数据-取费表'!G16,0)</f>
        <v>124</v>
      </c>
      <c r="I10" s="432"/>
      <c r="J10" s="136">
        <f ca="1">ROUND(100/'数据-取费表'!G16,0)</f>
        <v>124</v>
      </c>
      <c r="K10" s="672"/>
      <c r="L10" s="1135"/>
      <c r="M10" s="1136"/>
      <c r="N10" s="1136"/>
      <c r="O10" s="1137"/>
      <c r="P10" s="3311"/>
      <c r="Q10" s="1795" t="str">
        <f t="shared" si="6"/>
        <v>土地使用年限（年）</v>
      </c>
      <c r="R10" s="770" t="s">
        <v>17</v>
      </c>
      <c r="S10" s="771">
        <f t="shared" ca="1" si="0"/>
        <v>124</v>
      </c>
      <c r="T10" s="770" t="s">
        <v>17</v>
      </c>
      <c r="U10" s="771">
        <f t="shared" ca="1" si="1"/>
        <v>124</v>
      </c>
      <c r="V10" s="770" t="s">
        <v>17</v>
      </c>
      <c r="W10" s="771">
        <f t="shared" ca="1" si="2"/>
        <v>124</v>
      </c>
      <c r="X10" s="772"/>
      <c r="Y10" s="3088"/>
      <c r="Z10" s="55" t="str">
        <f t="shared" si="7"/>
        <v>土地使用年限（年）</v>
      </c>
      <c r="AA10" s="773">
        <f t="shared" ca="1" si="3"/>
        <v>0.80645161290322576</v>
      </c>
      <c r="AB10" s="773">
        <f t="shared" ca="1" si="4"/>
        <v>0.80645161290322576</v>
      </c>
      <c r="AC10" s="773">
        <f t="shared" ca="1" si="5"/>
        <v>0.80645161290322576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311"/>
      <c r="Q11" s="1795" t="str">
        <f t="shared" si="6"/>
        <v>容积率</v>
      </c>
      <c r="R11" s="770" t="s">
        <v>17</v>
      </c>
      <c r="S11" s="771" t="e">
        <f t="shared" si="0"/>
        <v>#N/A</v>
      </c>
      <c r="T11" s="770" t="s">
        <v>17</v>
      </c>
      <c r="U11" s="771" t="e">
        <f t="shared" si="1"/>
        <v>#N/A</v>
      </c>
      <c r="V11" s="770" t="s">
        <v>17</v>
      </c>
      <c r="W11" s="771" t="e">
        <f t="shared" si="2"/>
        <v>#N/A</v>
      </c>
      <c r="X11" s="772"/>
      <c r="Y11" s="3088"/>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311"/>
      <c r="Q12" s="1795">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311"/>
      <c r="Q13" s="1795">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311"/>
      <c r="Q14" s="1795">
        <f t="shared" si="6"/>
        <v>111</v>
      </c>
      <c r="R14" s="770" t="s">
        <v>17</v>
      </c>
      <c r="S14" s="771">
        <f t="shared" si="0"/>
        <v>100</v>
      </c>
      <c r="T14" s="770" t="s">
        <v>17</v>
      </c>
      <c r="U14" s="771">
        <f t="shared" si="1"/>
        <v>100</v>
      </c>
      <c r="V14" s="770" t="s">
        <v>17</v>
      </c>
      <c r="W14" s="771">
        <f t="shared" si="2"/>
        <v>100</v>
      </c>
      <c r="X14" s="772"/>
      <c r="Y14" s="3088"/>
      <c r="Z14" s="55">
        <f t="shared" si="7"/>
        <v>111</v>
      </c>
      <c r="AA14" s="773">
        <f t="shared" si="3"/>
        <v>1</v>
      </c>
      <c r="AB14" s="773">
        <f t="shared" si="4"/>
        <v>1</v>
      </c>
      <c r="AC14" s="773">
        <f t="shared" si="5"/>
        <v>1</v>
      </c>
    </row>
    <row r="15" spans="1:29" ht="57">
      <c r="A15" s="440" t="s">
        <v>2555</v>
      </c>
      <c r="B15" s="629" t="s">
        <v>2794</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313" t="s">
        <v>2556</v>
      </c>
      <c r="Q15" s="1810" t="str">
        <f t="shared" si="6"/>
        <v>产业集聚程度</v>
      </c>
      <c r="R15" s="774" t="s">
        <v>17</v>
      </c>
      <c r="S15" s="775">
        <f t="shared" si="0"/>
        <v>100</v>
      </c>
      <c r="T15" s="774" t="s">
        <v>17</v>
      </c>
      <c r="U15" s="775">
        <f t="shared" si="1"/>
        <v>100</v>
      </c>
      <c r="V15" s="774" t="s">
        <v>17</v>
      </c>
      <c r="W15" s="775">
        <f t="shared" si="2"/>
        <v>100</v>
      </c>
      <c r="X15" s="1813"/>
      <c r="Y15" s="3313" t="s">
        <v>2556</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314"/>
      <c r="Q16" s="1810"/>
      <c r="R16" s="774"/>
      <c r="S16" s="775"/>
      <c r="T16" s="774"/>
      <c r="U16" s="775"/>
      <c r="V16" s="774"/>
      <c r="W16" s="775"/>
      <c r="X16" s="1813"/>
      <c r="Y16" s="3314"/>
      <c r="Z16" s="1814"/>
      <c r="AA16" s="1811">
        <v>1</v>
      </c>
      <c r="AB16" s="1811">
        <v>1</v>
      </c>
      <c r="AC16" s="1811">
        <v>1</v>
      </c>
    </row>
    <row r="17" spans="1:29" ht="85.5">
      <c r="A17" s="428"/>
      <c r="B17" s="631" t="s">
        <v>2705</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314"/>
      <c r="Q17" s="1810" t="str">
        <f>B17</f>
        <v>交通便捷度</v>
      </c>
      <c r="R17" s="774" t="s">
        <v>17</v>
      </c>
      <c r="S17" s="775">
        <f>F17</f>
        <v>100</v>
      </c>
      <c r="T17" s="774" t="s">
        <v>17</v>
      </c>
      <c r="U17" s="775">
        <f>H17</f>
        <v>100</v>
      </c>
      <c r="V17" s="774" t="s">
        <v>17</v>
      </c>
      <c r="W17" s="775">
        <f>J17</f>
        <v>100</v>
      </c>
      <c r="X17" s="1813"/>
      <c r="Y17" s="3314"/>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314"/>
      <c r="Q18" s="1810"/>
      <c r="R18" s="774"/>
      <c r="S18" s="775"/>
      <c r="T18" s="774"/>
      <c r="U18" s="775"/>
      <c r="V18" s="774"/>
      <c r="W18" s="775"/>
      <c r="X18" s="1813"/>
      <c r="Y18" s="3314"/>
      <c r="Z18" s="1814"/>
      <c r="AA18" s="1811">
        <v>1</v>
      </c>
      <c r="AB18" s="1811">
        <v>1</v>
      </c>
      <c r="AC18" s="1811">
        <v>1</v>
      </c>
    </row>
    <row r="19" spans="1:29" ht="15">
      <c r="A19" s="428"/>
      <c r="B19" s="631" t="s">
        <v>2744</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314"/>
      <c r="Q19" s="1810" t="str">
        <f t="shared" ref="Q19:Q33" si="8">B19</f>
        <v>区域土地利用方向</v>
      </c>
      <c r="R19" s="774" t="s">
        <v>17</v>
      </c>
      <c r="S19" s="775">
        <f>F19</f>
        <v>100</v>
      </c>
      <c r="T19" s="774" t="s">
        <v>17</v>
      </c>
      <c r="U19" s="775">
        <f>H19</f>
        <v>100</v>
      </c>
      <c r="V19" s="774" t="s">
        <v>17</v>
      </c>
      <c r="W19" s="775">
        <f>J19</f>
        <v>100</v>
      </c>
      <c r="X19" s="1813"/>
      <c r="Y19" s="3314"/>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314"/>
      <c r="Q20" s="1810"/>
      <c r="R20" s="774"/>
      <c r="S20" s="775"/>
      <c r="T20" s="774"/>
      <c r="U20" s="775"/>
      <c r="V20" s="774"/>
      <c r="W20" s="775"/>
      <c r="X20" s="1813"/>
      <c r="Y20" s="3314"/>
      <c r="Z20" s="1814"/>
      <c r="AA20" s="1811"/>
      <c r="AB20" s="1811"/>
      <c r="AC20" s="1811"/>
    </row>
    <row r="21" spans="1:29" ht="71.25">
      <c r="A21" s="404"/>
      <c r="B21" s="631" t="s">
        <v>2795</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314"/>
      <c r="Q21" s="1810" t="str">
        <f t="shared" si="8"/>
        <v>环境状况</v>
      </c>
      <c r="R21" s="774" t="s">
        <v>17</v>
      </c>
      <c r="S21" s="775">
        <f>F21</f>
        <v>100</v>
      </c>
      <c r="T21" s="774" t="s">
        <v>17</v>
      </c>
      <c r="U21" s="775">
        <f>H21</f>
        <v>100</v>
      </c>
      <c r="V21" s="774" t="s">
        <v>17</v>
      </c>
      <c r="W21" s="775">
        <f>J21</f>
        <v>100</v>
      </c>
      <c r="X21" s="1813"/>
      <c r="Y21" s="3314"/>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314"/>
      <c r="Q22" s="1810"/>
      <c r="R22" s="774"/>
      <c r="S22" s="775"/>
      <c r="T22" s="774"/>
      <c r="U22" s="775"/>
      <c r="V22" s="774"/>
      <c r="W22" s="775"/>
      <c r="X22" s="1813"/>
      <c r="Y22" s="3314"/>
      <c r="Z22" s="1814"/>
      <c r="AA22" s="1811">
        <v>1</v>
      </c>
      <c r="AB22" s="1811">
        <v>1</v>
      </c>
      <c r="AC22" s="1811">
        <v>1</v>
      </c>
    </row>
    <row r="23" spans="1:29" s="117" customFormat="1" ht="42.75">
      <c r="A23" s="649"/>
      <c r="B23" s="633" t="s">
        <v>2650</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314"/>
      <c r="Q23" s="1795" t="str">
        <f t="shared" si="8"/>
        <v>公共配套设施</v>
      </c>
      <c r="R23" s="770" t="s">
        <v>17</v>
      </c>
      <c r="S23" s="771">
        <f>F23</f>
        <v>100</v>
      </c>
      <c r="T23" s="770" t="s">
        <v>17</v>
      </c>
      <c r="U23" s="771">
        <f>H23</f>
        <v>100</v>
      </c>
      <c r="V23" s="770" t="s">
        <v>17</v>
      </c>
      <c r="W23" s="771">
        <f>J23</f>
        <v>100</v>
      </c>
      <c r="X23" s="772"/>
      <c r="Y23" s="3314"/>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314"/>
      <c r="Q24" s="1795"/>
      <c r="R24" s="770"/>
      <c r="S24" s="771"/>
      <c r="T24" s="770"/>
      <c r="U24" s="771"/>
      <c r="V24" s="770"/>
      <c r="W24" s="771"/>
      <c r="X24" s="772"/>
      <c r="Y24" s="3314"/>
      <c r="Z24" s="55"/>
      <c r="AA24" s="773">
        <v>1</v>
      </c>
      <c r="AB24" s="773">
        <v>1</v>
      </c>
      <c r="AC24" s="773">
        <v>1</v>
      </c>
    </row>
    <row r="25" spans="1:29" s="117" customFormat="1" ht="28.5">
      <c r="A25" s="649"/>
      <c r="B25" s="633" t="s">
        <v>2651</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314"/>
      <c r="Q25" s="1795" t="str">
        <f t="shared" ref="Q25" si="9">B25</f>
        <v>基础设施水平</v>
      </c>
      <c r="R25" s="770" t="s">
        <v>17</v>
      </c>
      <c r="S25" s="771">
        <f>F25</f>
        <v>100</v>
      </c>
      <c r="T25" s="770" t="s">
        <v>17</v>
      </c>
      <c r="U25" s="771">
        <f>H25</f>
        <v>100</v>
      </c>
      <c r="V25" s="770" t="s">
        <v>17</v>
      </c>
      <c r="W25" s="771">
        <f>J25</f>
        <v>100</v>
      </c>
      <c r="X25" s="772"/>
      <c r="Y25" s="3314"/>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314"/>
      <c r="Q26" s="1795"/>
      <c r="R26" s="770"/>
      <c r="S26" s="771"/>
      <c r="T26" s="770"/>
      <c r="U26" s="771"/>
      <c r="V26" s="770"/>
      <c r="W26" s="771"/>
      <c r="X26" s="772"/>
      <c r="Y26" s="3314"/>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31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314"/>
      <c r="Z27" s="1814" t="str">
        <f t="shared" ref="Z27:Z40" si="13">Q27</f>
        <v>临街状况</v>
      </c>
      <c r="AA27" s="1811">
        <f t="shared" si="3"/>
        <v>1</v>
      </c>
      <c r="AB27" s="1811">
        <f t="shared" si="4"/>
        <v>1</v>
      </c>
      <c r="AC27" s="1811">
        <f t="shared" si="5"/>
        <v>1</v>
      </c>
    </row>
    <row r="28" spans="1:29" ht="27">
      <c r="A28" s="428"/>
      <c r="B28" s="633" t="s">
        <v>2687</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314"/>
      <c r="Q28" s="1810" t="str">
        <f t="shared" si="8"/>
        <v>毗邻道路的类型与等级</v>
      </c>
      <c r="R28" s="774" t="s">
        <v>17</v>
      </c>
      <c r="S28" s="775">
        <f t="shared" si="10"/>
        <v>100</v>
      </c>
      <c r="T28" s="774" t="s">
        <v>17</v>
      </c>
      <c r="U28" s="775">
        <f t="shared" si="11"/>
        <v>100</v>
      </c>
      <c r="V28" s="774" t="s">
        <v>17</v>
      </c>
      <c r="W28" s="775">
        <f t="shared" si="12"/>
        <v>100</v>
      </c>
      <c r="X28" s="1813"/>
      <c r="Y28" s="3314"/>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314"/>
      <c r="Q29" s="1810"/>
      <c r="R29" s="774"/>
      <c r="S29" s="775"/>
      <c r="T29" s="774"/>
      <c r="U29" s="775"/>
      <c r="V29" s="774"/>
      <c r="W29" s="775"/>
      <c r="X29" s="1813"/>
      <c r="Y29" s="3314"/>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314"/>
      <c r="Q30" s="1810" t="str">
        <f t="shared" si="8"/>
        <v>土地级别</v>
      </c>
      <c r="R30" s="774" t="s">
        <v>17</v>
      </c>
      <c r="S30" s="775">
        <f t="shared" si="10"/>
        <v>100</v>
      </c>
      <c r="T30" s="774" t="s">
        <v>17</v>
      </c>
      <c r="U30" s="775">
        <f t="shared" si="11"/>
        <v>100</v>
      </c>
      <c r="V30" s="774" t="s">
        <v>17</v>
      </c>
      <c r="W30" s="775">
        <f t="shared" si="12"/>
        <v>100</v>
      </c>
      <c r="X30" s="1813"/>
      <c r="Y30" s="3314"/>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14"/>
      <c r="Q31" s="1810">
        <f t="shared" si="8"/>
        <v>111</v>
      </c>
      <c r="R31" s="774" t="s">
        <v>17</v>
      </c>
      <c r="S31" s="775">
        <f t="shared" si="10"/>
        <v>100</v>
      </c>
      <c r="T31" s="774" t="s">
        <v>17</v>
      </c>
      <c r="U31" s="775">
        <f t="shared" si="11"/>
        <v>100</v>
      </c>
      <c r="V31" s="774" t="s">
        <v>17</v>
      </c>
      <c r="W31" s="775">
        <f t="shared" si="12"/>
        <v>100</v>
      </c>
      <c r="X31" s="1813"/>
      <c r="Y31" s="3314"/>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69" t="s">
        <v>2561</v>
      </c>
      <c r="Q32" s="1810">
        <f t="shared" si="8"/>
        <v>111</v>
      </c>
      <c r="R32" s="774" t="s">
        <v>17</v>
      </c>
      <c r="S32" s="775">
        <f t="shared" si="10"/>
        <v>100</v>
      </c>
      <c r="T32" s="774" t="s">
        <v>17</v>
      </c>
      <c r="U32" s="775">
        <f t="shared" si="11"/>
        <v>100</v>
      </c>
      <c r="V32" s="774" t="s">
        <v>17</v>
      </c>
      <c r="W32" s="775">
        <f t="shared" si="12"/>
        <v>100</v>
      </c>
      <c r="X32" s="1813"/>
      <c r="Y32" s="3318" t="s">
        <v>2561</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18"/>
      <c r="Q33" s="1810">
        <f t="shared" si="8"/>
        <v>111</v>
      </c>
      <c r="R33" s="777" t="s">
        <v>17</v>
      </c>
      <c r="S33" s="778">
        <f t="shared" si="10"/>
        <v>100</v>
      </c>
      <c r="T33" s="777" t="s">
        <v>17</v>
      </c>
      <c r="U33" s="778">
        <f t="shared" si="11"/>
        <v>100</v>
      </c>
      <c r="V33" s="777" t="s">
        <v>17</v>
      </c>
      <c r="W33" s="778">
        <f t="shared" si="12"/>
        <v>100</v>
      </c>
      <c r="X33" s="779"/>
      <c r="Y33" s="3318"/>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18"/>
      <c r="Q34" s="1810" t="str">
        <f>B34</f>
        <v>宗地面积</v>
      </c>
      <c r="R34" s="774" t="s">
        <v>17</v>
      </c>
      <c r="S34" s="775" t="e">
        <f t="shared" si="10"/>
        <v>#N/A</v>
      </c>
      <c r="T34" s="774" t="s">
        <v>17</v>
      </c>
      <c r="U34" s="775" t="e">
        <f t="shared" si="11"/>
        <v>#N/A</v>
      </c>
      <c r="V34" s="774" t="s">
        <v>17</v>
      </c>
      <c r="W34" s="775" t="e">
        <f t="shared" si="12"/>
        <v>#N/A</v>
      </c>
      <c r="X34" s="1813"/>
      <c r="Y34" s="3318"/>
      <c r="Z34" s="1814" t="str">
        <f t="shared" si="13"/>
        <v>宗地面积</v>
      </c>
      <c r="AA34" s="1811" t="e">
        <f t="shared" si="3"/>
        <v>#N/A</v>
      </c>
      <c r="AB34" s="1811" t="e">
        <f t="shared" si="4"/>
        <v>#N/A</v>
      </c>
      <c r="AC34" s="1811" t="e">
        <f t="shared" si="5"/>
        <v>#N/A</v>
      </c>
    </row>
    <row r="35" spans="1:29" ht="15">
      <c r="A35" s="472"/>
      <c r="B35" s="422" t="s">
        <v>2748</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318"/>
      <c r="Q35" s="1810" t="str">
        <f t="shared" ref="Q35:Q40" si="14">B35</f>
        <v>宗地形状</v>
      </c>
      <c r="R35" s="774" t="s">
        <v>17</v>
      </c>
      <c r="S35" s="775">
        <f t="shared" si="10"/>
        <v>100</v>
      </c>
      <c r="T35" s="774" t="s">
        <v>17</v>
      </c>
      <c r="U35" s="775">
        <f t="shared" si="11"/>
        <v>100</v>
      </c>
      <c r="V35" s="774" t="s">
        <v>17</v>
      </c>
      <c r="W35" s="775">
        <f t="shared" si="12"/>
        <v>100</v>
      </c>
      <c r="X35" s="1813"/>
      <c r="Y35" s="3318"/>
      <c r="Z35" s="1814" t="str">
        <f t="shared" si="13"/>
        <v>宗地形状</v>
      </c>
      <c r="AA35" s="1811">
        <f t="shared" si="3"/>
        <v>1</v>
      </c>
      <c r="AB35" s="1811">
        <f t="shared" si="4"/>
        <v>1</v>
      </c>
      <c r="AC35" s="1811">
        <f t="shared" si="5"/>
        <v>1</v>
      </c>
    </row>
    <row r="36" spans="1:29" s="117" customFormat="1" ht="15">
      <c r="A36" s="473"/>
      <c r="B36" s="422" t="s">
        <v>2750</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318"/>
      <c r="Q36" s="1810" t="str">
        <f t="shared" si="14"/>
        <v>宗地开发程度</v>
      </c>
      <c r="R36" s="770" t="s">
        <v>17</v>
      </c>
      <c r="S36" s="771">
        <f t="shared" si="10"/>
        <v>100</v>
      </c>
      <c r="T36" s="770" t="s">
        <v>17</v>
      </c>
      <c r="U36" s="771">
        <f t="shared" si="11"/>
        <v>100</v>
      </c>
      <c r="V36" s="770" t="s">
        <v>17</v>
      </c>
      <c r="W36" s="771">
        <f t="shared" si="12"/>
        <v>100</v>
      </c>
      <c r="X36" s="772"/>
      <c r="Y36" s="3318"/>
      <c r="Z36" s="55" t="str">
        <f t="shared" si="13"/>
        <v>宗地开发程度</v>
      </c>
      <c r="AA36" s="773">
        <f t="shared" si="3"/>
        <v>1</v>
      </c>
      <c r="AB36" s="773">
        <f t="shared" si="4"/>
        <v>1</v>
      </c>
      <c r="AC36" s="773">
        <f t="shared" si="5"/>
        <v>1</v>
      </c>
    </row>
    <row r="37" spans="1:29" ht="15">
      <c r="A37" s="472"/>
      <c r="B37" s="422" t="s">
        <v>2751</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318" t="s">
        <v>2561</v>
      </c>
      <c r="Q37" s="1810" t="str">
        <f t="shared" si="14"/>
        <v>工程地质条件</v>
      </c>
      <c r="R37" s="774" t="s">
        <v>17</v>
      </c>
      <c r="S37" s="775">
        <f t="shared" si="10"/>
        <v>100</v>
      </c>
      <c r="T37" s="774" t="s">
        <v>17</v>
      </c>
      <c r="U37" s="775">
        <f t="shared" si="11"/>
        <v>100</v>
      </c>
      <c r="V37" s="774" t="s">
        <v>17</v>
      </c>
      <c r="W37" s="775">
        <f t="shared" si="12"/>
        <v>100</v>
      </c>
      <c r="X37" s="1813"/>
      <c r="Y37" s="3318"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18"/>
      <c r="Q38" s="1810">
        <f t="shared" si="14"/>
        <v>111</v>
      </c>
      <c r="R38" s="774" t="s">
        <v>17</v>
      </c>
      <c r="S38" s="775">
        <f t="shared" si="10"/>
        <v>100</v>
      </c>
      <c r="T38" s="774" t="s">
        <v>17</v>
      </c>
      <c r="U38" s="775">
        <f t="shared" si="11"/>
        <v>100</v>
      </c>
      <c r="V38" s="774" t="s">
        <v>17</v>
      </c>
      <c r="W38" s="775">
        <f t="shared" si="12"/>
        <v>100</v>
      </c>
      <c r="X38" s="1813"/>
      <c r="Y38" s="331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18"/>
      <c r="Q39" s="1810">
        <f t="shared" si="14"/>
        <v>111</v>
      </c>
      <c r="R39" s="774" t="s">
        <v>17</v>
      </c>
      <c r="S39" s="775">
        <f t="shared" si="10"/>
        <v>100</v>
      </c>
      <c r="T39" s="774" t="s">
        <v>17</v>
      </c>
      <c r="U39" s="775">
        <f t="shared" si="11"/>
        <v>100</v>
      </c>
      <c r="V39" s="774" t="s">
        <v>17</v>
      </c>
      <c r="W39" s="775">
        <f t="shared" si="12"/>
        <v>100</v>
      </c>
      <c r="X39" s="1813"/>
      <c r="Y39" s="3318"/>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18"/>
      <c r="Q40" s="1810">
        <f t="shared" si="14"/>
        <v>111</v>
      </c>
      <c r="R40" s="777" t="s">
        <v>17</v>
      </c>
      <c r="S40" s="778">
        <f t="shared" si="10"/>
        <v>100</v>
      </c>
      <c r="T40" s="777" t="s">
        <v>17</v>
      </c>
      <c r="U40" s="778">
        <f t="shared" si="11"/>
        <v>100</v>
      </c>
      <c r="V40" s="777" t="s">
        <v>17</v>
      </c>
      <c r="W40" s="778">
        <f t="shared" si="12"/>
        <v>100</v>
      </c>
      <c r="X40" s="779"/>
      <c r="Y40" s="3318"/>
      <c r="Z40" s="780">
        <f t="shared" si="13"/>
        <v>111</v>
      </c>
      <c r="AA40" s="1811">
        <f t="shared" si="3"/>
        <v>1</v>
      </c>
      <c r="AB40" s="1811">
        <f t="shared" si="4"/>
        <v>1</v>
      </c>
      <c r="AC40" s="1811">
        <f t="shared" si="5"/>
        <v>1</v>
      </c>
    </row>
    <row r="41" spans="1:29" ht="15">
      <c r="A41" s="479" t="s">
        <v>2716</v>
      </c>
      <c r="B41" s="2707" t="s">
        <v>2796</v>
      </c>
      <c r="C41" s="682" t="s">
        <v>1</v>
      </c>
      <c r="D41" s="481"/>
      <c r="E41" s="482"/>
      <c r="F41" s="483"/>
      <c r="G41" s="484"/>
      <c r="H41" s="485"/>
      <c r="I41" s="482"/>
      <c r="J41" s="485"/>
      <c r="K41" s="783"/>
      <c r="L41" s="1143"/>
      <c r="M41" s="1131"/>
      <c r="N41" s="1131"/>
      <c r="O41" s="1144"/>
      <c r="P41" s="3311" t="str">
        <f>A41</f>
        <v>成交单价</v>
      </c>
      <c r="Q41" s="3311"/>
      <c r="R41" s="3342">
        <f>E41</f>
        <v>0</v>
      </c>
      <c r="S41" s="3342"/>
      <c r="T41" s="3342">
        <f>G41</f>
        <v>0</v>
      </c>
      <c r="U41" s="3342"/>
      <c r="V41" s="3342">
        <f>I41</f>
        <v>0</v>
      </c>
      <c r="W41" s="3342"/>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311" t="str">
        <f>A42</f>
        <v>比较价值（元/平方米）</v>
      </c>
      <c r="Q42" s="3311"/>
      <c r="R42" s="3370" t="e">
        <f>ROUND(PRODUCT(R41,AA7:AA40),0)</f>
        <v>#DIV/0!</v>
      </c>
      <c r="S42" s="3370"/>
      <c r="T42" s="3370" t="e">
        <f>ROUND(PRODUCT(T41,AB7:AB40),0)</f>
        <v>#DIV/0!</v>
      </c>
      <c r="U42" s="3370"/>
      <c r="V42" s="3370" t="e">
        <f>ROUND(PRODUCT(V41,AC7:AC40),0)</f>
        <v>#DIV/0!</v>
      </c>
      <c r="W42" s="3370"/>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308" t="str">
        <f>A43</f>
        <v>估价对象XX用房的比较价值（楼面单价，元/平方米）</v>
      </c>
      <c r="Q43" s="3309"/>
      <c r="R43" s="3371" t="e">
        <f>ROUND(AVERAGE(R42:V42),0)</f>
        <v>#DIV/0!</v>
      </c>
      <c r="S43" s="3371"/>
      <c r="T43" s="3371"/>
      <c r="U43" s="3371"/>
      <c r="V43" s="3371"/>
      <c r="W43" s="337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8" t="s">
        <v>2756</v>
      </c>
      <c r="D50" s="2709" t="s">
        <v>2757</v>
      </c>
      <c r="E50" s="686" t="s">
        <v>2758</v>
      </c>
      <c r="F50" s="687" t="s">
        <v>2759</v>
      </c>
      <c r="G50" s="3326" t="s">
        <v>2760</v>
      </c>
      <c r="H50" s="3372"/>
      <c r="I50" s="1814" t="s">
        <v>2797</v>
      </c>
      <c r="J50" s="1814">
        <f>项目基本情况!F35</f>
        <v>0</v>
      </c>
      <c r="K50" s="2711" t="s">
        <v>2762</v>
      </c>
      <c r="L50" s="1106"/>
      <c r="M50" s="1144"/>
      <c r="N50" s="1144"/>
      <c r="O50" s="1144"/>
    </row>
    <row r="51" spans="1:17" s="692" customFormat="1">
      <c r="A51" s="688" t="s">
        <v>2763</v>
      </c>
      <c r="B51" s="689" t="e">
        <f>C43</f>
        <v>#DIV/0!</v>
      </c>
      <c r="C51" s="690">
        <v>1</v>
      </c>
      <c r="D51" s="1163">
        <v>1</v>
      </c>
      <c r="E51" s="690">
        <f>'数据-汇总表'!E8+'数据-汇总表'!E9</f>
        <v>27202.3</v>
      </c>
      <c r="F51" s="691" t="e">
        <f t="shared" ref="F51:F60" si="15">ROUND(B51*E51/10000,0)</f>
        <v>#DIV/0!</v>
      </c>
      <c r="G51" s="3322"/>
      <c r="H51" s="3311"/>
      <c r="I51" s="942">
        <v>1</v>
      </c>
      <c r="J51" s="942">
        <v>1</v>
      </c>
      <c r="K51" s="1145"/>
      <c r="L51" s="941"/>
      <c r="M51" s="941"/>
      <c r="N51" s="941"/>
      <c r="O51" s="941"/>
    </row>
    <row r="52" spans="1:17" s="692" customFormat="1">
      <c r="A52" s="693" t="s">
        <v>2764</v>
      </c>
      <c r="B52" s="262" t="e">
        <f>ROUND($C$43*C52*D52,0)</f>
        <v>#DIV/0!</v>
      </c>
      <c r="C52" s="200">
        <f t="shared" ref="C52:C60" si="16">IF($C$50="北京市系数",I52,J52)</f>
        <v>0.8</v>
      </c>
      <c r="D52" s="1164">
        <v>0.25</v>
      </c>
      <c r="E52" s="694"/>
      <c r="F52" s="691" t="e">
        <f t="shared" si="15"/>
        <v>#DIV/0!</v>
      </c>
      <c r="G52" s="3373" t="s">
        <v>2765</v>
      </c>
      <c r="H52" s="1104" t="str">
        <f>项目基本情况!B37</f>
        <v>二级</v>
      </c>
      <c r="I52" s="942">
        <f>SUMIF(修正!A45:A56,H52,修正!B45:B56)</f>
        <v>0.8</v>
      </c>
      <c r="J52" s="943"/>
      <c r="K52" s="1144"/>
      <c r="L52" s="941"/>
      <c r="M52" s="941"/>
      <c r="N52" s="941"/>
      <c r="O52" s="941"/>
    </row>
    <row r="53" spans="1:17" s="692" customFormat="1">
      <c r="A53" s="693" t="s">
        <v>2766</v>
      </c>
      <c r="B53" s="262" t="e">
        <f t="shared" ref="B53:B60" si="17">ROUND($C$43*C53*D53,0)</f>
        <v>#DIV/0!</v>
      </c>
      <c r="C53" s="200">
        <f t="shared" si="16"/>
        <v>0.5</v>
      </c>
      <c r="D53" s="1164">
        <v>0.25</v>
      </c>
      <c r="E53" s="694"/>
      <c r="F53" s="691" t="e">
        <f t="shared" si="15"/>
        <v>#DIV/0!</v>
      </c>
      <c r="G53" s="3373"/>
      <c r="H53" s="1104" t="str">
        <f>项目基本情况!B37</f>
        <v>二级</v>
      </c>
      <c r="I53" s="942">
        <f>SUMIF(修正!A45:A56,H53,修正!C45:C56)</f>
        <v>0.5</v>
      </c>
      <c r="J53" s="943"/>
      <c r="K53" s="1145"/>
      <c r="L53" s="941"/>
      <c r="M53" s="941"/>
      <c r="N53" s="941"/>
      <c r="O53" s="941"/>
    </row>
    <row r="54" spans="1:17" s="692" customFormat="1">
      <c r="A54" s="693" t="s">
        <v>2767</v>
      </c>
      <c r="B54" s="262" t="e">
        <f t="shared" si="17"/>
        <v>#DIV/0!</v>
      </c>
      <c r="C54" s="200">
        <f t="shared" si="16"/>
        <v>0.36</v>
      </c>
      <c r="D54" s="1164">
        <v>0.25</v>
      </c>
      <c r="E54" s="694"/>
      <c r="F54" s="691" t="e">
        <f t="shared" si="15"/>
        <v>#DIV/0!</v>
      </c>
      <c r="G54" s="3373"/>
      <c r="H54" s="1104" t="str">
        <f>项目基本情况!B37</f>
        <v>二级</v>
      </c>
      <c r="I54" s="942">
        <f>SUMIF(修正!A45:A56,H54,修正!D45:D56)</f>
        <v>0.36</v>
      </c>
      <c r="J54" s="943"/>
      <c r="K54" s="1144"/>
      <c r="L54" s="941"/>
      <c r="M54" s="941"/>
      <c r="N54" s="941"/>
      <c r="O54" s="941"/>
    </row>
    <row r="55" spans="1:17" s="692" customFormat="1">
      <c r="A55" s="693" t="s">
        <v>2768</v>
      </c>
      <c r="B55" s="262" t="e">
        <f t="shared" si="17"/>
        <v>#DIV/0!</v>
      </c>
      <c r="C55" s="200">
        <f t="shared" si="16"/>
        <v>0.3</v>
      </c>
      <c r="D55" s="1164">
        <v>0.25</v>
      </c>
      <c r="E55" s="694"/>
      <c r="F55" s="691" t="e">
        <f t="shared" si="15"/>
        <v>#DIV/0!</v>
      </c>
      <c r="G55" s="3373"/>
      <c r="H55" s="1104" t="str">
        <f>项目基本情况!B37</f>
        <v>二级</v>
      </c>
      <c r="I55" s="942">
        <f>SUMIF(修正!A45:A56,H55,修正!E45:E56)</f>
        <v>0.3</v>
      </c>
      <c r="J55" s="943"/>
      <c r="K55" s="1145"/>
      <c r="L55" s="941"/>
      <c r="M55" s="941"/>
      <c r="N55" s="941"/>
      <c r="O55" s="941"/>
    </row>
    <row r="56" spans="1:17" s="692" customFormat="1">
      <c r="A56" s="693" t="s">
        <v>2769</v>
      </c>
      <c r="B56" s="262" t="e">
        <f t="shared" si="17"/>
        <v>#DIV/0!</v>
      </c>
      <c r="C56" s="200">
        <f t="shared" si="16"/>
        <v>0.3</v>
      </c>
      <c r="D56" s="1164">
        <v>0.25</v>
      </c>
      <c r="E56" s="261">
        <f>'数据-汇总表'!E11</f>
        <v>0</v>
      </c>
      <c r="F56" s="691" t="e">
        <f t="shared" si="15"/>
        <v>#DIV/0!</v>
      </c>
      <c r="G56" s="2712" t="s">
        <v>2770</v>
      </c>
      <c r="H56" s="1104" t="str">
        <f>项目基本情况!C37</f>
        <v>二级</v>
      </c>
      <c r="I56" s="942">
        <f>SUMIF(修正!A45:A56,H56,修正!F45:F56)</f>
        <v>0.3</v>
      </c>
      <c r="J56" s="943"/>
      <c r="K56" s="1144"/>
      <c r="L56" s="941"/>
      <c r="M56" s="941"/>
      <c r="N56" s="941"/>
      <c r="O56" s="941"/>
    </row>
    <row r="57" spans="1:17" s="692" customFormat="1">
      <c r="A57" s="693" t="s">
        <v>2771</v>
      </c>
      <c r="B57" s="262" t="e">
        <f t="shared" si="17"/>
        <v>#DIV/0!</v>
      </c>
      <c r="C57" s="200">
        <f t="shared" si="16"/>
        <v>0.3</v>
      </c>
      <c r="D57" s="1164">
        <v>0.25</v>
      </c>
      <c r="E57" s="261">
        <f>'数据-汇总表'!E12</f>
        <v>0</v>
      </c>
      <c r="F57" s="691" t="e">
        <f t="shared" si="15"/>
        <v>#DIV/0!</v>
      </c>
      <c r="G57" s="1109" t="s">
        <v>2772</v>
      </c>
      <c r="H57" s="1104" t="str">
        <f>IF(G57="商业",项目基本情况!B37,IF(G57="办公",项目基本情况!C37,IF(G57="住宅",项目基本情况!D37,项目基本情况!E37)))</f>
        <v>二级</v>
      </c>
      <c r="I57" s="942">
        <f>SUMIF(修正!A45:A56,H57,修正!G45:G56)</f>
        <v>0.3</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0.25</v>
      </c>
      <c r="D59" s="1164">
        <v>0.25</v>
      </c>
      <c r="E59" s="261">
        <f>'数据-汇总表'!E14</f>
        <v>0</v>
      </c>
      <c r="F59" s="691" t="e">
        <f t="shared" si="15"/>
        <v>#DIV/0!</v>
      </c>
      <c r="G59" s="2712" t="s">
        <v>2765</v>
      </c>
      <c r="H59" s="1104" t="str">
        <f>项目基本情况!B37</f>
        <v>二级</v>
      </c>
      <c r="I59" s="942">
        <f>SUMIF(修正!A45:A56,H59,修正!H45:H56)</f>
        <v>0.25</v>
      </c>
      <c r="J59" s="943"/>
      <c r="K59" s="1145"/>
      <c r="L59" s="941"/>
      <c r="M59" s="941"/>
      <c r="N59" s="941"/>
      <c r="O59" s="941"/>
    </row>
    <row r="60" spans="1:17" s="692" customFormat="1" ht="15" thickBot="1">
      <c r="A60" s="693" t="s">
        <v>2776</v>
      </c>
      <c r="B60" s="262" t="e">
        <f t="shared" si="17"/>
        <v>#DIV/0!</v>
      </c>
      <c r="C60" s="200">
        <f t="shared" si="16"/>
        <v>0.25</v>
      </c>
      <c r="D60" s="1164">
        <v>0.25</v>
      </c>
      <c r="E60" s="261">
        <f>'数据-汇总表'!E15</f>
        <v>0</v>
      </c>
      <c r="F60" s="691" t="e">
        <f t="shared" si="15"/>
        <v>#DIV/0!</v>
      </c>
      <c r="G60" s="2713" t="s">
        <v>2770</v>
      </c>
      <c r="H60" s="1114" t="str">
        <f>项目基本情况!C37</f>
        <v>二级</v>
      </c>
      <c r="I60" s="942">
        <f>SUMIF(修正!A45:A56,H60,修正!H45:H56)</f>
        <v>0.25</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18455.759999999998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4" t="s">
        <v>2778</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9"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6"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78" t="s">
        <v>183</v>
      </c>
      <c r="B18" s="882" t="s">
        <v>560</v>
      </c>
      <c r="C18" s="883" t="s">
        <v>561</v>
      </c>
      <c r="D18" s="884"/>
      <c r="E18" s="882">
        <v>1</v>
      </c>
      <c r="F18" s="885" t="s">
        <v>562</v>
      </c>
      <c r="G18" s="886"/>
      <c r="H18" s="878"/>
      <c r="I18" s="878"/>
    </row>
    <row r="19" spans="1:9" s="887" customFormat="1" ht="19.5" customHeight="1">
      <c r="A19" s="3378"/>
      <c r="B19" s="3378" t="s">
        <v>563</v>
      </c>
      <c r="C19" s="883" t="s">
        <v>564</v>
      </c>
      <c r="D19" s="884"/>
      <c r="E19" s="882">
        <v>0.9</v>
      </c>
      <c r="F19" s="885" t="s">
        <v>565</v>
      </c>
      <c r="G19" s="886"/>
      <c r="H19" s="878"/>
      <c r="I19" s="878"/>
    </row>
    <row r="20" spans="1:9" s="887" customFormat="1" ht="19.5" customHeight="1">
      <c r="A20" s="3378"/>
      <c r="B20" s="3378"/>
      <c r="C20" s="883" t="s">
        <v>566</v>
      </c>
      <c r="D20" s="884"/>
      <c r="E20" s="882">
        <v>1.1000000000000001</v>
      </c>
      <c r="F20" s="885" t="s">
        <v>567</v>
      </c>
      <c r="G20" s="886"/>
      <c r="H20" s="878"/>
      <c r="I20" s="878"/>
    </row>
    <row r="21" spans="1:9" s="887" customFormat="1" ht="19.5" customHeight="1">
      <c r="A21" s="3378"/>
      <c r="B21" s="3378"/>
      <c r="C21" s="883" t="s">
        <v>568</v>
      </c>
      <c r="D21" s="884"/>
      <c r="E21" s="882">
        <v>0.8</v>
      </c>
      <c r="F21" s="885" t="s">
        <v>569</v>
      </c>
      <c r="G21" s="886"/>
      <c r="H21" s="878"/>
      <c r="I21" s="878"/>
    </row>
    <row r="22" spans="1:9" s="887" customFormat="1" ht="19.5" customHeight="1">
      <c r="A22" s="3378"/>
      <c r="B22" s="3378"/>
      <c r="C22" s="883" t="s">
        <v>570</v>
      </c>
      <c r="D22" s="884"/>
      <c r="E22" s="882">
        <v>0.5</v>
      </c>
      <c r="F22" s="885"/>
      <c r="G22" s="886"/>
      <c r="H22" s="878"/>
      <c r="I22" s="878"/>
    </row>
    <row r="23" spans="1:9" s="887" customFormat="1" ht="19.5" customHeight="1">
      <c r="A23" s="3378" t="s">
        <v>184</v>
      </c>
      <c r="B23" s="882" t="s">
        <v>560</v>
      </c>
      <c r="C23" s="883" t="s">
        <v>571</v>
      </c>
      <c r="D23" s="884"/>
      <c r="E23" s="882">
        <v>1</v>
      </c>
      <c r="F23" s="885" t="s">
        <v>572</v>
      </c>
      <c r="G23" s="886"/>
      <c r="H23" s="878"/>
      <c r="I23" s="878"/>
    </row>
    <row r="24" spans="1:9" s="887" customFormat="1" ht="19.5" customHeight="1">
      <c r="A24" s="3378"/>
      <c r="B24" s="3378" t="s">
        <v>563</v>
      </c>
      <c r="C24" s="883" t="s">
        <v>573</v>
      </c>
      <c r="D24" s="884"/>
      <c r="E24" s="882">
        <v>0.5</v>
      </c>
      <c r="F24" s="885"/>
      <c r="G24" s="886"/>
      <c r="H24" s="878"/>
      <c r="I24" s="878"/>
    </row>
    <row r="25" spans="1:9" s="887" customFormat="1" ht="19.5" customHeight="1">
      <c r="A25" s="3378"/>
      <c r="B25" s="3378"/>
      <c r="C25" s="883" t="s">
        <v>574</v>
      </c>
      <c r="D25" s="884"/>
      <c r="E25" s="882">
        <v>1.1000000000000001</v>
      </c>
      <c r="F25" s="885"/>
      <c r="G25" s="886"/>
      <c r="H25" s="878"/>
      <c r="I25" s="878"/>
    </row>
    <row r="26" spans="1:9" s="887" customFormat="1" ht="19.5" customHeight="1">
      <c r="A26" s="3378"/>
      <c r="B26" s="3378"/>
      <c r="C26" s="883" t="s">
        <v>575</v>
      </c>
      <c r="D26" s="884"/>
      <c r="E26" s="882">
        <v>1.1000000000000001</v>
      </c>
      <c r="F26" s="885"/>
      <c r="G26" s="886"/>
      <c r="H26" s="878"/>
      <c r="I26" s="878"/>
    </row>
    <row r="27" spans="1:9" s="887" customFormat="1" ht="19.5" customHeight="1">
      <c r="A27" s="3378"/>
      <c r="B27" s="3378"/>
      <c r="C27" s="883" t="s">
        <v>576</v>
      </c>
      <c r="D27" s="884"/>
      <c r="E27" s="882">
        <v>0.9</v>
      </c>
      <c r="F27" s="885" t="s">
        <v>577</v>
      </c>
      <c r="G27" s="886"/>
      <c r="H27" s="878"/>
      <c r="I27" s="878"/>
    </row>
    <row r="28" spans="1:9" s="887" customFormat="1" ht="19.5" customHeight="1">
      <c r="A28" s="3378"/>
      <c r="B28" s="3378"/>
      <c r="C28" s="883" t="s">
        <v>578</v>
      </c>
      <c r="D28" s="884"/>
      <c r="E28" s="882">
        <v>0.9</v>
      </c>
      <c r="F28" s="885" t="s">
        <v>579</v>
      </c>
      <c r="G28" s="886"/>
      <c r="H28" s="878"/>
      <c r="I28" s="878"/>
    </row>
    <row r="29" spans="1:9" s="887" customFormat="1" ht="19.5" customHeight="1">
      <c r="A29" s="3378"/>
      <c r="B29" s="3378"/>
      <c r="C29" s="883" t="s">
        <v>580</v>
      </c>
      <c r="D29" s="884"/>
      <c r="E29" s="882">
        <v>0.9</v>
      </c>
      <c r="F29" s="885" t="s">
        <v>581</v>
      </c>
      <c r="G29" s="886"/>
      <c r="H29" s="878"/>
      <c r="I29" s="878"/>
    </row>
    <row r="30" spans="1:9" s="887" customFormat="1" ht="19.5" customHeight="1">
      <c r="A30" s="3378"/>
      <c r="B30" s="3378"/>
      <c r="C30" s="883" t="s">
        <v>582</v>
      </c>
      <c r="D30" s="884"/>
      <c r="E30" s="882">
        <v>0.9</v>
      </c>
      <c r="F30" s="885" t="s">
        <v>583</v>
      </c>
      <c r="G30" s="886"/>
      <c r="H30" s="878"/>
      <c r="I30" s="878"/>
    </row>
    <row r="31" spans="1:9" s="887" customFormat="1" ht="19.5" customHeight="1">
      <c r="A31" s="3378"/>
      <c r="B31" s="3378"/>
      <c r="C31" s="883" t="s">
        <v>584</v>
      </c>
      <c r="D31" s="884"/>
      <c r="E31" s="882">
        <v>0.8</v>
      </c>
      <c r="F31" s="885" t="s">
        <v>585</v>
      </c>
      <c r="G31" s="886"/>
      <c r="H31" s="878"/>
      <c r="I31" s="878"/>
    </row>
    <row r="32" spans="1:9" s="887" customFormat="1" ht="19.5" customHeight="1">
      <c r="A32" s="3378"/>
      <c r="B32" s="3378"/>
      <c r="C32" s="883" t="s">
        <v>586</v>
      </c>
      <c r="D32" s="884"/>
      <c r="E32" s="882">
        <v>0.8</v>
      </c>
      <c r="F32" s="885" t="s">
        <v>587</v>
      </c>
      <c r="G32" s="886"/>
      <c r="H32" s="878"/>
      <c r="I32" s="878"/>
    </row>
    <row r="33" spans="1:9" s="887" customFormat="1" ht="19.5" customHeight="1">
      <c r="A33" s="3378" t="s">
        <v>185</v>
      </c>
      <c r="B33" s="882" t="s">
        <v>560</v>
      </c>
      <c r="C33" s="883" t="s">
        <v>588</v>
      </c>
      <c r="D33" s="884"/>
      <c r="E33" s="882">
        <v>1</v>
      </c>
      <c r="F33" s="885" t="s">
        <v>589</v>
      </c>
      <c r="G33" s="886"/>
      <c r="H33" s="878"/>
      <c r="I33" s="878"/>
    </row>
    <row r="34" spans="1:9" s="887" customFormat="1" ht="19.5" customHeight="1">
      <c r="A34" s="3378"/>
      <c r="B34" s="882" t="s">
        <v>563</v>
      </c>
      <c r="C34" s="883" t="s">
        <v>590</v>
      </c>
      <c r="D34" s="884"/>
      <c r="E34" s="882">
        <v>1.5</v>
      </c>
      <c r="F34" s="885" t="s">
        <v>591</v>
      </c>
      <c r="G34" s="886"/>
      <c r="H34" s="878"/>
      <c r="I34" s="878"/>
    </row>
    <row r="35" spans="1:9" s="887" customFormat="1" ht="19.5" customHeight="1">
      <c r="A35" s="3378" t="s">
        <v>186</v>
      </c>
      <c r="B35" s="882" t="s">
        <v>560</v>
      </c>
      <c r="C35" s="883" t="s">
        <v>592</v>
      </c>
      <c r="D35" s="884"/>
      <c r="E35" s="882">
        <v>1</v>
      </c>
      <c r="F35" s="885" t="s">
        <v>593</v>
      </c>
      <c r="G35" s="886"/>
      <c r="H35" s="878"/>
      <c r="I35" s="878"/>
    </row>
    <row r="36" spans="1:9" s="887" customFormat="1" ht="19.5" customHeight="1">
      <c r="A36" s="3378"/>
      <c r="B36" s="3378" t="s">
        <v>563</v>
      </c>
      <c r="C36" s="883" t="s">
        <v>594</v>
      </c>
      <c r="D36" s="884"/>
      <c r="E36" s="882">
        <v>1</v>
      </c>
      <c r="F36" s="885" t="s">
        <v>595</v>
      </c>
      <c r="G36" s="886"/>
      <c r="H36" s="878"/>
      <c r="I36" s="878"/>
    </row>
    <row r="37" spans="1:9" s="887" customFormat="1" ht="19.5" customHeight="1">
      <c r="A37" s="3378"/>
      <c r="B37" s="3378"/>
      <c r="C37" s="883" t="s">
        <v>596</v>
      </c>
      <c r="D37" s="884"/>
      <c r="E37" s="882">
        <v>1.5</v>
      </c>
      <c r="F37" s="885" t="s">
        <v>597</v>
      </c>
      <c r="G37" s="886"/>
      <c r="H37" s="878"/>
      <c r="I37" s="878"/>
    </row>
    <row r="38" spans="1:9" s="887" customFormat="1" ht="19.5" customHeight="1">
      <c r="A38" s="3378"/>
      <c r="B38" s="3378"/>
      <c r="C38" s="883" t="s">
        <v>598</v>
      </c>
      <c r="D38" s="884"/>
      <c r="E38" s="882">
        <v>1</v>
      </c>
      <c r="F38" s="885" t="s">
        <v>599</v>
      </c>
      <c r="G38" s="886"/>
      <c r="H38" s="878"/>
      <c r="I38" s="878"/>
    </row>
    <row r="39" spans="1:9" s="887" customFormat="1" ht="19.5" customHeight="1">
      <c r="A39" s="3378"/>
      <c r="B39" s="33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78" t="s">
        <v>614</v>
      </c>
      <c r="C61" s="818" t="s">
        <v>615</v>
      </c>
      <c r="D61" s="818" t="s">
        <v>616</v>
      </c>
      <c r="E61" s="895">
        <v>0.5</v>
      </c>
      <c r="F61" s="882">
        <v>80</v>
      </c>
    </row>
    <row r="62" spans="1:8" s="878" customFormat="1" ht="24">
      <c r="A62" s="882">
        <v>2</v>
      </c>
      <c r="B62" s="3378"/>
      <c r="C62" s="818" t="s">
        <v>617</v>
      </c>
      <c r="D62" s="818" t="s">
        <v>618</v>
      </c>
      <c r="E62" s="895">
        <v>0.5</v>
      </c>
      <c r="F62" s="882">
        <v>80</v>
      </c>
    </row>
    <row r="63" spans="1:8" s="878" customFormat="1" ht="36">
      <c r="A63" s="882">
        <v>3</v>
      </c>
      <c r="B63" s="3378"/>
      <c r="C63" s="818" t="s">
        <v>619</v>
      </c>
      <c r="D63" s="818" t="s">
        <v>620</v>
      </c>
      <c r="E63" s="895">
        <v>0.5</v>
      </c>
      <c r="F63" s="882">
        <v>80</v>
      </c>
    </row>
    <row r="64" spans="1:8" s="878" customFormat="1" ht="36">
      <c r="A64" s="882">
        <v>4</v>
      </c>
      <c r="B64" s="3378"/>
      <c r="C64" s="818" t="s">
        <v>621</v>
      </c>
      <c r="D64" s="818" t="s">
        <v>622</v>
      </c>
      <c r="E64" s="895">
        <v>0.4</v>
      </c>
      <c r="F64" s="882">
        <v>60</v>
      </c>
    </row>
    <row r="65" spans="1:6" s="878" customFormat="1" ht="36">
      <c r="A65" s="882">
        <v>5</v>
      </c>
      <c r="B65" s="3378"/>
      <c r="C65" s="818" t="s">
        <v>623</v>
      </c>
      <c r="D65" s="818" t="s">
        <v>624</v>
      </c>
      <c r="E65" s="895">
        <v>0.2</v>
      </c>
      <c r="F65" s="882">
        <v>30</v>
      </c>
    </row>
    <row r="66" spans="1:6" s="878" customFormat="1" ht="36">
      <c r="A66" s="882">
        <v>6</v>
      </c>
      <c r="B66" s="3378"/>
      <c r="C66" s="818" t="s">
        <v>625</v>
      </c>
      <c r="D66" s="818" t="s">
        <v>626</v>
      </c>
      <c r="E66" s="895">
        <v>0.3</v>
      </c>
      <c r="F66" s="882">
        <v>50</v>
      </c>
    </row>
    <row r="67" spans="1:6" s="878" customFormat="1" ht="36">
      <c r="A67" s="882">
        <v>7</v>
      </c>
      <c r="B67" s="3378"/>
      <c r="C67" s="818" t="s">
        <v>627</v>
      </c>
      <c r="D67" s="818" t="s">
        <v>628</v>
      </c>
      <c r="E67" s="895">
        <v>0.2</v>
      </c>
      <c r="F67" s="882">
        <v>30</v>
      </c>
    </row>
    <row r="68" spans="1:6" s="878" customFormat="1" ht="36">
      <c r="A68" s="882">
        <v>8</v>
      </c>
      <c r="B68" s="3378"/>
      <c r="C68" s="818" t="s">
        <v>629</v>
      </c>
      <c r="D68" s="818" t="s">
        <v>630</v>
      </c>
      <c r="E68" s="895">
        <v>0.2</v>
      </c>
      <c r="F68" s="882">
        <v>30</v>
      </c>
    </row>
    <row r="69" spans="1:6" s="878" customFormat="1" ht="36">
      <c r="A69" s="882">
        <v>9</v>
      </c>
      <c r="B69" s="3378"/>
      <c r="C69" s="818" t="s">
        <v>631</v>
      </c>
      <c r="D69" s="818" t="s">
        <v>632</v>
      </c>
      <c r="E69" s="895">
        <v>0.2</v>
      </c>
      <c r="F69" s="882">
        <v>30</v>
      </c>
    </row>
    <row r="70" spans="1:6" s="878" customFormat="1" ht="48">
      <c r="A70" s="882">
        <v>10</v>
      </c>
      <c r="B70" s="3378"/>
      <c r="C70" s="818" t="s">
        <v>633</v>
      </c>
      <c r="D70" s="818" t="s">
        <v>634</v>
      </c>
      <c r="E70" s="895">
        <v>0.2</v>
      </c>
      <c r="F70" s="882">
        <v>30</v>
      </c>
    </row>
    <row r="71" spans="1:6" s="878" customFormat="1" ht="48">
      <c r="A71" s="882">
        <v>11</v>
      </c>
      <c r="B71" s="3378"/>
      <c r="C71" s="818" t="s">
        <v>635</v>
      </c>
      <c r="D71" s="818" t="s">
        <v>636</v>
      </c>
      <c r="E71" s="895">
        <v>0.2</v>
      </c>
      <c r="F71" s="882">
        <v>30</v>
      </c>
    </row>
    <row r="72" spans="1:6" s="878" customFormat="1" ht="36">
      <c r="A72" s="882">
        <v>12</v>
      </c>
      <c r="B72" s="3378"/>
      <c r="C72" s="818" t="s">
        <v>637</v>
      </c>
      <c r="D72" s="818" t="s">
        <v>638</v>
      </c>
      <c r="E72" s="895">
        <v>0.5</v>
      </c>
      <c r="F72" s="882">
        <v>80</v>
      </c>
    </row>
    <row r="73" spans="1:6" s="878" customFormat="1" ht="24">
      <c r="A73" s="882">
        <v>13</v>
      </c>
      <c r="B73" s="3378"/>
      <c r="C73" s="818" t="s">
        <v>639</v>
      </c>
      <c r="D73" s="818" t="s">
        <v>640</v>
      </c>
      <c r="E73" s="895">
        <v>0.4</v>
      </c>
      <c r="F73" s="882">
        <v>60</v>
      </c>
    </row>
    <row r="74" spans="1:6" s="878" customFormat="1" ht="24">
      <c r="A74" s="882">
        <v>14</v>
      </c>
      <c r="B74" s="3378"/>
      <c r="C74" s="818" t="s">
        <v>641</v>
      </c>
      <c r="D74" s="818" t="s">
        <v>642</v>
      </c>
      <c r="E74" s="895">
        <v>0.2</v>
      </c>
      <c r="F74" s="882">
        <v>30</v>
      </c>
    </row>
    <row r="75" spans="1:6" s="878" customFormat="1" ht="24">
      <c r="A75" s="882">
        <v>15</v>
      </c>
      <c r="B75" s="3378"/>
      <c r="C75" s="818" t="s">
        <v>643</v>
      </c>
      <c r="D75" s="818" t="s">
        <v>644</v>
      </c>
      <c r="E75" s="895">
        <v>0.2</v>
      </c>
      <c r="F75" s="882">
        <v>30</v>
      </c>
    </row>
    <row r="76" spans="1:6" s="878" customFormat="1" ht="24">
      <c r="A76" s="882">
        <v>16</v>
      </c>
      <c r="B76" s="3378" t="s">
        <v>645</v>
      </c>
      <c r="C76" s="818" t="s">
        <v>646</v>
      </c>
      <c r="D76" s="818" t="s">
        <v>647</v>
      </c>
      <c r="E76" s="895">
        <v>0.5</v>
      </c>
      <c r="F76" s="882">
        <v>80</v>
      </c>
    </row>
    <row r="77" spans="1:6" s="878" customFormat="1" ht="24">
      <c r="A77" s="882">
        <v>17</v>
      </c>
      <c r="B77" s="3378"/>
      <c r="C77" s="818" t="s">
        <v>648</v>
      </c>
      <c r="D77" s="818" t="s">
        <v>649</v>
      </c>
      <c r="E77" s="895">
        <v>0.5</v>
      </c>
      <c r="F77" s="882">
        <v>80</v>
      </c>
    </row>
    <row r="78" spans="1:6" s="878" customFormat="1" ht="24">
      <c r="A78" s="882">
        <v>18</v>
      </c>
      <c r="B78" s="3378"/>
      <c r="C78" s="818" t="s">
        <v>650</v>
      </c>
      <c r="D78" s="818" t="s">
        <v>651</v>
      </c>
      <c r="E78" s="895">
        <v>0.2</v>
      </c>
      <c r="F78" s="882">
        <v>30</v>
      </c>
    </row>
    <row r="79" spans="1:6" s="878" customFormat="1" ht="24">
      <c r="A79" s="882">
        <v>19</v>
      </c>
      <c r="B79" s="3378"/>
      <c r="C79" s="818" t="s">
        <v>652</v>
      </c>
      <c r="D79" s="818" t="s">
        <v>653</v>
      </c>
      <c r="E79" s="895">
        <v>0.5</v>
      </c>
      <c r="F79" s="882">
        <v>80</v>
      </c>
    </row>
    <row r="80" spans="1:6" s="878" customFormat="1" ht="36">
      <c r="A80" s="882">
        <v>20</v>
      </c>
      <c r="B80" s="3378"/>
      <c r="C80" s="818" t="s">
        <v>654</v>
      </c>
      <c r="D80" s="818" t="s">
        <v>655</v>
      </c>
      <c r="E80" s="895">
        <v>0.2</v>
      </c>
      <c r="F80" s="882">
        <v>30</v>
      </c>
    </row>
    <row r="81" spans="1:6" s="878" customFormat="1" ht="36">
      <c r="A81" s="882">
        <v>21</v>
      </c>
      <c r="B81" s="3378"/>
      <c r="C81" s="818" t="s">
        <v>656</v>
      </c>
      <c r="D81" s="818" t="s">
        <v>657</v>
      </c>
      <c r="E81" s="895">
        <v>0.2</v>
      </c>
      <c r="F81" s="882">
        <v>30</v>
      </c>
    </row>
    <row r="82" spans="1:6" s="878" customFormat="1" ht="48">
      <c r="A82" s="882">
        <v>22</v>
      </c>
      <c r="B82" s="3378"/>
      <c r="C82" s="818" t="s">
        <v>658</v>
      </c>
      <c r="D82" s="818" t="s">
        <v>659</v>
      </c>
      <c r="E82" s="895">
        <v>0.2</v>
      </c>
      <c r="F82" s="882">
        <v>30</v>
      </c>
    </row>
    <row r="83" spans="1:6" s="878" customFormat="1" ht="48">
      <c r="A83" s="882">
        <v>23</v>
      </c>
      <c r="B83" s="3378"/>
      <c r="C83" s="818" t="s">
        <v>660</v>
      </c>
      <c r="D83" s="818" t="s">
        <v>661</v>
      </c>
      <c r="E83" s="895">
        <v>0.2</v>
      </c>
      <c r="F83" s="882">
        <v>30</v>
      </c>
    </row>
    <row r="84" spans="1:6" s="878" customFormat="1" ht="36">
      <c r="A84" s="882">
        <v>24</v>
      </c>
      <c r="B84" s="3378"/>
      <c r="C84" s="818" t="s">
        <v>662</v>
      </c>
      <c r="D84" s="818" t="s">
        <v>663</v>
      </c>
      <c r="E84" s="895">
        <v>0.2</v>
      </c>
      <c r="F84" s="882">
        <v>30</v>
      </c>
    </row>
    <row r="85" spans="1:6" s="878" customFormat="1" ht="36">
      <c r="A85" s="882">
        <v>25</v>
      </c>
      <c r="B85" s="3378"/>
      <c r="C85" s="818" t="s">
        <v>664</v>
      </c>
      <c r="D85" s="818" t="s">
        <v>665</v>
      </c>
      <c r="E85" s="895">
        <v>0.5</v>
      </c>
      <c r="F85" s="882">
        <v>80</v>
      </c>
    </row>
    <row r="86" spans="1:6" s="878" customFormat="1" ht="36">
      <c r="A86" s="882">
        <v>26</v>
      </c>
      <c r="B86" s="3378"/>
      <c r="C86" s="818" t="s">
        <v>666</v>
      </c>
      <c r="D86" s="818" t="s">
        <v>667</v>
      </c>
      <c r="E86" s="895">
        <v>0.2</v>
      </c>
      <c r="F86" s="882">
        <v>30</v>
      </c>
    </row>
    <row r="87" spans="1:6" s="878" customFormat="1" ht="36">
      <c r="A87" s="882">
        <v>27</v>
      </c>
      <c r="B87" s="3378"/>
      <c r="C87" s="818" t="s">
        <v>668</v>
      </c>
      <c r="D87" s="818" t="s">
        <v>669</v>
      </c>
      <c r="E87" s="895">
        <v>0.2</v>
      </c>
      <c r="F87" s="882">
        <v>30</v>
      </c>
    </row>
    <row r="88" spans="1:6" s="878" customFormat="1" ht="36">
      <c r="A88" s="882">
        <v>28</v>
      </c>
      <c r="B88" s="3378"/>
      <c r="C88" s="818" t="s">
        <v>670</v>
      </c>
      <c r="D88" s="818" t="s">
        <v>671</v>
      </c>
      <c r="E88" s="895">
        <v>0.2</v>
      </c>
      <c r="F88" s="882">
        <v>30</v>
      </c>
    </row>
    <row r="89" spans="1:6" s="878" customFormat="1" ht="24">
      <c r="A89" s="882">
        <v>29</v>
      </c>
      <c r="B89" s="3378"/>
      <c r="C89" s="818" t="s">
        <v>672</v>
      </c>
      <c r="D89" s="818" t="s">
        <v>673</v>
      </c>
      <c r="E89" s="895">
        <v>0.2</v>
      </c>
      <c r="F89" s="882">
        <v>30</v>
      </c>
    </row>
    <row r="90" spans="1:6" s="878" customFormat="1" ht="24">
      <c r="A90" s="882">
        <v>30</v>
      </c>
      <c r="B90" s="3378"/>
      <c r="C90" s="818" t="s">
        <v>674</v>
      </c>
      <c r="D90" s="818" t="s">
        <v>675</v>
      </c>
      <c r="E90" s="895">
        <v>0.2</v>
      </c>
      <c r="F90" s="882">
        <v>30</v>
      </c>
    </row>
    <row r="91" spans="1:6" s="878" customFormat="1" ht="36">
      <c r="A91" s="882">
        <v>31</v>
      </c>
      <c r="B91" s="3378"/>
      <c r="C91" s="818" t="s">
        <v>676</v>
      </c>
      <c r="D91" s="818" t="s">
        <v>677</v>
      </c>
      <c r="E91" s="895">
        <v>0.2</v>
      </c>
      <c r="F91" s="882">
        <v>30</v>
      </c>
    </row>
    <row r="92" spans="1:6" s="878" customFormat="1" ht="24">
      <c r="A92" s="882">
        <v>32</v>
      </c>
      <c r="B92" s="3378" t="s">
        <v>678</v>
      </c>
      <c r="C92" s="882" t="s">
        <v>679</v>
      </c>
      <c r="D92" s="818" t="s">
        <v>680</v>
      </c>
      <c r="E92" s="895">
        <v>0.2</v>
      </c>
      <c r="F92" s="882">
        <v>30</v>
      </c>
    </row>
    <row r="93" spans="1:6" s="878" customFormat="1" ht="36">
      <c r="A93" s="882">
        <v>33</v>
      </c>
      <c r="B93" s="3378"/>
      <c r="C93" s="882" t="s">
        <v>681</v>
      </c>
      <c r="D93" s="818" t="s">
        <v>682</v>
      </c>
      <c r="E93" s="895">
        <v>0.2</v>
      </c>
      <c r="F93" s="882">
        <v>30</v>
      </c>
    </row>
    <row r="94" spans="1:6" s="878" customFormat="1" ht="48">
      <c r="A94" s="882">
        <v>34</v>
      </c>
      <c r="B94" s="3378"/>
      <c r="C94" s="882" t="s">
        <v>683</v>
      </c>
      <c r="D94" s="818" t="s">
        <v>684</v>
      </c>
      <c r="E94" s="895">
        <v>0.2</v>
      </c>
      <c r="F94" s="882">
        <v>30</v>
      </c>
    </row>
    <row r="95" spans="1:6" s="878" customFormat="1" ht="36">
      <c r="A95" s="882">
        <v>35</v>
      </c>
      <c r="B95" s="3378"/>
      <c r="C95" s="882" t="s">
        <v>685</v>
      </c>
      <c r="D95" s="818" t="s">
        <v>686</v>
      </c>
      <c r="E95" s="895">
        <v>0.2</v>
      </c>
      <c r="F95" s="882">
        <v>30</v>
      </c>
    </row>
    <row r="96" spans="1:6" s="878" customFormat="1" ht="48">
      <c r="A96" s="882">
        <v>36</v>
      </c>
      <c r="B96" s="3378"/>
      <c r="C96" s="818" t="s">
        <v>687</v>
      </c>
      <c r="D96" s="818" t="s">
        <v>688</v>
      </c>
      <c r="E96" s="895">
        <v>0.2</v>
      </c>
      <c r="F96" s="882">
        <v>30</v>
      </c>
    </row>
    <row r="97" spans="1:6" s="878" customFormat="1" ht="36">
      <c r="A97" s="882">
        <v>37</v>
      </c>
      <c r="B97" s="3378"/>
      <c r="C97" s="882" t="s">
        <v>689</v>
      </c>
      <c r="D97" s="818" t="s">
        <v>690</v>
      </c>
      <c r="E97" s="895">
        <v>0.2</v>
      </c>
      <c r="F97" s="882">
        <v>30</v>
      </c>
    </row>
    <row r="98" spans="1:6" s="878" customFormat="1" ht="36">
      <c r="A98" s="882">
        <v>38</v>
      </c>
      <c r="B98" s="3378"/>
      <c r="C98" s="882" t="s">
        <v>691</v>
      </c>
      <c r="D98" s="818" t="s">
        <v>692</v>
      </c>
      <c r="E98" s="895">
        <v>0.2</v>
      </c>
      <c r="F98" s="882">
        <v>30</v>
      </c>
    </row>
    <row r="99" spans="1:6" s="878" customFormat="1" ht="36">
      <c r="A99" s="882">
        <v>39</v>
      </c>
      <c r="B99" s="3378" t="s">
        <v>693</v>
      </c>
      <c r="C99" s="882" t="s">
        <v>694</v>
      </c>
      <c r="D99" s="818" t="s">
        <v>695</v>
      </c>
      <c r="E99" s="895">
        <v>0.3</v>
      </c>
      <c r="F99" s="882">
        <v>50</v>
      </c>
    </row>
    <row r="100" spans="1:6" s="878" customFormat="1" ht="24">
      <c r="A100" s="882">
        <v>40</v>
      </c>
      <c r="B100" s="3378"/>
      <c r="C100" s="882" t="s">
        <v>696</v>
      </c>
      <c r="D100" s="818" t="s">
        <v>697</v>
      </c>
      <c r="E100" s="895">
        <v>0.2</v>
      </c>
      <c r="F100" s="882">
        <v>30</v>
      </c>
    </row>
    <row r="101" spans="1:6" s="878" customFormat="1" ht="36">
      <c r="A101" s="882">
        <v>41</v>
      </c>
      <c r="B101" s="33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78" t="s">
        <v>708</v>
      </c>
      <c r="C105" s="882" t="s">
        <v>709</v>
      </c>
      <c r="D105" s="818" t="s">
        <v>710</v>
      </c>
      <c r="E105" s="895">
        <v>0.2</v>
      </c>
      <c r="F105" s="882">
        <v>30</v>
      </c>
    </row>
    <row r="106" spans="1:6" s="878" customFormat="1" ht="36">
      <c r="A106" s="882">
        <v>46</v>
      </c>
      <c r="B106" s="3378"/>
      <c r="C106" s="882" t="s">
        <v>711</v>
      </c>
      <c r="D106" s="818" t="s">
        <v>712</v>
      </c>
      <c r="E106" s="895">
        <v>0.2</v>
      </c>
      <c r="F106" s="882">
        <v>30</v>
      </c>
    </row>
    <row r="107" spans="1:6" s="878" customFormat="1" ht="36">
      <c r="A107" s="882">
        <v>47</v>
      </c>
      <c r="B107" s="3378" t="s">
        <v>713</v>
      </c>
      <c r="C107" s="882" t="s">
        <v>714</v>
      </c>
      <c r="D107" s="818" t="s">
        <v>715</v>
      </c>
      <c r="E107" s="895">
        <v>0.3</v>
      </c>
      <c r="F107" s="882">
        <v>50</v>
      </c>
    </row>
    <row r="108" spans="1:6" s="878" customFormat="1" ht="36">
      <c r="A108" s="882">
        <v>48</v>
      </c>
      <c r="B108" s="33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78" t="s">
        <v>724</v>
      </c>
      <c r="C111" s="882" t="s">
        <v>725</v>
      </c>
      <c r="D111" s="818" t="s">
        <v>726</v>
      </c>
      <c r="E111" s="895">
        <v>0.2</v>
      </c>
      <c r="F111" s="882">
        <v>30</v>
      </c>
    </row>
    <row r="112" spans="1:6" s="878" customFormat="1" ht="24">
      <c r="A112" s="882">
        <v>52</v>
      </c>
      <c r="B112" s="3378"/>
      <c r="C112" s="882" t="s">
        <v>727</v>
      </c>
      <c r="D112" s="818" t="s">
        <v>728</v>
      </c>
      <c r="E112" s="895">
        <v>0.2</v>
      </c>
      <c r="F112" s="882">
        <v>30</v>
      </c>
    </row>
    <row r="113" spans="1:6" s="878" customFormat="1" ht="24">
      <c r="A113" s="882">
        <v>53</v>
      </c>
      <c r="B113" s="33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78" t="s">
        <v>737</v>
      </c>
      <c r="C116" s="882" t="s">
        <v>738</v>
      </c>
      <c r="D116" s="818" t="s">
        <v>739</v>
      </c>
      <c r="E116" s="895">
        <v>0.2</v>
      </c>
      <c r="F116" s="882">
        <v>30</v>
      </c>
    </row>
    <row r="117" spans="1:6" ht="36">
      <c r="A117" s="882">
        <v>57</v>
      </c>
      <c r="B117" s="33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2"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1.1861999999999999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1616</v>
      </c>
      <c r="B1" s="1959"/>
      <c r="C1" s="1959"/>
      <c r="D1" s="1959"/>
      <c r="E1" s="1959"/>
    </row>
    <row r="2" spans="1:5" ht="78" customHeight="1">
      <c r="A2" s="30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9"/>
      <c r="C2" s="3049"/>
      <c r="D2" s="3049"/>
      <c r="E2" s="3049"/>
    </row>
    <row r="3" spans="1:5" ht="18">
      <c r="A3" s="3050" t="str">
        <f>IF(项目基本情况!B9="房地产市场价值","估价结果一览表（市场价值不需“结果表-1”）","估价结果一览表")</f>
        <v>估价结果一览表</v>
      </c>
      <c r="B3" s="3050"/>
      <c r="C3" s="3050"/>
      <c r="D3" s="3050"/>
      <c r="E3" s="3050"/>
    </row>
    <row r="4" spans="1:5" ht="19.5" thickBot="1">
      <c r="A4" s="1961"/>
      <c r="B4" s="3048" t="s">
        <v>1625</v>
      </c>
      <c r="C4" s="3048"/>
      <c r="D4" s="3048"/>
      <c r="E4" s="1961"/>
    </row>
    <row r="5" spans="1:5" ht="16.5" thickTop="1">
      <c r="A5" s="1959"/>
      <c r="B5" s="3046" t="s">
        <v>1617</v>
      </c>
      <c r="C5" s="1962" t="s">
        <v>1618</v>
      </c>
      <c r="D5" s="1040">
        <f ca="1">结果表!H101</f>
        <v>74459</v>
      </c>
      <c r="E5" s="1959"/>
    </row>
    <row r="6" spans="1:5" ht="15.75">
      <c r="A6" s="1959"/>
      <c r="B6" s="3046"/>
      <c r="C6" s="1962" t="s">
        <v>1619</v>
      </c>
      <c r="D6" s="1040" t="str">
        <f ca="1">NUMBERSTRING(INT(D5*10000),2)&amp;"元整"</f>
        <v>柒亿肆仟肆佰伍拾玖万元整</v>
      </c>
      <c r="E6" s="1959"/>
    </row>
    <row r="7" spans="1:5" ht="15.75">
      <c r="A7" s="1959"/>
      <c r="B7" s="3051"/>
      <c r="C7" s="1963" t="s">
        <v>1620</v>
      </c>
      <c r="D7" s="1041">
        <f ca="1">结果表!H102</f>
        <v>27372</v>
      </c>
      <c r="E7" s="1959"/>
    </row>
    <row r="8" spans="1:5" ht="15.75">
      <c r="A8" s="1959"/>
      <c r="B8" s="3052" t="str">
        <f>结果表!E103</f>
        <v>2.估价师知悉的法定优先受偿款</v>
      </c>
      <c r="C8" s="1964" t="s">
        <v>1621</v>
      </c>
      <c r="D8" s="1041">
        <f>结果表!H103</f>
        <v>0</v>
      </c>
      <c r="E8" s="1959"/>
    </row>
    <row r="9" spans="1:5" ht="15.75">
      <c r="A9" s="1959"/>
      <c r="B9" s="3054"/>
      <c r="C9" s="1962" t="s">
        <v>1619</v>
      </c>
      <c r="D9" s="1040" t="str">
        <f>NUMBERSTRING(INT(D8*10000),2)&amp;"元整"</f>
        <v>零元整</v>
      </c>
      <c r="E9" s="1959"/>
    </row>
    <row r="10" spans="1:5" ht="15">
      <c r="A10" s="1959"/>
      <c r="B10" s="1965" t="s">
        <v>1624</v>
      </c>
      <c r="C10" s="1966" t="s">
        <v>1622</v>
      </c>
      <c r="D10" s="1042">
        <f>结果表!H104</f>
        <v>0</v>
      </c>
      <c r="E10" s="1959"/>
    </row>
    <row r="11" spans="1:5" ht="15">
      <c r="A11" s="1959"/>
      <c r="B11" s="1965" t="s">
        <v>1626</v>
      </c>
      <c r="C11" s="1966" t="s">
        <v>1627</v>
      </c>
      <c r="D11" s="1042">
        <f>结果表!H105</f>
        <v>0</v>
      </c>
      <c r="E11" s="1959"/>
    </row>
    <row r="12" spans="1:5" ht="15">
      <c r="A12" s="1959"/>
      <c r="B12" s="1965" t="s">
        <v>1628</v>
      </c>
      <c r="C12" s="1966" t="s">
        <v>1627</v>
      </c>
      <c r="D12" s="1042">
        <f>结果表!H106</f>
        <v>0</v>
      </c>
      <c r="E12" s="1959"/>
    </row>
    <row r="13" spans="1:5" ht="15.75">
      <c r="A13" s="1959"/>
      <c r="B13" s="3045" t="str">
        <f>结果表!E107</f>
        <v>3.房地产抵押价值</v>
      </c>
      <c r="C13" s="1967" t="s">
        <v>1618</v>
      </c>
      <c r="D13" s="1043">
        <f ca="1">结果表!H107</f>
        <v>74459</v>
      </c>
      <c r="E13" s="1959"/>
    </row>
    <row r="14" spans="1:5" ht="15.75">
      <c r="A14" s="1959"/>
      <c r="B14" s="3046"/>
      <c r="C14" s="1962" t="s">
        <v>1619</v>
      </c>
      <c r="D14" s="1040" t="str">
        <f ca="1">NUMBERSTRING(INT(D13*10000),2)&amp;"元整"</f>
        <v>柒亿肆仟肆佰伍拾玖万元整</v>
      </c>
      <c r="E14" s="1959"/>
    </row>
    <row r="15" spans="1:5" ht="15">
      <c r="A15" s="1959"/>
      <c r="B15" s="3051"/>
      <c r="C15" s="1963" t="s">
        <v>1629</v>
      </c>
      <c r="D15" s="1052">
        <f ca="1">结果表!H108</f>
        <v>27372</v>
      </c>
      <c r="E15" s="1959"/>
    </row>
    <row r="16" spans="1:5" ht="15">
      <c r="A16" s="1959"/>
      <c r="B16" s="3052" t="str">
        <f>结果表!E109</f>
        <v>——</v>
      </c>
      <c r="C16" s="1967" t="s">
        <v>1630</v>
      </c>
      <c r="D16" s="1968" t="str">
        <f>结果表!H109</f>
        <v>——</v>
      </c>
      <c r="E16" s="1959"/>
    </row>
    <row r="17" spans="1:5" ht="15.75">
      <c r="A17" s="1959"/>
      <c r="B17" s="3053"/>
      <c r="C17" s="1962" t="s">
        <v>1631</v>
      </c>
      <c r="D17" s="1040" t="e">
        <f>NUMBERSTRING(INT(D16*10000),2)&amp;"元整"</f>
        <v>#VALUE!</v>
      </c>
      <c r="E17" s="1959"/>
    </row>
    <row r="18" spans="1:5" ht="15">
      <c r="A18" s="1959"/>
      <c r="B18" s="3054"/>
      <c r="C18" s="1963" t="s">
        <v>1620</v>
      </c>
      <c r="D18" s="1052" t="str">
        <f>结果表!H110</f>
        <v>——</v>
      </c>
      <c r="E18" s="1959"/>
    </row>
    <row r="19" spans="1:5" ht="15.75">
      <c r="A19" s="1959"/>
      <c r="B19" s="3045" t="str">
        <f>结果表!E111</f>
        <v>——</v>
      </c>
      <c r="C19" s="1967" t="s">
        <v>1618</v>
      </c>
      <c r="D19" s="1041" t="str">
        <f>结果表!H111</f>
        <v>——</v>
      </c>
      <c r="E19" s="1959"/>
    </row>
    <row r="20" spans="1:5" ht="15.75">
      <c r="A20" s="1959"/>
      <c r="B20" s="3046"/>
      <c r="C20" s="1962" t="s">
        <v>1631</v>
      </c>
      <c r="D20" s="1040" t="e">
        <f>NUMBERSTRING(INT(D19*10000),2)&amp;"元整"</f>
        <v>#VALUE!</v>
      </c>
      <c r="E20" s="1959"/>
    </row>
    <row r="21" spans="1:5" ht="15.75" thickBot="1">
      <c r="A21" s="1959"/>
      <c r="B21" s="3047"/>
      <c r="C21" s="1969" t="s">
        <v>1629</v>
      </c>
      <c r="D21" s="1053" t="str">
        <f>结果表!H112</f>
        <v>——</v>
      </c>
      <c r="E21" s="1959"/>
    </row>
    <row r="22" spans="1:5" ht="15" thickTop="1">
      <c r="A22" s="1959"/>
      <c r="B22" s="1970" t="s">
        <v>1632</v>
      </c>
      <c r="C22" s="1959"/>
      <c r="D22" s="1959"/>
      <c r="E22" s="1959"/>
    </row>
    <row r="23" spans="1:5">
      <c r="A23" s="1959"/>
      <c r="B23" s="1959"/>
      <c r="C23" s="1959"/>
      <c r="D23" s="1959"/>
      <c r="E23" s="1959"/>
    </row>
    <row r="24" spans="1:5" ht="18.75">
      <c r="A24" s="1971"/>
      <c r="B24" s="1972" t="s">
        <v>1623</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2"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33" sqref="J3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2997</v>
      </c>
    </row>
    <row r="2" spans="1:5" ht="15.75">
      <c r="A2" s="2905" t="s">
        <v>2989</v>
      </c>
      <c r="B2" s="2906">
        <f ca="1">SUMIF(B6:B13,"&lt;&gt;#ref!",B6:B13)</f>
        <v>19605</v>
      </c>
      <c r="C2" s="2905" t="s">
        <v>2990</v>
      </c>
      <c r="D2" s="2905" t="s">
        <v>2991</v>
      </c>
      <c r="E2" s="2906">
        <f ca="1">SUMIF(E6:E13,"&lt;&gt;#ref!",E6:E13)</f>
        <v>27202.3</v>
      </c>
    </row>
    <row r="3" spans="1:5" ht="15.75">
      <c r="A3" s="2905" t="s">
        <v>2992</v>
      </c>
      <c r="B3" s="2906">
        <f ca="1">ROUND(B2*10000/E2,0)</f>
        <v>7207</v>
      </c>
      <c r="C3" s="2905" t="s">
        <v>2998</v>
      </c>
      <c r="D3" s="2907"/>
      <c r="E3" s="2907"/>
    </row>
    <row r="4" spans="1:5" ht="15.75">
      <c r="A4" s="2908"/>
      <c r="B4" s="2907"/>
      <c r="C4" s="2907"/>
      <c r="D4" s="2907"/>
      <c r="E4" s="2907"/>
    </row>
    <row r="5" spans="1:5" ht="28.5">
      <c r="A5" s="2909" t="s">
        <v>2993</v>
      </c>
      <c r="B5" s="2905" t="s">
        <v>2994</v>
      </c>
      <c r="C5" s="2906"/>
      <c r="D5" s="2907"/>
      <c r="E5" s="2905" t="s">
        <v>2995</v>
      </c>
    </row>
    <row r="6" spans="1:5" ht="15.75">
      <c r="A6" s="2910" t="s">
        <v>2996</v>
      </c>
      <c r="B6" s="2906">
        <f ca="1">SUMIF(INDIRECT("'"&amp;A6&amp;"'"&amp;"!A:A"),"总价",INDIRECT("'"&amp;A6&amp;"'"&amp;"!B:B"))</f>
        <v>19605</v>
      </c>
      <c r="C6" s="2905" t="s">
        <v>2990</v>
      </c>
      <c r="D6" s="2907"/>
      <c r="E6" s="2578">
        <f ca="1">SUMIF(INDIRECT("'"&amp;A6&amp;"'"&amp;"!C:C"),"建筑面积",INDIRECT("'"&amp;A6&amp;"'"&amp;"!D:D"))</f>
        <v>27202.3</v>
      </c>
    </row>
    <row r="7" spans="1:5" ht="15.75">
      <c r="A7" s="2910"/>
      <c r="B7" s="2906" t="e">
        <f ca="1">SUMIF(INDIRECT("'"&amp;A7&amp;"'"&amp;"!A:A"),"总价",INDIRECT("'"&amp;A7&amp;"'"&amp;"!B:B"))</f>
        <v>#REF!</v>
      </c>
      <c r="C7" s="2905" t="s">
        <v>2990</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2990</v>
      </c>
      <c r="D8" s="2907"/>
      <c r="E8" s="2578" t="e">
        <f t="shared" ca="1" si="0"/>
        <v>#REF!</v>
      </c>
    </row>
    <row r="9" spans="1:5" ht="15.75">
      <c r="A9" s="2910"/>
      <c r="B9" s="2906" t="e">
        <f t="shared" ca="1" si="1"/>
        <v>#REF!</v>
      </c>
      <c r="C9" s="2905" t="s">
        <v>2990</v>
      </c>
      <c r="D9" s="2907"/>
      <c r="E9" s="2578" t="e">
        <f t="shared" ca="1" si="0"/>
        <v>#REF!</v>
      </c>
    </row>
    <row r="10" spans="1:5" ht="15.75">
      <c r="A10" s="2910"/>
      <c r="B10" s="2906" t="e">
        <f t="shared" ca="1" si="1"/>
        <v>#REF!</v>
      </c>
      <c r="C10" s="2905" t="s">
        <v>2990</v>
      </c>
      <c r="D10" s="2907"/>
      <c r="E10" s="2578" t="e">
        <f t="shared" ca="1" si="0"/>
        <v>#REF!</v>
      </c>
    </row>
    <row r="11" spans="1:5" ht="15.75">
      <c r="A11" s="2910"/>
      <c r="B11" s="2906" t="e">
        <f t="shared" ca="1" si="1"/>
        <v>#REF!</v>
      </c>
      <c r="C11" s="2905" t="s">
        <v>2990</v>
      </c>
      <c r="D11" s="2907"/>
      <c r="E11" s="2578" t="e">
        <f t="shared" ca="1" si="0"/>
        <v>#REF!</v>
      </c>
    </row>
    <row r="12" spans="1:5" ht="15.75">
      <c r="A12" s="2910"/>
      <c r="B12" s="2906" t="e">
        <f t="shared" ca="1" si="1"/>
        <v>#REF!</v>
      </c>
      <c r="C12" s="2905" t="s">
        <v>2990</v>
      </c>
      <c r="D12" s="2907"/>
      <c r="E12" s="2578" t="e">
        <f t="shared" ca="1" si="0"/>
        <v>#REF!</v>
      </c>
    </row>
    <row r="13" spans="1:5" ht="15.75">
      <c r="A13" s="2910"/>
      <c r="B13" s="2906" t="e">
        <f t="shared" ca="1" si="1"/>
        <v>#REF!</v>
      </c>
      <c r="C13" s="2905" t="s">
        <v>2990</v>
      </c>
      <c r="D13" s="2907"/>
      <c r="E13" s="2578" t="e">
        <f t="shared" ca="1" si="0"/>
        <v>#REF!</v>
      </c>
    </row>
  </sheetData>
  <sheetProtection password="C66D" sheet="1" objects="1" scenarios="1" formatCells="0"/>
  <phoneticPr fontId="14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84" t="s">
        <v>1146</v>
      </c>
      <c r="C1" s="3384"/>
      <c r="D1" s="3384"/>
      <c r="E1" s="3384"/>
      <c r="F1" s="3384"/>
      <c r="G1" s="3383" t="s">
        <v>1147</v>
      </c>
      <c r="H1" s="3383"/>
      <c r="I1" s="3383"/>
      <c r="J1" s="3383"/>
      <c r="K1" s="3383"/>
      <c r="L1" s="3383"/>
      <c r="N1" s="3383" t="s">
        <v>1148</v>
      </c>
      <c r="O1" s="3383"/>
      <c r="P1" s="3383"/>
      <c r="Q1" s="3383"/>
      <c r="R1" s="1446"/>
      <c r="S1" s="3383" t="s">
        <v>1149</v>
      </c>
      <c r="T1" s="3383"/>
      <c r="U1" s="3383"/>
      <c r="V1" s="3383"/>
      <c r="X1" s="3382" t="s">
        <v>1150</v>
      </c>
      <c r="Y1" s="3383"/>
      <c r="Z1" s="3383"/>
      <c r="AA1" s="3383"/>
      <c r="AB1" s="3383"/>
      <c r="AD1" s="3382" t="s">
        <v>1151</v>
      </c>
      <c r="AE1" s="3383"/>
      <c r="AF1" s="3383"/>
      <c r="AG1" s="3383"/>
      <c r="AH1" s="3383"/>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3032</v>
      </c>
      <c r="B3" s="2922"/>
      <c r="C3" s="2922"/>
      <c r="D3" s="2923"/>
      <c r="E3" s="2923"/>
      <c r="F3" s="2922"/>
      <c r="G3" s="2924"/>
      <c r="H3" s="2925"/>
      <c r="I3" s="2926">
        <f>ROUND(AVERAGE($I4:$I26),2)</f>
        <v>2.06</v>
      </c>
      <c r="J3" s="2926">
        <f>ROUND(AVERAGE($J4:$J26),2)</f>
        <v>1.46</v>
      </c>
      <c r="K3" s="2926">
        <f>ROUND(AVERAGE($K4:$K26),2)</f>
        <v>2.2599999999999998</v>
      </c>
      <c r="L3" s="2926">
        <f>ROUND(AVERAGE($L4:$L26),2)</f>
        <v>1.4</v>
      </c>
      <c r="N3" s="2924"/>
      <c r="O3" s="2927"/>
      <c r="P3" s="2927"/>
      <c r="Q3" s="2927"/>
      <c r="R3" s="2927"/>
      <c r="S3" s="2924"/>
      <c r="T3" s="2927"/>
      <c r="U3" s="2927"/>
      <c r="V3" s="2927"/>
      <c r="W3" s="2919"/>
      <c r="X3" s="2928">
        <f>ROUND(SUMPRODUCT(PRODUCT(1+N3:N$25)),4)</f>
        <v>1.5189999999999999</v>
      </c>
      <c r="Y3" s="2928">
        <f>ROUND(SUMPRODUCT(PRODUCT(1+O3:O$25)),4)</f>
        <v>1.3423</v>
      </c>
      <c r="Z3" s="2928">
        <f t="shared" ref="Z3:Z23" si="0">Y3</f>
        <v>1.3423</v>
      </c>
      <c r="AA3" s="2928">
        <f>ROUND(SUMPRODUCT(PRODUCT(1+P3:P$25)),4)</f>
        <v>1.5782</v>
      </c>
      <c r="AB3" s="2928">
        <f>ROUND(SUMPRODUCT(PRODUCT(1+Q3:Q$25)),4)</f>
        <v>1.3405</v>
      </c>
      <c r="AD3" s="2929">
        <f>ROUND(AVERAGE(I3:I$26)/100,4)</f>
        <v>2.06E-2</v>
      </c>
      <c r="AE3" s="2929">
        <f>ROUND(AVERAGE(J3:J$26)/100,4)</f>
        <v>1.46E-2</v>
      </c>
      <c r="AF3" s="2929">
        <f t="shared" ref="AF3:AF24" si="1">AE3</f>
        <v>1.46E-2</v>
      </c>
      <c r="AG3" s="2929">
        <f>ROUND(AVERAGE(K3:K$26)/100,4)</f>
        <v>2.2599999999999999E-2</v>
      </c>
      <c r="AH3" s="2929">
        <f>ROUND(AVERAGE(L3:L$26)/100,4)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3046</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5">
        <v>2019</v>
      </c>
      <c r="H5" s="1730">
        <v>2</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3033</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3047</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4">
        <v>2019</v>
      </c>
      <c r="H6" s="1464">
        <v>1</v>
      </c>
      <c r="I6" s="2936">
        <v>0.6</v>
      </c>
      <c r="J6" s="2936">
        <v>0.37</v>
      </c>
      <c r="K6" s="2936">
        <v>0.63</v>
      </c>
      <c r="L6" s="2937">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3045</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80">
        <v>2018</v>
      </c>
      <c r="H7" s="1464">
        <v>4</v>
      </c>
      <c r="I7" s="2936">
        <v>0.96</v>
      </c>
      <c r="J7" s="2936">
        <v>1.03</v>
      </c>
      <c r="K7" s="2936">
        <v>0.92</v>
      </c>
      <c r="L7" s="2937">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3039</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80"/>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3038</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80"/>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3031</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89"/>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3028</v>
      </c>
      <c r="B11" s="1469">
        <v>439</v>
      </c>
      <c r="C11" s="1469">
        <v>327</v>
      </c>
      <c r="D11" s="1469">
        <f>C11</f>
        <v>327</v>
      </c>
      <c r="E11" s="1469">
        <v>627</v>
      </c>
      <c r="F11" s="1470">
        <v>283</v>
      </c>
      <c r="G11" s="3385">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3029</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80"/>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80"/>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89"/>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85">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80"/>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80"/>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81"/>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79">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80"/>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80"/>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81"/>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79">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80"/>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80"/>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81"/>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386">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87"/>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87"/>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88"/>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379">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80"/>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80"/>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381"/>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379">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80">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80">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81">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379">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80">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80">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81">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379">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80">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80">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81">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379">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80">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80">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81">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379">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80">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80">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81">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379">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80">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80">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81">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379">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80">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80">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81">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379">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80">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80">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81">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379">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80">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80">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381">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379">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80">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80">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381">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33" sqref="J33"/>
      <selection pane="bottomLeft" activeCell="J33" sqref="J3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391" t="s">
        <v>3000</v>
      </c>
      <c r="D1" s="3392"/>
      <c r="E1" s="3392"/>
      <c r="F1" s="3392"/>
      <c r="G1" s="3392"/>
      <c r="H1" s="3392"/>
      <c r="I1" s="3392"/>
      <c r="J1" s="3392"/>
      <c r="K1" s="3392"/>
      <c r="L1" s="3392"/>
      <c r="M1" s="3392"/>
      <c r="N1" s="3392"/>
      <c r="O1" s="3392"/>
      <c r="P1" s="3392"/>
      <c r="Q1" s="3392"/>
      <c r="R1" s="3392"/>
      <c r="S1" s="3393"/>
      <c r="T1" s="1204" t="s">
        <v>3001</v>
      </c>
    </row>
    <row r="2" spans="1:45" s="707" customFormat="1">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3009</v>
      </c>
      <c r="B17" s="2912"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3011</v>
      </c>
      <c r="E19" s="1792"/>
      <c r="F19" s="1792"/>
      <c r="G19" s="1792"/>
      <c r="H19" s="1280"/>
      <c r="I19" s="168"/>
      <c r="J19" s="168"/>
      <c r="K19" s="168"/>
      <c r="L19" s="168"/>
      <c r="M19" s="168"/>
      <c r="N19" s="168"/>
      <c r="O19" s="168"/>
      <c r="P19" s="168"/>
      <c r="Q19" s="168"/>
      <c r="R19" s="788"/>
      <c r="S19" s="138"/>
    </row>
    <row r="20" spans="1:45" ht="16.5" thickBot="1">
      <c r="A20" s="715" t="s">
        <v>3012</v>
      </c>
      <c r="B20" s="338" t="e">
        <f ca="1">IF(D20="——",S22,S22-F20)</f>
        <v>#REF!</v>
      </c>
      <c r="C20" s="168"/>
      <c r="D20" s="2914" t="s">
        <v>3013</v>
      </c>
      <c r="E20" s="1793"/>
      <c r="F20" s="1204" t="e">
        <f ca="1">SUMIF(INDIRECT("'"&amp;H20&amp;"'"&amp;"!A:A"),"承租人权益价值",INDIRECT("'"&amp;H20&amp;"'"&amp;"!c:c"))</f>
        <v>#REF!</v>
      </c>
      <c r="G20" s="1204" t="s">
        <v>3014</v>
      </c>
      <c r="H20" s="2915"/>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250" t="s">
        <v>33</v>
      </c>
      <c r="D22" s="3251"/>
      <c r="E22" s="3251"/>
      <c r="F22" s="3251"/>
      <c r="G22" s="3251"/>
      <c r="H22" s="3251"/>
      <c r="I22" s="3251"/>
      <c r="J22" s="3251"/>
      <c r="K22" s="3251"/>
      <c r="L22" s="3251"/>
      <c r="M22" s="3251"/>
      <c r="N22" s="3251"/>
      <c r="O22" s="3251"/>
      <c r="P22" s="3251"/>
      <c r="Q22" s="3390"/>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8"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40687</v>
      </c>
      <c r="C2" s="2" t="s">
        <v>133</v>
      </c>
      <c r="D2" s="243"/>
      <c r="E2" s="243"/>
      <c r="F2" s="243"/>
      <c r="G2" s="243"/>
    </row>
    <row r="3" spans="1:7" s="244" customFormat="1" ht="18" customHeight="1" thickBot="1">
      <c r="A3" s="247" t="s">
        <v>85</v>
      </c>
      <c r="B3" s="248">
        <f ca="1">ROUND(B2*10000/'数据-汇总表'!E3,0)</f>
        <v>14957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544</v>
      </c>
      <c r="D10" s="1032">
        <f>'数据-汇总表'!E6</f>
        <v>27202.3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544</v>
      </c>
      <c r="D19" s="1036">
        <f>'数据-汇总表'!E3</f>
        <v>27202.3</v>
      </c>
      <c r="E19" s="255">
        <f>'数据-取费表'!B31</f>
        <v>200</v>
      </c>
      <c r="F19" s="275"/>
      <c r="G19" s="1" t="s">
        <v>1071</v>
      </c>
    </row>
    <row r="20" spans="1:7" s="258" customFormat="1" ht="13.5" customHeight="1">
      <c r="A20" s="948" t="s">
        <v>1054</v>
      </c>
      <c r="B20" s="254" t="s">
        <v>104</v>
      </c>
      <c r="C20" s="276">
        <f>ROUND((C5+C19)*F20,0)</f>
        <v>423</v>
      </c>
      <c r="D20" s="276"/>
      <c r="E20" s="276"/>
      <c r="F20" s="277">
        <f>'数据-取费表'!B37</f>
        <v>0.02</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1540</v>
      </c>
      <c r="D22" s="279">
        <f ca="1">C26</f>
        <v>1.1000000000000001E-3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39</v>
      </c>
      <c r="D24" s="282"/>
      <c r="E24" s="282"/>
      <c r="F24" s="283"/>
      <c r="G24" s="284" t="s">
        <v>109</v>
      </c>
    </row>
    <row r="25" spans="1:7" s="258" customFormat="1" ht="24">
      <c r="A25" s="951" t="s">
        <v>793</v>
      </c>
      <c r="B25" s="259" t="s">
        <v>1055</v>
      </c>
      <c r="C25" s="1355">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1.1000000000000001E-3</v>
      </c>
      <c r="D26" s="282"/>
      <c r="E26" s="285"/>
      <c r="F26" s="283"/>
      <c r="G26" s="287"/>
    </row>
    <row r="27" spans="1:7" s="258" customFormat="1" ht="24.75">
      <c r="A27" s="948" t="s">
        <v>787</v>
      </c>
      <c r="B27" s="288" t="s">
        <v>112</v>
      </c>
      <c r="C27" s="289">
        <f>C28</f>
        <v>6473</v>
      </c>
      <c r="D27" s="279">
        <f>C29</f>
        <v>8.9999999999999993E-3</v>
      </c>
      <c r="E27" s="280" t="s">
        <v>126</v>
      </c>
      <c r="F27" s="290">
        <f>'数据-取费表'!Q16</f>
        <v>0.3</v>
      </c>
      <c r="G27" s="291" t="s">
        <v>1066</v>
      </c>
    </row>
    <row r="28" spans="1:7" s="258" customFormat="1" ht="13.5" customHeight="1">
      <c r="A28" s="951" t="s">
        <v>794</v>
      </c>
      <c r="B28" s="292" t="s">
        <v>1059</v>
      </c>
      <c r="C28" s="293">
        <f>ROUND((C5+C19+C20)*F27*'数据-取费表'!B21/'数据-取费表'!B20,0)</f>
        <v>6473</v>
      </c>
      <c r="D28" s="279"/>
      <c r="E28" s="280"/>
      <c r="F28" s="290"/>
      <c r="G28" s="291"/>
    </row>
    <row r="29" spans="1:7" s="258" customFormat="1" ht="13.5" customHeight="1">
      <c r="A29" s="951" t="s">
        <v>792</v>
      </c>
      <c r="B29" s="292" t="s">
        <v>1060</v>
      </c>
      <c r="C29" s="282">
        <f>ROUND(C21*F27*'数据-取费表'!B21/'数据-取费表'!B20,4)</f>
        <v>8.9999999999999993E-3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32640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7651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6801</v>
      </c>
      <c r="D34" s="261"/>
      <c r="E34" s="264"/>
      <c r="F34" s="301">
        <f>IF('数据-取费表'!B24=0,1,'数据-取费表'!N16)</f>
        <v>1</v>
      </c>
      <c r="G34" s="263" t="s">
        <v>116</v>
      </c>
    </row>
    <row r="35" spans="1:7" ht="13.5" customHeight="1">
      <c r="A35" s="951" t="s">
        <v>796</v>
      </c>
      <c r="B35" s="259" t="s">
        <v>60</v>
      </c>
      <c r="C35" s="264">
        <f>ROUND(C34*F35,0)</f>
        <v>204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544</v>
      </c>
      <c r="D37" s="261">
        <f>'数据-汇总表'!E3</f>
        <v>27202.3</v>
      </c>
      <c r="E37" s="293">
        <f>'数据-取费表'!B35</f>
        <v>200</v>
      </c>
      <c r="F37" s="303"/>
      <c r="G37" s="305" t="s">
        <v>119</v>
      </c>
    </row>
    <row r="38" spans="1:7" ht="13.5" customHeight="1">
      <c r="A38" s="951" t="s">
        <v>799</v>
      </c>
      <c r="B38" s="259" t="s">
        <v>63</v>
      </c>
      <c r="C38" s="264">
        <f>ROUND(C34*F38,0)</f>
        <v>102</v>
      </c>
      <c r="D38" s="264"/>
      <c r="E38" s="264"/>
      <c r="F38" s="303">
        <f>'数据-取费表'!B36</f>
        <v>1.4999999999999999E-2</v>
      </c>
      <c r="G38" s="263" t="s">
        <v>117</v>
      </c>
    </row>
    <row r="39" spans="1:7" s="258" customFormat="1" ht="13.5" customHeight="1">
      <c r="A39" s="948" t="s">
        <v>783</v>
      </c>
      <c r="B39" s="254" t="s">
        <v>104</v>
      </c>
      <c r="C39" s="276">
        <f>ROUND(C33*F20,0)</f>
        <v>153</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276</v>
      </c>
      <c r="D41" s="279">
        <f ca="1">C44</f>
        <v>1.1000000000000001E-3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271</v>
      </c>
      <c r="D42" s="282"/>
      <c r="E42" s="282"/>
      <c r="F42" s="283"/>
      <c r="G42" s="3255" t="s">
        <v>121</v>
      </c>
    </row>
    <row r="43" spans="1:7" ht="13.5" customHeight="1">
      <c r="A43" s="951" t="s">
        <v>792</v>
      </c>
      <c r="B43" s="259" t="s">
        <v>1061</v>
      </c>
      <c r="C43" s="282">
        <f ca="1">ROUND(IF('数据-取费表'!B22&lt;=1,C39*F22*'数据-取费表'!B21/2,C39*(POWER((1+F22),'数据-取费表'!B21/2)-1)),0)</f>
        <v>5</v>
      </c>
      <c r="D43" s="282"/>
      <c r="E43" s="282"/>
      <c r="F43" s="283"/>
      <c r="G43" s="3256"/>
    </row>
    <row r="44" spans="1:7" ht="13.5" customHeight="1">
      <c r="A44" s="951" t="s">
        <v>793</v>
      </c>
      <c r="B44" s="259" t="s">
        <v>1063</v>
      </c>
      <c r="C44" s="282">
        <f ca="1">ROUND(IF('数据-取费表'!B22&lt;=1,C40*F22*'数据-取费表'!B21/2,C40*(POWER((1+F22),'数据-取费表'!B21/2)-1)),4)</f>
        <v>1.1000000000000001E-3</v>
      </c>
      <c r="D44" s="282"/>
      <c r="E44" s="282"/>
      <c r="F44" s="283"/>
      <c r="G44" s="3257"/>
    </row>
    <row r="45" spans="1:7" s="258" customFormat="1" ht="13.5" customHeight="1">
      <c r="A45" s="948" t="s">
        <v>786</v>
      </c>
      <c r="B45" s="288" t="s">
        <v>112</v>
      </c>
      <c r="C45" s="289">
        <f>C46</f>
        <v>2341</v>
      </c>
      <c r="D45" s="279">
        <f>C47</f>
        <v>8.9999999999999993E-3</v>
      </c>
      <c r="E45" s="280" t="s">
        <v>129</v>
      </c>
      <c r="F45" s="290"/>
      <c r="G45" s="291" t="s">
        <v>1069</v>
      </c>
    </row>
    <row r="46" spans="1:7" s="258" customFormat="1" ht="13.5" customHeight="1">
      <c r="A46" s="951" t="s">
        <v>794</v>
      </c>
      <c r="B46" s="292" t="s">
        <v>1062</v>
      </c>
      <c r="C46" s="293">
        <f>ROUND((C33+C39)*F27,0)</f>
        <v>2341</v>
      </c>
      <c r="D46" s="307"/>
      <c r="E46" s="280"/>
      <c r="F46" s="290"/>
      <c r="G46" s="291"/>
    </row>
    <row r="47" spans="1:7" s="258" customFormat="1" ht="13.5" customHeight="1">
      <c r="A47" s="951" t="s">
        <v>792</v>
      </c>
      <c r="B47" s="292" t="s">
        <v>1064</v>
      </c>
      <c r="C47" s="282">
        <f>ROUND(C40*F27,4)</f>
        <v>8.9999999999999993E-3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11495</v>
      </c>
      <c r="D49" s="276"/>
      <c r="E49" s="276"/>
      <c r="F49" s="308"/>
      <c r="G49" s="278" t="s">
        <v>1070</v>
      </c>
    </row>
    <row r="50" spans="1:7" s="302" customFormat="1" ht="24">
      <c r="A50" s="948" t="s">
        <v>789</v>
      </c>
      <c r="B50" s="254" t="s">
        <v>124</v>
      </c>
      <c r="C50" s="276"/>
      <c r="D50" s="276"/>
      <c r="E50" s="276"/>
      <c r="F50" s="308">
        <f>IF('数据-取费表'!B24=0,'数据-取费表'!N16,1)</f>
        <v>0.7</v>
      </c>
      <c r="G50" s="291" t="s">
        <v>125</v>
      </c>
    </row>
    <row r="51" spans="1:7" ht="16.5" customHeight="1">
      <c r="A51" s="948" t="s">
        <v>790</v>
      </c>
      <c r="B51" s="254" t="s">
        <v>132</v>
      </c>
      <c r="C51" s="276">
        <f ca="1">ROUND(C49*F50,0)</f>
        <v>8047</v>
      </c>
      <c r="D51" s="276"/>
      <c r="E51" s="276"/>
      <c r="F51" s="308"/>
      <c r="G51" s="278" t="s">
        <v>64</v>
      </c>
    </row>
    <row r="52" spans="1:7" s="252" customFormat="1" ht="16.5" thickBot="1">
      <c r="A52" s="309" t="s">
        <v>65</v>
      </c>
      <c r="B52" s="310"/>
      <c r="C52" s="311">
        <f ca="1">C31+C51</f>
        <v>40687</v>
      </c>
      <c r="D52" s="310"/>
      <c r="E52" s="310"/>
      <c r="F52" s="310"/>
      <c r="G52" s="312"/>
    </row>
    <row r="55" spans="1:7" ht="15">
      <c r="B55" s="314" t="s">
        <v>66</v>
      </c>
      <c r="C55" s="315"/>
    </row>
    <row r="56" spans="1:7">
      <c r="B56" s="317" t="s">
        <v>67</v>
      </c>
      <c r="C56" s="318">
        <f ca="1">ROUND(C51/C52,3)</f>
        <v>0.19800000000000001</v>
      </c>
    </row>
    <row r="57" spans="1:7">
      <c r="B57" s="317" t="s">
        <v>68</v>
      </c>
      <c r="C57" s="319">
        <f ca="1">1-C56</f>
        <v>0.80200000000000005</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94" t="s">
        <v>156</v>
      </c>
      <c r="B1" s="3394"/>
      <c r="C1" s="3394"/>
      <c r="D1" s="3394"/>
      <c r="E1" s="3394"/>
      <c r="F1" s="33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95" t="s">
        <v>169</v>
      </c>
      <c r="B2" s="3395"/>
      <c r="C2" s="3395"/>
      <c r="D2" s="3395"/>
      <c r="E2" s="3395"/>
      <c r="F2" s="33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94" t="s">
        <v>868</v>
      </c>
      <c r="B1" s="3394"/>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10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43592</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64" t="str">
        <f>IF(项目基本情况!B9="房地产市场价值","估价结果一览表","结果表-2")</f>
        <v>结果表-2</v>
      </c>
      <c r="B1" s="3064"/>
      <c r="C1" s="3064"/>
      <c r="D1" s="3064"/>
      <c r="E1" s="3064"/>
      <c r="F1" s="3064"/>
      <c r="G1" s="3064"/>
      <c r="H1" s="3064"/>
      <c r="I1" s="3064"/>
    </row>
    <row r="2" spans="1:9" ht="30" customHeight="1" thickTop="1">
      <c r="A2" s="3065" t="s">
        <v>1636</v>
      </c>
      <c r="B2" s="3065" t="s">
        <v>1637</v>
      </c>
      <c r="C2" s="3065" t="s">
        <v>1638</v>
      </c>
      <c r="D2" s="3065" t="str">
        <f>结果表!D116</f>
        <v>出让国有建设用地使用权价值</v>
      </c>
      <c r="E2" s="3065"/>
      <c r="F2" s="3065" t="str">
        <f>结果表!F116</f>
        <v>建筑物价值</v>
      </c>
      <c r="G2" s="3065"/>
      <c r="H2" s="3065" t="str">
        <f>IF(项目基本情况!B9="房地产市场价值","房地产市场价值","房地产价值")</f>
        <v>房地产价值</v>
      </c>
      <c r="I2" s="3065"/>
    </row>
    <row r="3" spans="1:9" ht="15">
      <c r="A3" s="3059"/>
      <c r="B3" s="3059"/>
      <c r="C3" s="3059"/>
      <c r="D3" s="1044" t="s">
        <v>1633</v>
      </c>
      <c r="E3" s="1044" t="s">
        <v>1639</v>
      </c>
      <c r="F3" s="1044" t="s">
        <v>1633</v>
      </c>
      <c r="G3" s="1044" t="s">
        <v>1634</v>
      </c>
      <c r="H3" s="1044" t="s">
        <v>1633</v>
      </c>
      <c r="I3" s="1044" t="s">
        <v>1634</v>
      </c>
    </row>
    <row r="4" spans="1:9" ht="30">
      <c r="A4" s="1973" t="str">
        <f>项目基本情况!S2</f>
        <v>北京市朝阳区建国门外郎家园6号“郎园Vintage”项目房地产</v>
      </c>
      <c r="B4" s="1044">
        <f>项目基本情况!C17</f>
        <v>27202.3</v>
      </c>
      <c r="C4" s="1044">
        <f>项目基本情况!C18</f>
        <v>18455.759999999998</v>
      </c>
      <c r="D4" s="1044">
        <f ca="1">结果表!D118</f>
        <v>59493</v>
      </c>
      <c r="E4" s="1044">
        <f ca="1">结果表!E118</f>
        <v>21870</v>
      </c>
      <c r="F4" s="1044">
        <f ca="1">结果表!F118</f>
        <v>14966</v>
      </c>
      <c r="G4" s="1044">
        <f ca="1">结果表!G118</f>
        <v>5502</v>
      </c>
      <c r="H4" s="1044">
        <f ca="1">结果表!H118</f>
        <v>74459</v>
      </c>
      <c r="I4" s="1044">
        <f ca="1">结果表!I118</f>
        <v>27372</v>
      </c>
    </row>
    <row r="5" spans="1:9" ht="30" customHeight="1">
      <c r="A5" s="3059" t="s">
        <v>1635</v>
      </c>
      <c r="B5" s="3059"/>
      <c r="C5" s="3059"/>
      <c r="D5" s="3060" t="str">
        <f ca="1">结果表!D119</f>
        <v>伍亿玖仟肆佰玖拾叁万元整</v>
      </c>
      <c r="E5" s="3060"/>
      <c r="F5" s="3060" t="str">
        <f ca="1">结果表!F119</f>
        <v>壹亿肆仟玖佰陆拾陆万元整</v>
      </c>
      <c r="G5" s="3060"/>
      <c r="H5" s="3060" t="str">
        <f ca="1">结果表!H119</f>
        <v>柒亿肆仟肆佰伍拾玖万元整</v>
      </c>
      <c r="I5" s="3060"/>
    </row>
    <row r="6" spans="1:9" ht="15.75">
      <c r="A6" s="3058" t="str">
        <f>结果表!A120</f>
        <v>估价师知悉的法定优先受偿款</v>
      </c>
      <c r="B6" s="3058"/>
      <c r="C6" s="3058"/>
      <c r="D6" s="3058">
        <f>结果表!D120</f>
        <v>0</v>
      </c>
      <c r="E6" s="3058"/>
      <c r="F6" s="3058"/>
      <c r="G6" s="3058"/>
      <c r="H6" s="3058"/>
      <c r="I6" s="3058"/>
    </row>
    <row r="7" spans="1:9" ht="15">
      <c r="A7" s="3059" t="s">
        <v>1635</v>
      </c>
      <c r="B7" s="3059"/>
      <c r="C7" s="3059"/>
      <c r="D7" s="3061" t="str">
        <f>结果表!D121</f>
        <v>零元整</v>
      </c>
      <c r="E7" s="3062"/>
      <c r="F7" s="3062"/>
      <c r="G7" s="3062"/>
      <c r="H7" s="3062"/>
      <c r="I7" s="3063"/>
    </row>
    <row r="8" spans="1:9" ht="15.75">
      <c r="A8" s="3058" t="str">
        <f>结果表!A122</f>
        <v>房地产抵押价值</v>
      </c>
      <c r="B8" s="3058"/>
      <c r="C8" s="3058"/>
      <c r="D8" s="3058">
        <f ca="1">结果表!D122</f>
        <v>74459</v>
      </c>
      <c r="E8" s="3058"/>
      <c r="F8" s="3058"/>
      <c r="G8" s="3058"/>
      <c r="H8" s="3058"/>
      <c r="I8" s="3058"/>
    </row>
    <row r="9" spans="1:9" ht="15">
      <c r="A9" s="3059" t="s">
        <v>1635</v>
      </c>
      <c r="B9" s="3059"/>
      <c r="C9" s="3059"/>
      <c r="D9" s="3060" t="str">
        <f ca="1">结果表!D123</f>
        <v>柒亿肆仟肆佰伍拾玖万元整</v>
      </c>
      <c r="E9" s="3060"/>
      <c r="F9" s="3060"/>
      <c r="G9" s="3060"/>
      <c r="H9" s="3060"/>
      <c r="I9" s="3060"/>
    </row>
    <row r="10" spans="1:9" ht="15.75">
      <c r="A10" s="3058" t="str">
        <f>结果表!A124</f>
        <v/>
      </c>
      <c r="B10" s="3058"/>
      <c r="C10" s="3058"/>
      <c r="D10" s="3058" t="str">
        <f>结果表!D124</f>
        <v>——</v>
      </c>
      <c r="E10" s="3058"/>
      <c r="F10" s="3058"/>
      <c r="G10" s="3058"/>
      <c r="H10" s="3058"/>
      <c r="I10" s="3058"/>
    </row>
    <row r="11" spans="1:9" ht="15">
      <c r="A11" s="3059" t="s">
        <v>1635</v>
      </c>
      <c r="B11" s="3059"/>
      <c r="C11" s="3059"/>
      <c r="D11" s="3060" t="e">
        <f>结果表!D125</f>
        <v>#VALUE!</v>
      </c>
      <c r="E11" s="3060"/>
      <c r="F11" s="3060"/>
      <c r="G11" s="3060"/>
      <c r="H11" s="3060"/>
      <c r="I11" s="3060"/>
    </row>
    <row r="12" spans="1:9" ht="15.75">
      <c r="A12" s="3058" t="str">
        <f>结果表!A126</f>
        <v/>
      </c>
      <c r="B12" s="3058"/>
      <c r="C12" s="3058"/>
      <c r="D12" s="3058" t="str">
        <f>结果表!D126</f>
        <v>——</v>
      </c>
      <c r="E12" s="3058"/>
      <c r="F12" s="3058"/>
      <c r="G12" s="3058"/>
      <c r="H12" s="3058"/>
      <c r="I12" s="3058"/>
    </row>
    <row r="13" spans="1:9" ht="15.75" thickBot="1">
      <c r="A13" s="3055" t="s">
        <v>1635</v>
      </c>
      <c r="B13" s="3055"/>
      <c r="C13" s="3055"/>
      <c r="D13" s="3056" t="e">
        <f>结果表!D127</f>
        <v>#VALUE!</v>
      </c>
      <c r="E13" s="3056"/>
      <c r="F13" s="3056"/>
      <c r="G13" s="3056"/>
      <c r="H13" s="3056"/>
      <c r="I13" s="3056"/>
    </row>
    <row r="14" spans="1:9" ht="15" thickTop="1">
      <c r="A14" s="3057" t="s">
        <v>1640</v>
      </c>
      <c r="B14" s="3057"/>
      <c r="C14" s="3057"/>
      <c r="D14" s="3057"/>
      <c r="E14" s="3057"/>
      <c r="F14" s="3057"/>
      <c r="G14" s="3057"/>
      <c r="H14" s="3057"/>
      <c r="I14" s="3057"/>
    </row>
    <row r="16" spans="1:9" ht="18.75">
      <c r="A16" s="1974" t="s">
        <v>1623</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72" t="s">
        <v>1657</v>
      </c>
      <c r="B1" s="3072"/>
      <c r="C1" s="3072"/>
      <c r="D1" s="3072"/>
    </row>
    <row r="2" spans="1:4" ht="18">
      <c r="A2" s="3073" t="s">
        <v>1641</v>
      </c>
      <c r="B2" s="3073"/>
      <c r="C2" s="3073"/>
      <c r="D2" s="3073"/>
    </row>
    <row r="3" spans="1:4" ht="18.75">
      <c r="A3" s="1977" t="s">
        <v>1642</v>
      </c>
      <c r="B3" s="1977" t="s">
        <v>1643</v>
      </c>
      <c r="C3" s="1977" t="s">
        <v>1644</v>
      </c>
      <c r="D3" s="1977" t="s">
        <v>1645</v>
      </c>
    </row>
    <row r="4" spans="1:4" ht="56.25" customHeight="1">
      <c r="A4" s="1978" t="str">
        <f>项目基本情况!B4</f>
        <v>郑燚</v>
      </c>
      <c r="B4" s="1979">
        <f ca="1">项目基本情况!C4</f>
        <v>1120070131</v>
      </c>
      <c r="C4" s="1980"/>
      <c r="D4" s="1981" t="s">
        <v>1646</v>
      </c>
    </row>
    <row r="5" spans="1:4" ht="56.25" customHeight="1">
      <c r="A5" s="1978" t="str">
        <f>项目基本情况!D4</f>
        <v>王鹏</v>
      </c>
      <c r="B5" s="1979">
        <f ca="1">项目基本情况!E4</f>
        <v>1120050019</v>
      </c>
      <c r="C5" s="1982"/>
      <c r="D5" s="1981" t="s">
        <v>1646</v>
      </c>
    </row>
    <row r="6" spans="1:4" ht="18">
      <c r="A6" s="3073" t="s">
        <v>1647</v>
      </c>
      <c r="B6" s="3073"/>
      <c r="C6" s="3073"/>
      <c r="D6" s="3073"/>
    </row>
    <row r="7" spans="1:4" ht="18.75">
      <c r="A7" s="1977" t="s">
        <v>1642</v>
      </c>
      <c r="B7" s="1979" t="s">
        <v>1648</v>
      </c>
      <c r="C7" s="1977" t="s">
        <v>1644</v>
      </c>
      <c r="D7" s="1977" t="s">
        <v>1645</v>
      </c>
    </row>
    <row r="8" spans="1:4" ht="56.25" customHeight="1">
      <c r="A8" s="1983" t="s">
        <v>866</v>
      </c>
      <c r="B8" s="1983" t="s">
        <v>1</v>
      </c>
      <c r="C8" s="1980"/>
      <c r="D8" s="1981" t="s">
        <v>1646</v>
      </c>
    </row>
    <row r="9" spans="1:4">
      <c r="A9" s="728"/>
      <c r="B9" s="728"/>
      <c r="C9" s="728"/>
      <c r="D9" s="728"/>
    </row>
    <row r="10" spans="1:4" ht="18.75">
      <c r="A10" s="1984" t="s">
        <v>1649</v>
      </c>
      <c r="B10" s="728"/>
      <c r="C10" s="728"/>
      <c r="D10" s="728"/>
    </row>
    <row r="11" spans="1:4" ht="30" customHeight="1">
      <c r="A11" s="3074" t="s">
        <v>1650</v>
      </c>
      <c r="B11" s="3066"/>
      <c r="C11" s="3066"/>
      <c r="D11" s="3066"/>
    </row>
    <row r="12" spans="1:4" ht="15.75">
      <c r="A12" s="30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1"/>
      <c r="C12" s="3071"/>
      <c r="D12" s="3071"/>
    </row>
    <row r="13" spans="1:4" ht="30" customHeight="1">
      <c r="A13" s="30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1"/>
      <c r="C13" s="3071"/>
      <c r="D13" s="3071"/>
    </row>
    <row r="14" spans="1:4" ht="15.75" customHeight="1">
      <c r="A14" s="3066" t="str">
        <f>IF(项目基本情况!B8="抵押","4.本次评估估价师所知悉的法定优先受偿款情况说明如下：","——")</f>
        <v>4.本次评估估价师所知悉的法定优先受偿款情况说明如下：</v>
      </c>
      <c r="B14" s="3071"/>
      <c r="C14" s="3071"/>
      <c r="D14" s="3071"/>
    </row>
    <row r="15" spans="1:4" ht="42" customHeight="1">
      <c r="A15" s="30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6"/>
      <c r="C15" s="3066"/>
      <c r="D15" s="3066"/>
    </row>
    <row r="16" spans="1:4" ht="30" customHeight="1">
      <c r="A16" s="3068" t="s">
        <v>1651</v>
      </c>
      <c r="B16" s="3068"/>
      <c r="C16" s="3068"/>
      <c r="D16" s="3068"/>
    </row>
    <row r="17" spans="1:4" ht="144" customHeight="1">
      <c r="A17" s="3068" t="s">
        <v>1652</v>
      </c>
      <c r="B17" s="3068"/>
      <c r="C17" s="3068"/>
      <c r="D17" s="3068"/>
    </row>
    <row r="18" spans="1:4" ht="15.75" customHeight="1">
      <c r="A18" s="3066" t="str">
        <f>IF(项目基本情况!B8="抵押",结果表!K120,"——")</f>
        <v>故，本次评估不存在估价师知悉的法定优先受偿款</v>
      </c>
      <c r="B18" s="3066"/>
      <c r="C18" s="3066"/>
      <c r="D18" s="3066"/>
    </row>
    <row r="19" spans="1:4" ht="46.5" customHeight="1">
      <c r="A19" s="30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6"/>
      <c r="C19" s="3066"/>
      <c r="D19" s="3066"/>
    </row>
    <row r="20" spans="1:4" ht="57.75" customHeight="1">
      <c r="A20" s="30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6"/>
      <c r="C20" s="3066"/>
      <c r="D20" s="3066"/>
    </row>
    <row r="21" spans="1:4" ht="57.75" customHeight="1">
      <c r="A21" s="30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9"/>
      <c r="C21" s="3069"/>
      <c r="D21" s="3069"/>
    </row>
    <row r="22" spans="1:4" ht="18.75" customHeight="1">
      <c r="A22" s="3070" t="s">
        <v>1653</v>
      </c>
      <c r="B22" s="3070"/>
      <c r="C22" s="3070"/>
      <c r="D22" s="3070"/>
    </row>
    <row r="23" spans="1:4">
      <c r="A23" s="1985"/>
      <c r="B23" s="1957"/>
      <c r="C23" s="1957"/>
      <c r="D23" s="1957"/>
    </row>
    <row r="24" spans="1:4">
      <c r="A24" s="1985"/>
      <c r="B24" s="1957"/>
      <c r="C24" s="1957"/>
      <c r="D24" s="1957"/>
    </row>
    <row r="25" spans="1:4" ht="18.75">
      <c r="A25" s="1986" t="s">
        <v>1654</v>
      </c>
    </row>
    <row r="26" spans="1:4" ht="18">
      <c r="A26" s="1955"/>
    </row>
    <row r="27" spans="1:4" ht="18.75">
      <c r="A27" s="1955" t="s">
        <v>1655</v>
      </c>
    </row>
    <row r="30" spans="1:4" ht="18.75">
      <c r="D30" s="1986" t="s">
        <v>1656</v>
      </c>
    </row>
    <row r="31" spans="1:4" ht="13.5" customHeight="1">
      <c r="C31" s="3067">
        <v>42551</v>
      </c>
      <c r="D31" s="30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1658</v>
      </c>
    </row>
    <row r="3" spans="1:7">
      <c r="A3" s="1991" t="s">
        <v>82</v>
      </c>
      <c r="B3" s="1975" t="s">
        <v>1659</v>
      </c>
      <c r="G3" s="1992"/>
    </row>
    <row r="4" spans="1:7">
      <c r="G4" s="1992"/>
    </row>
    <row r="5" spans="1:7">
      <c r="A5" s="1994" t="s">
        <v>73</v>
      </c>
      <c r="B5" s="1975" t="s">
        <v>1660</v>
      </c>
      <c r="G5" s="1992"/>
    </row>
    <row r="6" spans="1:7">
      <c r="G6" s="1992"/>
    </row>
    <row r="7" spans="1:7">
      <c r="A7" s="1995" t="s">
        <v>135</v>
      </c>
      <c r="B7" s="1975" t="s">
        <v>1661</v>
      </c>
      <c r="G7" s="1992"/>
    </row>
    <row r="8" spans="1:7">
      <c r="G8" s="1992"/>
    </row>
    <row r="9" spans="1:7">
      <c r="A9" s="1996" t="s">
        <v>74</v>
      </c>
      <c r="B9" s="1975" t="s">
        <v>1662</v>
      </c>
    </row>
    <row r="11" spans="1:7">
      <c r="A11" s="1997" t="s">
        <v>75</v>
      </c>
      <c r="B11" s="1998" t="s">
        <v>72</v>
      </c>
    </row>
    <row r="13" spans="1:7">
      <c r="A13" s="1999" t="s">
        <v>1663</v>
      </c>
    </row>
    <row r="15" spans="1:7" ht="13.5">
      <c r="A15" s="3080" t="s">
        <v>1664</v>
      </c>
      <c r="B15" s="3075" t="s">
        <v>136</v>
      </c>
      <c r="C15" s="3076"/>
    </row>
    <row r="16" spans="1:7" ht="13.5">
      <c r="A16" s="3081"/>
      <c r="B16" s="3075" t="s">
        <v>69</v>
      </c>
      <c r="C16" s="3076"/>
    </row>
    <row r="17" spans="1:3" ht="13.5">
      <c r="A17" s="3081"/>
      <c r="B17" s="3078" t="s">
        <v>1665</v>
      </c>
      <c r="C17" s="2000" t="s">
        <v>1664</v>
      </c>
    </row>
    <row r="18" spans="1:3" ht="13.5">
      <c r="A18" s="3081"/>
      <c r="B18" s="3078"/>
      <c r="C18" s="2000" t="s">
        <v>1666</v>
      </c>
    </row>
    <row r="19" spans="1:3" ht="13.5">
      <c r="A19" s="3081"/>
      <c r="B19" s="3078"/>
      <c r="C19" s="2000" t="s">
        <v>1667</v>
      </c>
    </row>
    <row r="20" spans="1:3" ht="13.5">
      <c r="A20" s="3082"/>
      <c r="B20" s="3077" t="s">
        <v>1668</v>
      </c>
      <c r="C20" s="3076"/>
    </row>
    <row r="21" spans="1:3" ht="13.5">
      <c r="A21" s="2001" t="s">
        <v>1669</v>
      </c>
      <c r="B21" s="2002"/>
      <c r="C21" s="2003"/>
    </row>
    <row r="22" spans="1:3" ht="13.5">
      <c r="A22" s="3079" t="s">
        <v>1670</v>
      </c>
      <c r="B22" s="3077" t="s">
        <v>1671</v>
      </c>
      <c r="C22" s="3076"/>
    </row>
    <row r="23" spans="1:3" ht="13.5">
      <c r="A23" s="3079"/>
      <c r="B23" s="3077" t="s">
        <v>1672</v>
      </c>
      <c r="C23" s="3076"/>
    </row>
    <row r="24" spans="1:3" ht="13.5">
      <c r="A24" s="3079"/>
      <c r="B24" s="3077" t="s">
        <v>1673</v>
      </c>
      <c r="C24" s="3076"/>
    </row>
    <row r="25" spans="1:3" ht="13.5">
      <c r="A25" s="3079"/>
      <c r="B25" s="3078" t="s">
        <v>1674</v>
      </c>
      <c r="C25" s="2000" t="s">
        <v>1675</v>
      </c>
    </row>
    <row r="26" spans="1:3" ht="13.5">
      <c r="A26" s="3079"/>
      <c r="B26" s="3078"/>
      <c r="C26" s="2000" t="s">
        <v>1676</v>
      </c>
    </row>
    <row r="27" spans="1:3" ht="13.5">
      <c r="A27" s="3079"/>
      <c r="B27" s="3078"/>
      <c r="C27" s="2000" t="s">
        <v>1677</v>
      </c>
    </row>
    <row r="28" spans="1:3" ht="13.5">
      <c r="A28" s="3079"/>
      <c r="B28" s="3078"/>
      <c r="C28" s="2000" t="s">
        <v>1678</v>
      </c>
    </row>
    <row r="29" spans="1:3" ht="13.5">
      <c r="A29" s="3079"/>
      <c r="B29" s="3078"/>
      <c r="C29" s="2000" t="s">
        <v>1679</v>
      </c>
    </row>
    <row r="30" spans="1:3" ht="13.5">
      <c r="A30" s="3079"/>
      <c r="B30" s="3078"/>
      <c r="C30" s="2000" t="s">
        <v>1680</v>
      </c>
    </row>
    <row r="31" spans="1:3" ht="13.5">
      <c r="A31" s="3079"/>
      <c r="B31" s="3078"/>
      <c r="C31" s="2000" t="s">
        <v>1681</v>
      </c>
    </row>
    <row r="32" spans="1:3" ht="13.5">
      <c r="A32" s="3079"/>
      <c r="B32" s="3078"/>
      <c r="C32" s="2000" t="s">
        <v>1682</v>
      </c>
    </row>
    <row r="33" spans="1:3" ht="13.5">
      <c r="A33" s="3079"/>
      <c r="B33" s="3078"/>
      <c r="C33" s="2000" t="s">
        <v>1683</v>
      </c>
    </row>
    <row r="34" spans="1:3">
      <c r="A34" s="2004" t="s">
        <v>76</v>
      </c>
    </row>
    <row r="37" spans="1:3">
      <c r="A37" s="2004" t="s">
        <v>1684</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43594</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3040</v>
      </c>
      <c r="B14" s="1022">
        <f ca="1">IF(C14&lt;B2,"已过期",1120040230)</f>
        <v>1120040230</v>
      </c>
      <c r="C14" s="2348">
        <v>43835</v>
      </c>
      <c r="D14" s="2351" t="s">
        <v>3040</v>
      </c>
      <c r="E14" s="1022">
        <f ca="1">IF(F14&lt;B2,"已过期",98030020)</f>
        <v>98030020</v>
      </c>
      <c r="F14" s="1030">
        <v>47118</v>
      </c>
    </row>
    <row r="15" spans="1:6" ht="24" customHeight="1">
      <c r="A15" s="1703" t="s">
        <v>3041</v>
      </c>
      <c r="B15" s="1022">
        <f ca="1">IF(C15&lt;B2,"已过期",1120070085)</f>
        <v>1120070085</v>
      </c>
      <c r="C15" s="2348">
        <v>43814</v>
      </c>
      <c r="D15" s="2352" t="s">
        <v>3041</v>
      </c>
      <c r="E15" s="1022">
        <f ca="1">IF(F15&lt;B2,"已过期",2004110128)</f>
        <v>2004110128</v>
      </c>
      <c r="F15" s="1023">
        <v>47118</v>
      </c>
    </row>
    <row r="16" spans="1:6" ht="24" customHeight="1">
      <c r="A16" s="1702" t="s">
        <v>3042</v>
      </c>
      <c r="B16" s="1022">
        <f ca="1">IF(C16&lt;B2,"已过期",1120140022)</f>
        <v>1120140022</v>
      </c>
      <c r="C16" s="2931">
        <v>44029</v>
      </c>
      <c r="D16" s="2351" t="s">
        <v>3042</v>
      </c>
      <c r="E16" s="1022">
        <f ca="1">IF(F16&lt;B2,"已过期",2008110059)</f>
        <v>2008110059</v>
      </c>
      <c r="F16" s="1030">
        <v>47177</v>
      </c>
    </row>
    <row r="17" spans="1:7" ht="24" customHeight="1">
      <c r="A17" s="1702"/>
      <c r="B17" s="1022"/>
      <c r="C17" s="2348"/>
      <c r="D17" s="2351" t="s">
        <v>3043</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83" t="s">
        <v>843</v>
      </c>
      <c r="B25" s="3083"/>
      <c r="C25" s="3083"/>
      <c r="D25" s="3083"/>
      <c r="E25" s="3083"/>
      <c r="F25" s="3083"/>
      <c r="G25" s="3083"/>
    </row>
    <row r="26" spans="1:7" s="1025" customFormat="1" ht="24" customHeight="1">
      <c r="A26" s="3084" t="s">
        <v>844</v>
      </c>
      <c r="B26" s="3084"/>
      <c r="C26" s="3085"/>
      <c r="D26" s="3086" t="s">
        <v>845</v>
      </c>
      <c r="E26" s="3084"/>
      <c r="F26" s="3084"/>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9"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东</vt:lpstr>
      <vt:lpstr>西</vt:lpstr>
      <vt:lpstr>数据-汇总表</vt:lpstr>
      <vt:lpstr>数据-取费表</vt:lpstr>
      <vt:lpstr>估价对象房地状况</vt:lpstr>
      <vt:lpstr>租约台账</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2019-05-09T06:55:03Z</dcterms:modified>
</cp:coreProperties>
</file>