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8" i="80" l="1"/>
  <c r="C19" i="80"/>
  <c r="F19" i="6"/>
  <c r="C17" i="80"/>
  <c r="AN16" i="3"/>
  <c r="AL16" i="3"/>
  <c r="B20" i="3"/>
  <c r="B19" i="3"/>
  <c r="B18" i="3"/>
  <c r="B16" i="3"/>
  <c r="B15" i="3"/>
  <c r="B14" i="3"/>
  <c r="L13" i="80"/>
  <c r="L14" i="80"/>
  <c r="J14" i="80"/>
  <c r="O25" i="1" l="1"/>
  <c r="H27" i="80"/>
  <c r="J27" i="80" s="1"/>
  <c r="H26" i="80"/>
  <c r="C31" i="80"/>
  <c r="E9" i="80"/>
  <c r="D7" i="80"/>
  <c r="D8" i="80"/>
  <c r="D6" i="80"/>
  <c r="C3" i="80"/>
  <c r="C4" i="80"/>
  <c r="C2" i="80"/>
  <c r="J12" i="80" s="1"/>
  <c r="J31" i="80"/>
  <c r="D31" i="80"/>
  <c r="D18" i="80"/>
  <c r="D17" i="80" s="1"/>
  <c r="B9" i="80"/>
  <c r="B8" i="80"/>
  <c r="B7" i="80"/>
  <c r="B6" i="80"/>
  <c r="B5" i="80"/>
  <c r="B4" i="80"/>
  <c r="B3" i="80"/>
  <c r="B2" i="80"/>
  <c r="O27" i="1"/>
  <c r="N27" i="1"/>
  <c r="M27" i="1"/>
  <c r="O26" i="1"/>
  <c r="N26" i="1"/>
  <c r="M26" i="1"/>
  <c r="N25" i="1"/>
  <c r="P25" i="1" s="1"/>
  <c r="M25" i="1"/>
  <c r="N24" i="1"/>
  <c r="P24" i="1" s="1"/>
  <c r="M24" i="1"/>
  <c r="O23" i="1"/>
  <c r="O22" i="1"/>
  <c r="M22" i="1"/>
  <c r="O21" i="1"/>
  <c r="M21" i="1"/>
  <c r="O20" i="1"/>
  <c r="M20" i="1"/>
  <c r="M19" i="1"/>
  <c r="D3" i="4"/>
  <c r="L12" i="80" l="1"/>
  <c r="L15" i="80" s="1"/>
  <c r="J15" i="80"/>
  <c r="C26" i="80"/>
  <c r="P26" i="1"/>
  <c r="P27" i="1"/>
  <c r="H25" i="80"/>
  <c r="E31" i="80"/>
  <c r="H33" i="80"/>
  <c r="C13" i="80" s="1"/>
  <c r="H28" i="80"/>
  <c r="H24" i="80"/>
  <c r="E26" i="80"/>
  <c r="J26" i="80"/>
  <c r="J25" i="80" s="1"/>
  <c r="K15" i="80" l="1"/>
  <c r="H29" i="80"/>
  <c r="J28" i="80"/>
  <c r="I25" i="80"/>
  <c r="J29" i="80" l="1"/>
  <c r="H30" i="80"/>
  <c r="J30" i="80" s="1"/>
  <c r="J24" i="80" l="1"/>
  <c r="I24" i="80" s="1"/>
  <c r="J33" i="80" l="1"/>
  <c r="I33" i="80" s="1"/>
  <c r="D13" i="80" s="1"/>
  <c r="E13" i="80" s="1"/>
  <c r="G84" i="43" l="1"/>
  <c r="G85" i="43"/>
  <c r="G86" i="43"/>
  <c r="G87" i="43"/>
  <c r="G88" i="43"/>
  <c r="G89" i="43"/>
  <c r="G90" i="43"/>
  <c r="G83" i="43"/>
  <c r="B59" i="1"/>
  <c r="AN20" i="3"/>
  <c r="F1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0" i="79" l="1"/>
  <c r="AK20" i="79" s="1"/>
  <c r="AH20" i="79"/>
  <c r="W12" i="79"/>
  <c r="AK12" i="79" s="1"/>
  <c r="AH12" i="79"/>
  <c r="W50" i="79"/>
  <c r="AK50" i="79" s="1"/>
  <c r="AH50" i="79"/>
  <c r="W42" i="79"/>
  <c r="AK42" i="79" s="1"/>
  <c r="W44" i="79"/>
  <c r="AK44" i="79" s="1"/>
  <c r="AH44" i="79"/>
  <c r="W46" i="79"/>
  <c r="AK46" i="79" s="1"/>
  <c r="AH46" i="79"/>
  <c r="W19" i="79"/>
  <c r="AK19" i="79" s="1"/>
  <c r="AH19" i="79"/>
  <c r="W11" i="79"/>
  <c r="AK11" i="79" s="1"/>
  <c r="AH11" i="79"/>
  <c r="W10" i="79"/>
  <c r="AK10" i="79" s="1"/>
  <c r="AH10" i="79"/>
  <c r="W51" i="79"/>
  <c r="AK51" i="79" s="1"/>
  <c r="AH51" i="79"/>
  <c r="W15" i="79"/>
  <c r="AK15" i="79" s="1"/>
  <c r="AH15" i="79"/>
  <c r="W16" i="79"/>
  <c r="AK16" i="79" s="1"/>
  <c r="AH16" i="79"/>
  <c r="W48" i="79"/>
  <c r="AK48" i="79" s="1"/>
  <c r="AH48" i="79"/>
  <c r="W45" i="79"/>
  <c r="AK45" i="79" s="1"/>
  <c r="AH45" i="79"/>
  <c r="W49" i="79"/>
  <c r="AK49" i="79" s="1"/>
  <c r="AH49" i="79"/>
  <c r="W47" i="79"/>
  <c r="AK47" i="79" s="1"/>
  <c r="AH47" i="79"/>
  <c r="W17" i="79"/>
  <c r="AK17" i="79" s="1"/>
  <c r="AH17" i="79"/>
  <c r="W41" i="79"/>
  <c r="AK41" i="79" s="1"/>
  <c r="AH41" i="79"/>
  <c r="W43" i="79"/>
  <c r="AK43" i="79" s="1"/>
  <c r="AH43" i="79"/>
  <c r="W23" i="79"/>
  <c r="AK23" i="79" s="1"/>
  <c r="AH23" i="79"/>
  <c r="W21" i="79"/>
  <c r="AK21" i="79" s="1"/>
  <c r="AH21" i="79"/>
  <c r="W14" i="79"/>
  <c r="AK14" i="79" s="1"/>
  <c r="AH14" i="79"/>
  <c r="W38" i="79"/>
  <c r="AK38" i="79" s="1"/>
  <c r="AH38" i="79"/>
  <c r="W13" i="79"/>
  <c r="AK13" i="79" s="1"/>
  <c r="AH13" i="79"/>
  <c r="W39" i="79"/>
  <c r="AK39" i="79" s="1"/>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BE14" i="3"/>
  <c r="BF14" i="3"/>
  <c r="BG14" i="3"/>
  <c r="BH14" i="3"/>
  <c r="BI14" i="3"/>
  <c r="BJ14" i="3"/>
  <c r="BK14" i="3"/>
  <c r="BB15" i="3"/>
  <c r="BC15" i="3"/>
  <c r="BD15" i="3"/>
  <c r="BE15" i="3"/>
  <c r="BA15" i="3" s="1"/>
  <c r="BF15" i="3"/>
  <c r="BG15" i="3"/>
  <c r="BH15" i="3"/>
  <c r="BI15" i="3"/>
  <c r="BJ15" i="3"/>
  <c r="BK15" i="3"/>
  <c r="BB16" i="3"/>
  <c r="BC16" i="3"/>
  <c r="BD16" i="3"/>
  <c r="BE16" i="3"/>
  <c r="BF16" i="3"/>
  <c r="BG16" i="3"/>
  <c r="BH16" i="3"/>
  <c r="BI16" i="3"/>
  <c r="BJ16" i="3"/>
  <c r="BK16" i="3"/>
  <c r="BA16" i="3" s="1"/>
  <c r="BB17" i="3"/>
  <c r="BC17" i="3"/>
  <c r="BD17" i="3"/>
  <c r="BE17" i="3"/>
  <c r="BF17" i="3"/>
  <c r="BG17" i="3"/>
  <c r="BH17" i="3"/>
  <c r="BI17" i="3"/>
  <c r="BJ17" i="3"/>
  <c r="BK17" i="3"/>
  <c r="BC10" i="3"/>
  <c r="BD10" i="3"/>
  <c r="BB10" i="3"/>
  <c r="H13" i="3"/>
  <c r="AC13" i="3"/>
  <c r="H14" i="3"/>
  <c r="G14" i="3" s="1"/>
  <c r="N20" i="1" s="1"/>
  <c r="AC14" i="3"/>
  <c r="H15" i="3"/>
  <c r="G15" i="3" s="1"/>
  <c r="N21" i="1" s="1"/>
  <c r="AC15" i="3"/>
  <c r="H16" i="3"/>
  <c r="AC16" i="3"/>
  <c r="C27" i="80" s="1"/>
  <c r="H17" i="3"/>
  <c r="AC17" i="3"/>
  <c r="G17" i="3" s="1"/>
  <c r="AT5" i="3"/>
  <c r="I5" i="3"/>
  <c r="D33" i="43" s="1"/>
  <c r="D1" i="43" s="1"/>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AZ325" i="3"/>
  <c r="AZ341" i="3"/>
  <c r="AZ506" i="3"/>
  <c r="AZ496" i="3"/>
  <c r="G548" i="3"/>
  <c r="G538" i="3"/>
  <c r="G520" i="3"/>
  <c r="G502" i="3"/>
  <c r="AZ350" i="3"/>
  <c r="AZ356" i="3"/>
  <c r="AZ368"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J56" i="9"/>
  <c r="J57" i="9" s="1"/>
  <c r="J59" i="9" s="1"/>
  <c r="J61" i="9" s="1"/>
  <c r="U29" i="34"/>
  <c r="E32" i="6"/>
  <c r="E1" i="73"/>
  <c r="G22" i="69"/>
  <c r="G22" i="68"/>
  <c r="G26" i="12"/>
  <c r="G22" i="11"/>
  <c r="C6"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6" i="67"/>
  <c r="M8" i="15"/>
  <c r="M9" i="67"/>
  <c r="E10" i="76"/>
  <c r="M23" i="15"/>
  <c r="M26" i="15"/>
  <c r="F8" i="67"/>
  <c r="F9" i="67"/>
  <c r="M28" i="67"/>
  <c r="F8" i="15"/>
  <c r="F5" i="73"/>
  <c r="C76" i="15"/>
  <c r="J15" i="15"/>
  <c r="L48" i="15"/>
  <c r="B7" i="76"/>
  <c r="F7" i="73"/>
  <c r="C76" i="67"/>
  <c r="B11" i="76"/>
  <c r="F6" i="67"/>
  <c r="E13" i="76"/>
  <c r="M22" i="15"/>
  <c r="F38" i="67"/>
  <c r="F9" i="15"/>
  <c r="L48" i="67"/>
  <c r="F26" i="67"/>
  <c r="E7" i="76"/>
  <c r="M29" i="67"/>
  <c r="F43" i="15"/>
  <c r="F13" i="15"/>
  <c r="E8" i="76"/>
  <c r="F20" i="31"/>
  <c r="D6" i="73"/>
  <c r="M28" i="15"/>
  <c r="J15" i="67"/>
  <c r="F37" i="15"/>
  <c r="B13" i="76"/>
  <c r="F7" i="67"/>
  <c r="E12" i="76"/>
  <c r="B12" i="76"/>
  <c r="F13" i="67"/>
  <c r="E2" i="68"/>
  <c r="M29" i="15"/>
  <c r="B10" i="76"/>
  <c r="F7" i="15"/>
  <c r="M9" i="15"/>
  <c r="M23" i="67"/>
  <c r="M6" i="67"/>
  <c r="B9" i="76"/>
  <c r="F37" i="67"/>
  <c r="M6" i="15"/>
  <c r="F38" i="15"/>
  <c r="F43" i="67"/>
  <c r="M8" i="67"/>
  <c r="E11" i="76"/>
  <c r="M24" i="67"/>
  <c r="F16" i="67"/>
  <c r="M24" i="15"/>
  <c r="F36" i="15"/>
  <c r="B8" i="76"/>
  <c r="E2" i="69"/>
  <c r="F3" i="73"/>
  <c r="L47" i="15"/>
  <c r="F42" i="67"/>
  <c r="L47" i="67"/>
  <c r="F4" i="73"/>
  <c r="M22" i="67"/>
  <c r="F26" i="15"/>
  <c r="E9" i="76"/>
  <c r="F36" i="67"/>
  <c r="F6" i="73"/>
  <c r="F40" i="67"/>
  <c r="F6" i="15"/>
  <c r="AO13" i="1"/>
  <c r="F42" i="15"/>
  <c r="F16" i="15"/>
  <c r="F40" i="15"/>
  <c r="BH5" i="3" l="1"/>
  <c r="BA17" i="3"/>
  <c r="C25" i="80"/>
  <c r="E27" i="80"/>
  <c r="E25" i="80" s="1"/>
  <c r="AC5" i="3"/>
  <c r="C7" i="12"/>
  <c r="BG5" i="3"/>
  <c r="BT5" i="3"/>
  <c r="BJ5" i="3"/>
  <c r="BK5" i="3"/>
  <c r="BA19" i="3"/>
  <c r="BI5" i="3"/>
  <c r="BB5" i="3"/>
  <c r="BO5" i="3"/>
  <c r="BD5" i="3"/>
  <c r="BP5" i="3"/>
  <c r="BM5" i="3"/>
  <c r="BF5" i="3"/>
  <c r="BL17" i="3"/>
  <c r="AZ17" i="3" s="1"/>
  <c r="BE5" i="3"/>
  <c r="BC5" i="3"/>
  <c r="C40" i="11"/>
  <c r="C7" i="33"/>
  <c r="C7" i="35"/>
  <c r="C48" i="35" s="1"/>
  <c r="D48" i="35" s="1"/>
  <c r="C7" i="39"/>
  <c r="C67" i="39" s="1"/>
  <c r="J51" i="15"/>
  <c r="C42" i="1"/>
  <c r="G23" i="43"/>
  <c r="C23" i="43" s="1"/>
  <c r="C7" i="21"/>
  <c r="D22" i="15"/>
  <c r="D23" i="15"/>
  <c r="C18" i="9"/>
  <c r="D18" i="9" s="1"/>
  <c r="F52" i="9"/>
  <c r="F31" i="12"/>
  <c r="F28" i="67"/>
  <c r="F30" i="11"/>
  <c r="C48" i="11" s="1"/>
  <c r="F54" i="9"/>
  <c r="D68" i="9"/>
  <c r="F32" i="15"/>
  <c r="F60" i="15" s="1"/>
  <c r="F30" i="69"/>
  <c r="F48" i="69" s="1"/>
  <c r="F28" i="15"/>
  <c r="C28" i="15" s="1"/>
  <c r="M18" i="15"/>
  <c r="F32" i="67"/>
  <c r="F60" i="67" s="1"/>
  <c r="F30" i="68"/>
  <c r="F48" i="68" s="1"/>
  <c r="M18" i="67"/>
  <c r="C40" i="69"/>
  <c r="C40" i="68"/>
  <c r="E19" i="11"/>
  <c r="E19" i="68"/>
  <c r="K1" i="12"/>
  <c r="G1" i="68"/>
  <c r="G13" i="3"/>
  <c r="N19" i="1" s="1"/>
  <c r="BL13" i="3"/>
  <c r="G16" i="3"/>
  <c r="BS5" i="3"/>
  <c r="BR5" i="3"/>
  <c r="H5" i="3"/>
  <c r="BL15" i="3"/>
  <c r="AZ15" i="3" s="1"/>
  <c r="BL14" i="3"/>
  <c r="AZ14" i="3" s="1"/>
  <c r="BN5" i="3"/>
  <c r="BA20" i="3"/>
  <c r="BL19" i="3"/>
  <c r="AZ19" i="3" s="1"/>
  <c r="BA13" i="3"/>
  <c r="AZ13" i="3" s="1"/>
  <c r="BL16" i="3"/>
  <c r="AZ16" i="3" s="1"/>
  <c r="BL20" i="3"/>
  <c r="BL18" i="3"/>
  <c r="BA18" i="3"/>
  <c r="H112" i="9"/>
  <c r="D21" i="53" s="1"/>
  <c r="B39" i="72" s="1"/>
  <c r="H109" i="9"/>
  <c r="B19" i="53"/>
  <c r="B37" i="72" s="1"/>
  <c r="B16" i="53"/>
  <c r="B33" i="72" s="1"/>
  <c r="H111" i="9"/>
  <c r="D126" i="9" s="1"/>
  <c r="D127" i="9" s="1"/>
  <c r="D13" i="52" s="1"/>
  <c r="C24" i="12"/>
  <c r="M47" i="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N370" i="46" s="1"/>
  <c r="L19" i="6"/>
  <c r="L27" i="6"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D88" i="43" s="1"/>
  <c r="J89" i="43"/>
  <c r="J90" i="43"/>
  <c r="D83" i="43"/>
  <c r="D66" i="43"/>
  <c r="D64" i="43"/>
  <c r="D62" i="43"/>
  <c r="D67" i="43"/>
  <c r="D65" i="43"/>
  <c r="D63" i="43"/>
  <c r="D69" i="43"/>
  <c r="D73" i="43"/>
  <c r="D75" i="43"/>
  <c r="D79" i="43"/>
  <c r="D22" i="67"/>
  <c r="Q16" i="1"/>
  <c r="F27" i="69" s="1"/>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D7" i="73"/>
  <c r="D3" i="73"/>
  <c r="D4" i="73"/>
  <c r="D5" i="73"/>
  <c r="AZ18" i="3" l="1"/>
  <c r="F29" i="6"/>
  <c r="E5" i="80"/>
  <c r="N22" i="1"/>
  <c r="N23" i="1" s="1"/>
  <c r="D25" i="80"/>
  <c r="C33" i="80"/>
  <c r="C12" i="80" s="1"/>
  <c r="C28" i="80"/>
  <c r="C24" i="80"/>
  <c r="G5" i="3"/>
  <c r="B3" i="3" s="1"/>
  <c r="E60" i="3" s="1"/>
  <c r="E12" i="6"/>
  <c r="E57" i="40" s="1"/>
  <c r="G28" i="6"/>
  <c r="E14" i="6"/>
  <c r="E63" i="39" s="1"/>
  <c r="E8" i="6"/>
  <c r="F27" i="6" s="1"/>
  <c r="G29" i="6"/>
  <c r="E29" i="6" s="1"/>
  <c r="K15" i="1" s="1"/>
  <c r="E11" i="6"/>
  <c r="E60" i="39" s="1"/>
  <c r="F28" i="6"/>
  <c r="F30" i="6" s="1"/>
  <c r="E15" i="6"/>
  <c r="E64" i="39" s="1"/>
  <c r="E13" i="6"/>
  <c r="E58" i="40" s="1"/>
  <c r="E10" i="6"/>
  <c r="E83" i="43"/>
  <c r="B81" i="43" s="1"/>
  <c r="C30" i="68"/>
  <c r="C48" i="68"/>
  <c r="E26" i="43"/>
  <c r="AZ20" i="3"/>
  <c r="J26" i="43"/>
  <c r="F26" i="43"/>
  <c r="H26" i="43"/>
  <c r="N94" i="46"/>
  <c r="G26" i="43"/>
  <c r="D12" i="52"/>
  <c r="D20" i="53"/>
  <c r="B40" i="72" s="1"/>
  <c r="G16" i="1"/>
  <c r="F10" i="39" s="1"/>
  <c r="S10" i="39" s="1"/>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F28" i="12"/>
  <c r="D5" i="43"/>
  <c r="C7" i="43"/>
  <c r="C5" i="43" s="1"/>
  <c r="D10" i="52"/>
  <c r="D125" i="9"/>
  <c r="D11" i="52" s="1"/>
  <c r="B7" i="74"/>
  <c r="C7" i="74" s="1"/>
  <c r="F59" i="67"/>
  <c r="H7" i="37"/>
  <c r="AB7" i="37" s="1"/>
  <c r="T42" i="37" s="1"/>
  <c r="G42" i="37" s="1"/>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7" i="1"/>
  <c r="AE8" i="1"/>
  <c r="AE12" i="1"/>
  <c r="AE10" i="1"/>
  <c r="F41" i="67"/>
  <c r="G1" i="73"/>
  <c r="AZ5" i="3" l="1"/>
  <c r="E51" i="40"/>
  <c r="E59" i="40"/>
  <c r="E16" i="6"/>
  <c r="E296" i="3"/>
  <c r="E242" i="3"/>
  <c r="E132" i="3"/>
  <c r="E399" i="3"/>
  <c r="E44" i="3"/>
  <c r="E429" i="3"/>
  <c r="L6" i="3"/>
  <c r="E331" i="3"/>
  <c r="E55" i="3"/>
  <c r="E496" i="3"/>
  <c r="E372" i="3"/>
  <c r="E452" i="3"/>
  <c r="P23" i="1"/>
  <c r="P28" i="1" s="1"/>
  <c r="N28" i="1"/>
  <c r="E139" i="3"/>
  <c r="E119" i="3"/>
  <c r="E162" i="3"/>
  <c r="AM6" i="3"/>
  <c r="E13" i="3"/>
  <c r="E200" i="3"/>
  <c r="E317" i="3"/>
  <c r="E476" i="3"/>
  <c r="E291" i="3"/>
  <c r="E360" i="3"/>
  <c r="E272" i="3"/>
  <c r="AY6" i="3"/>
  <c r="AY188" i="3" s="1"/>
  <c r="E293" i="3"/>
  <c r="E126" i="3"/>
  <c r="E300" i="3"/>
  <c r="E273" i="3"/>
  <c r="E518" i="3"/>
  <c r="E66" i="3"/>
  <c r="E267" i="3"/>
  <c r="E211" i="3"/>
  <c r="E578" i="3"/>
  <c r="E163" i="3"/>
  <c r="E46" i="3"/>
  <c r="E182" i="3"/>
  <c r="E382" i="3"/>
  <c r="E259" i="3"/>
  <c r="E64" i="3"/>
  <c r="E545" i="3"/>
  <c r="E245" i="3"/>
  <c r="E542" i="3"/>
  <c r="E467" i="3"/>
  <c r="E181" i="3"/>
  <c r="E61" i="3"/>
  <c r="E354" i="3"/>
  <c r="E568" i="3"/>
  <c r="I6" i="3"/>
  <c r="E123" i="3"/>
  <c r="E526" i="3"/>
  <c r="E505" i="3"/>
  <c r="T6" i="3"/>
  <c r="E377" i="3"/>
  <c r="E32" i="3"/>
  <c r="E112" i="3"/>
  <c r="E447" i="3"/>
  <c r="E497" i="3"/>
  <c r="E572" i="3"/>
  <c r="E77" i="3"/>
  <c r="E483" i="3"/>
  <c r="E347" i="3"/>
  <c r="E274" i="3"/>
  <c r="E212" i="3"/>
  <c r="E479" i="3"/>
  <c r="E84" i="3"/>
  <c r="E206" i="3"/>
  <c r="E470" i="3"/>
  <c r="E116" i="3"/>
  <c r="E43" i="3"/>
  <c r="E101" i="3"/>
  <c r="E48" i="3"/>
  <c r="E167" i="3"/>
  <c r="E168" i="3"/>
  <c r="E319" i="3"/>
  <c r="E156" i="3"/>
  <c r="E448" i="3"/>
  <c r="E358" i="3"/>
  <c r="E253" i="3"/>
  <c r="E269" i="3"/>
  <c r="E530" i="3"/>
  <c r="E528" i="3"/>
  <c r="E133" i="3"/>
  <c r="Z6" i="3"/>
  <c r="E509" i="3"/>
  <c r="E135" i="3"/>
  <c r="E378" i="3"/>
  <c r="E540" i="3"/>
  <c r="E559" i="3"/>
  <c r="E343" i="3"/>
  <c r="K6" i="3"/>
  <c r="E485" i="3"/>
  <c r="E579" i="3"/>
  <c r="E233" i="3"/>
  <c r="E41" i="3"/>
  <c r="E473" i="3"/>
  <c r="E19" i="3"/>
  <c r="S6" i="3"/>
  <c r="E443" i="3"/>
  <c r="E99" i="3"/>
  <c r="E305" i="3"/>
  <c r="E560" i="3"/>
  <c r="E431" i="3"/>
  <c r="E94" i="3"/>
  <c r="E59" i="3"/>
  <c r="E22" i="3"/>
  <c r="AQ6" i="3"/>
  <c r="E367" i="3"/>
  <c r="E88" i="3"/>
  <c r="E414" i="3"/>
  <c r="E454" i="3"/>
  <c r="E246" i="3"/>
  <c r="E205" i="3"/>
  <c r="E52" i="3"/>
  <c r="E547" i="3"/>
  <c r="E290" i="3"/>
  <c r="E124" i="3"/>
  <c r="E100" i="3"/>
  <c r="E281" i="3"/>
  <c r="E401" i="3"/>
  <c r="E373" i="3"/>
  <c r="E56" i="3"/>
  <c r="E33" i="3"/>
  <c r="AF6" i="3"/>
  <c r="E420" i="3"/>
  <c r="E493" i="3"/>
  <c r="E552" i="3"/>
  <c r="E284" i="3"/>
  <c r="E187" i="3"/>
  <c r="E357" i="3"/>
  <c r="E97" i="3"/>
  <c r="E238" i="3"/>
  <c r="P6" i="3"/>
  <c r="E453" i="3"/>
  <c r="E271" i="3"/>
  <c r="E183" i="3"/>
  <c r="E191" i="3"/>
  <c r="E152" i="3"/>
  <c r="E102" i="3"/>
  <c r="E543" i="3"/>
  <c r="E398" i="3"/>
  <c r="E93" i="3"/>
  <c r="E434" i="3"/>
  <c r="E551" i="3"/>
  <c r="E107" i="3"/>
  <c r="E361" i="3"/>
  <c r="E400" i="3"/>
  <c r="E263" i="3"/>
  <c r="E385" i="3"/>
  <c r="E283" i="3"/>
  <c r="J6" i="3"/>
  <c r="E521" i="3"/>
  <c r="E338" i="3"/>
  <c r="E527" i="3"/>
  <c r="E489" i="3"/>
  <c r="E484" i="3"/>
  <c r="E65" i="3"/>
  <c r="AE6" i="3"/>
  <c r="E477" i="3"/>
  <c r="E70" i="3"/>
  <c r="E118" i="3"/>
  <c r="E425" i="3"/>
  <c r="E386" i="3"/>
  <c r="E504" i="3"/>
  <c r="E297" i="3"/>
  <c r="E586" i="3"/>
  <c r="E131" i="3"/>
  <c r="E536" i="3"/>
  <c r="E419" i="3"/>
  <c r="E136" i="3"/>
  <c r="E166" i="3"/>
  <c r="E143" i="3"/>
  <c r="M6" i="3"/>
  <c r="E324" i="3"/>
  <c r="E313" i="3"/>
  <c r="E258" i="3"/>
  <c r="E381" i="3"/>
  <c r="E113" i="3"/>
  <c r="E225" i="3"/>
  <c r="E507" i="3"/>
  <c r="E79" i="3"/>
  <c r="E566" i="3"/>
  <c r="E323" i="3"/>
  <c r="E98" i="3"/>
  <c r="E397" i="3"/>
  <c r="E523" i="3"/>
  <c r="E120" i="3"/>
  <c r="E558" i="3"/>
  <c r="V6" i="3"/>
  <c r="E519" i="3"/>
  <c r="E585" i="3"/>
  <c r="E508" i="3"/>
  <c r="E180" i="3"/>
  <c r="E465" i="3"/>
  <c r="E345" i="3"/>
  <c r="E201" i="3"/>
  <c r="E423" i="3"/>
  <c r="E241" i="3"/>
  <c r="E68" i="3"/>
  <c r="E287" i="3"/>
  <c r="E243" i="3"/>
  <c r="E440" i="3"/>
  <c r="E194" i="3"/>
  <c r="E460" i="3"/>
  <c r="E149" i="3"/>
  <c r="E307" i="3"/>
  <c r="E145" i="3"/>
  <c r="E506" i="3"/>
  <c r="E330" i="3"/>
  <c r="E581" i="3"/>
  <c r="E407" i="3"/>
  <c r="E573" i="3"/>
  <c r="E515" i="3"/>
  <c r="E388" i="3"/>
  <c r="E91" i="3"/>
  <c r="E577" i="3"/>
  <c r="E557" i="3"/>
  <c r="E311" i="3"/>
  <c r="AI6" i="3"/>
  <c r="E240" i="3"/>
  <c r="E510" i="3"/>
  <c r="E349" i="3"/>
  <c r="E63" i="3"/>
  <c r="E308" i="3"/>
  <c r="E356" i="3"/>
  <c r="E490" i="3"/>
  <c r="E325" i="3"/>
  <c r="E348" i="3"/>
  <c r="E464" i="3"/>
  <c r="E127" i="3"/>
  <c r="E432" i="3"/>
  <c r="E418" i="3"/>
  <c r="E481" i="3"/>
  <c r="E404" i="3"/>
  <c r="E415" i="3"/>
  <c r="E458" i="3"/>
  <c r="E478" i="3"/>
  <c r="E555" i="3"/>
  <c r="E134" i="3"/>
  <c r="E468" i="3"/>
  <c r="E531" i="3"/>
  <c r="E514" i="3"/>
  <c r="E219" i="3"/>
  <c r="E539" i="3"/>
  <c r="E428" i="3"/>
  <c r="E82" i="3"/>
  <c r="E344" i="3"/>
  <c r="E550" i="3"/>
  <c r="E410" i="3"/>
  <c r="E570" i="3"/>
  <c r="E494" i="3"/>
  <c r="E190" i="3"/>
  <c r="E341" i="3"/>
  <c r="E321" i="3"/>
  <c r="E457" i="3"/>
  <c r="E106" i="3"/>
  <c r="E466" i="3"/>
  <c r="E140" i="3"/>
  <c r="E36" i="3"/>
  <c r="E445" i="3"/>
  <c r="E368" i="3"/>
  <c r="E279" i="3"/>
  <c r="E396" i="3"/>
  <c r="E353" i="3"/>
  <c r="E475" i="3"/>
  <c r="E312" i="3"/>
  <c r="E40" i="3"/>
  <c r="E129" i="3"/>
  <c r="AP6" i="3"/>
  <c r="E172" i="3"/>
  <c r="E227" i="3"/>
  <c r="E216" i="3"/>
  <c r="E111" i="3"/>
  <c r="E569" i="3"/>
  <c r="E303" i="3"/>
  <c r="E471" i="3"/>
  <c r="E51" i="3"/>
  <c r="E463" i="3"/>
  <c r="E482" i="3"/>
  <c r="I3" i="6"/>
  <c r="E563" i="3"/>
  <c r="E74" i="3"/>
  <c r="E231" i="3"/>
  <c r="E72" i="3"/>
  <c r="E239" i="3"/>
  <c r="E159" i="3"/>
  <c r="E537" i="3"/>
  <c r="E250" i="3"/>
  <c r="E223" i="3"/>
  <c r="E75" i="3"/>
  <c r="E255" i="3"/>
  <c r="E369" i="3"/>
  <c r="E278" i="3"/>
  <c r="E362" i="3"/>
  <c r="E380" i="3"/>
  <c r="E433" i="3"/>
  <c r="N6" i="3"/>
  <c r="E221" i="3"/>
  <c r="W6" i="3"/>
  <c r="E24" i="3"/>
  <c r="E188" i="3"/>
  <c r="E42" i="3"/>
  <c r="E449" i="3"/>
  <c r="E189" i="3"/>
  <c r="E214" i="3"/>
  <c r="E439" i="3"/>
  <c r="E450" i="3"/>
  <c r="E282" i="3"/>
  <c r="E237" i="3"/>
  <c r="E438" i="3"/>
  <c r="E176" i="3"/>
  <c r="E16" i="3"/>
  <c r="AL6" i="3"/>
  <c r="E430" i="3"/>
  <c r="E387" i="3"/>
  <c r="E171" i="3"/>
  <c r="E561" i="3"/>
  <c r="E571" i="3"/>
  <c r="E366" i="3"/>
  <c r="E169" i="3"/>
  <c r="E532" i="3"/>
  <c r="E20" i="3"/>
  <c r="E329" i="3"/>
  <c r="E391" i="3"/>
  <c r="E71" i="3"/>
  <c r="E333" i="3"/>
  <c r="E491" i="3"/>
  <c r="E89" i="3"/>
  <c r="E261" i="3"/>
  <c r="E151" i="3"/>
  <c r="AA6" i="3"/>
  <c r="E54" i="3"/>
  <c r="E226" i="3"/>
  <c r="E197" i="3"/>
  <c r="E554" i="3"/>
  <c r="E562" i="3"/>
  <c r="E340" i="3"/>
  <c r="E332" i="3"/>
  <c r="E209" i="3"/>
  <c r="E173" i="3"/>
  <c r="E161" i="3"/>
  <c r="E567" i="3"/>
  <c r="E110" i="3"/>
  <c r="E53" i="3"/>
  <c r="E185" i="3"/>
  <c r="AB6" i="3"/>
  <c r="E146" i="3"/>
  <c r="E270" i="3"/>
  <c r="E334" i="3"/>
  <c r="E298" i="3"/>
  <c r="AD6" i="3"/>
  <c r="E83" i="3"/>
  <c r="AJ6" i="3"/>
  <c r="E277" i="3"/>
  <c r="E175" i="3"/>
  <c r="E583" i="3"/>
  <c r="E576" i="3"/>
  <c r="E179" i="3"/>
  <c r="E289" i="3"/>
  <c r="E326" i="3"/>
  <c r="E310" i="3"/>
  <c r="E322" i="3"/>
  <c r="AK6" i="3"/>
  <c r="E441" i="3"/>
  <c r="E336" i="3"/>
  <c r="E236" i="3"/>
  <c r="E29" i="3"/>
  <c r="Y6" i="3"/>
  <c r="E147" i="3"/>
  <c r="E49" i="3"/>
  <c r="E371" i="3"/>
  <c r="C14" i="80"/>
  <c r="C29" i="80"/>
  <c r="E28" i="80"/>
  <c r="E142" i="3"/>
  <c r="E148" i="3"/>
  <c r="E69" i="3"/>
  <c r="E268" i="3"/>
  <c r="AO6" i="3"/>
  <c r="E587" i="3"/>
  <c r="E495" i="3"/>
  <c r="E538" i="3"/>
  <c r="E384" i="3"/>
  <c r="E549" i="3"/>
  <c r="E193" i="3"/>
  <c r="E260" i="3"/>
  <c r="E30" i="3"/>
  <c r="E394" i="3"/>
  <c r="E280" i="3"/>
  <c r="E390" i="3"/>
  <c r="E411" i="3"/>
  <c r="E157" i="3"/>
  <c r="E462" i="3"/>
  <c r="E138" i="3"/>
  <c r="E141" i="3"/>
  <c r="E38" i="3"/>
  <c r="E498" i="3"/>
  <c r="E80" i="3"/>
  <c r="E556" i="3"/>
  <c r="E174" i="3"/>
  <c r="E355" i="3"/>
  <c r="E389" i="3"/>
  <c r="E541" i="3"/>
  <c r="E215" i="3"/>
  <c r="E217" i="3"/>
  <c r="E327" i="3"/>
  <c r="E406" i="3"/>
  <c r="E350" i="3"/>
  <c r="AR6" i="3"/>
  <c r="E210" i="3"/>
  <c r="E31" i="3"/>
  <c r="E511" i="3"/>
  <c r="E130" i="3"/>
  <c r="E316" i="3"/>
  <c r="E203" i="3"/>
  <c r="AN6" i="3"/>
  <c r="E359" i="3"/>
  <c r="E207" i="3"/>
  <c r="E461" i="3"/>
  <c r="E39" i="3"/>
  <c r="E500" i="3"/>
  <c r="E265" i="3"/>
  <c r="E455" i="3"/>
  <c r="AH6" i="3"/>
  <c r="E35" i="3"/>
  <c r="E408" i="3"/>
  <c r="E96" i="3"/>
  <c r="E184" i="3"/>
  <c r="E363" i="3"/>
  <c r="E442" i="3"/>
  <c r="E487" i="3"/>
  <c r="X6" i="3"/>
  <c r="E335" i="3"/>
  <c r="E109" i="3"/>
  <c r="E204" i="3"/>
  <c r="E472" i="3"/>
  <c r="E301" i="3"/>
  <c r="E533" i="3"/>
  <c r="E186" i="3"/>
  <c r="E351" i="3"/>
  <c r="E85" i="3"/>
  <c r="E320" i="3"/>
  <c r="E295" i="3"/>
  <c r="E73" i="3"/>
  <c r="E402" i="3"/>
  <c r="E426" i="3"/>
  <c r="E196" i="3"/>
  <c r="E122" i="3"/>
  <c r="E374" i="3"/>
  <c r="E416" i="3"/>
  <c r="E218" i="3"/>
  <c r="E15" i="3"/>
  <c r="E376" i="3"/>
  <c r="E342" i="3"/>
  <c r="E456" i="3"/>
  <c r="E18" i="3"/>
  <c r="E144" i="3"/>
  <c r="E292" i="3"/>
  <c r="R6" i="3"/>
  <c r="E114" i="3"/>
  <c r="E553" i="3"/>
  <c r="AG6" i="3"/>
  <c r="E424" i="3"/>
  <c r="E254" i="3"/>
  <c r="E328" i="3"/>
  <c r="E548" i="3"/>
  <c r="E288" i="3"/>
  <c r="E413" i="3"/>
  <c r="E266" i="3"/>
  <c r="E421" i="3"/>
  <c r="E165" i="3"/>
  <c r="E392" i="3"/>
  <c r="E346" i="3"/>
  <c r="E564" i="3"/>
  <c r="E220" i="3"/>
  <c r="E451" i="3"/>
  <c r="E251" i="3"/>
  <c r="E309" i="3"/>
  <c r="E249" i="3"/>
  <c r="E192" i="3"/>
  <c r="E502" i="3"/>
  <c r="E230" i="3"/>
  <c r="E125" i="3"/>
  <c r="E164" i="3"/>
  <c r="E437" i="3"/>
  <c r="E17" i="3"/>
  <c r="E153" i="3"/>
  <c r="U6" i="3"/>
  <c r="E474" i="3"/>
  <c r="E154" i="3"/>
  <c r="E436" i="3"/>
  <c r="E244" i="3"/>
  <c r="E524" i="3"/>
  <c r="E339" i="3"/>
  <c r="E108" i="3"/>
  <c r="E393" i="3"/>
  <c r="E78" i="3"/>
  <c r="E512" i="3"/>
  <c r="E86" i="3"/>
  <c r="E264" i="3"/>
  <c r="E160" i="3"/>
  <c r="E95" i="3"/>
  <c r="E499" i="3"/>
  <c r="E294" i="3"/>
  <c r="E480" i="3"/>
  <c r="E252" i="3"/>
  <c r="Q6" i="3"/>
  <c r="E304" i="3"/>
  <c r="E501" i="3"/>
  <c r="E379" i="3"/>
  <c r="E529" i="3"/>
  <c r="E195" i="3"/>
  <c r="E582" i="3"/>
  <c r="E222" i="3"/>
  <c r="E365" i="3"/>
  <c r="E299" i="3"/>
  <c r="E25" i="3"/>
  <c r="E105" i="3"/>
  <c r="E412" i="3"/>
  <c r="E469" i="3"/>
  <c r="E235" i="3"/>
  <c r="E81" i="3"/>
  <c r="E103" i="3"/>
  <c r="E37" i="3"/>
  <c r="E286" i="3"/>
  <c r="E248"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67" i="3"/>
  <c r="E409" i="3"/>
  <c r="E417" i="3"/>
  <c r="E575" i="3"/>
  <c r="E262" i="3"/>
  <c r="E213" i="3"/>
  <c r="E574" i="3"/>
  <c r="E546" i="3"/>
  <c r="E257" i="3"/>
  <c r="E306" i="3"/>
  <c r="E488" i="3"/>
  <c r="E47" i="3"/>
  <c r="E57" i="3"/>
  <c r="E155" i="3"/>
  <c r="E50" i="3"/>
  <c r="E137" i="3"/>
  <c r="E202" i="3"/>
  <c r="E486" i="3"/>
  <c r="E370" i="3"/>
  <c r="E104" i="3"/>
  <c r="E534" i="3"/>
  <c r="E522" i="3"/>
  <c r="E21" i="3"/>
  <c r="E23" i="3"/>
  <c r="E76" i="3"/>
  <c r="E435" i="3"/>
  <c r="E199" i="3"/>
  <c r="AS6" i="3"/>
  <c r="E150" i="3"/>
  <c r="E314" i="3"/>
  <c r="E395" i="3"/>
  <c r="E516" i="3"/>
  <c r="E444" i="3"/>
  <c r="E256" i="3"/>
  <c r="E128" i="3"/>
  <c r="E565" i="3"/>
  <c r="O6" i="3"/>
  <c r="E403" i="3"/>
  <c r="E208" i="3"/>
  <c r="E352" i="3"/>
  <c r="E459" i="3"/>
  <c r="E375" i="3"/>
  <c r="E520" i="3"/>
  <c r="E90" i="3"/>
  <c r="E364" i="3"/>
  <c r="E170" i="3"/>
  <c r="E178" i="3"/>
  <c r="E427" i="3"/>
  <c r="E232" i="3"/>
  <c r="E26" i="3"/>
  <c r="E525" i="3"/>
  <c r="E383" i="3"/>
  <c r="E513" i="3"/>
  <c r="E492" i="3"/>
  <c r="E544" i="3"/>
  <c r="E517" i="3"/>
  <c r="E56" i="40"/>
  <c r="E62" i="39"/>
  <c r="E56" i="39"/>
  <c r="E60" i="40"/>
  <c r="E27" i="6"/>
  <c r="F31" i="6"/>
  <c r="G30" i="6"/>
  <c r="G31" i="6" s="1"/>
  <c r="E28" i="6"/>
  <c r="AC7" i="37"/>
  <c r="S7" i="36"/>
  <c r="D26" i="43"/>
  <c r="C25" i="43" s="1"/>
  <c r="C33" i="43" s="1"/>
  <c r="H10" i="40"/>
  <c r="AB10" i="40" s="1"/>
  <c r="J10" i="40"/>
  <c r="AC10" i="40" s="1"/>
  <c r="AA10" i="39"/>
  <c r="E3" i="6"/>
  <c r="D3" i="37" s="1"/>
  <c r="J10" i="39"/>
  <c r="W10" i="39" s="1"/>
  <c r="F10" i="40"/>
  <c r="S10" i="40" s="1"/>
  <c r="H10" i="39"/>
  <c r="U10" i="39" s="1"/>
  <c r="F67" i="39"/>
  <c r="G67" i="39" s="1"/>
  <c r="AB7" i="36"/>
  <c r="T36" i="36" s="1"/>
  <c r="G36" i="36" s="1"/>
  <c r="G41" i="36" s="1"/>
  <c r="H41" i="36" s="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39" i="43"/>
  <c r="C42" i="43"/>
  <c r="E42" i="43" s="1"/>
  <c r="C38" i="43"/>
  <c r="U7" i="37"/>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J24" i="67"/>
  <c r="C53" i="67"/>
  <c r="C48" i="67" s="1"/>
  <c r="C10" i="67"/>
  <c r="C5" i="67" s="1"/>
  <c r="C38" i="67" s="1"/>
  <c r="C53" i="15"/>
  <c r="C48" i="15" s="1"/>
  <c r="C66" i="15" s="1"/>
  <c r="C10" i="15"/>
  <c r="C5" i="15" s="1"/>
  <c r="C38" i="15" s="1"/>
  <c r="M27" i="15"/>
  <c r="M27" i="67"/>
  <c r="K22" i="6" l="1"/>
  <c r="AY530" i="3"/>
  <c r="AY537" i="3"/>
  <c r="AY508" i="3"/>
  <c r="AY278" i="3"/>
  <c r="AY559" i="3"/>
  <c r="AY518" i="3"/>
  <c r="BK6" i="3"/>
  <c r="AY294" i="3"/>
  <c r="AY549" i="3"/>
  <c r="AY575" i="3"/>
  <c r="AY448" i="3"/>
  <c r="AY284" i="3"/>
  <c r="AY438" i="3"/>
  <c r="AY252" i="3"/>
  <c r="AY490" i="3"/>
  <c r="AY162" i="3"/>
  <c r="AY513" i="3"/>
  <c r="AY459" i="3"/>
  <c r="AY558" i="3"/>
  <c r="AY193" i="3"/>
  <c r="AY573" i="3"/>
  <c r="O28" i="1"/>
  <c r="AY400" i="3"/>
  <c r="AY578" i="3"/>
  <c r="AY477" i="3"/>
  <c r="AY570" i="3"/>
  <c r="BP6" i="3"/>
  <c r="AY369" i="3"/>
  <c r="AY316" i="3"/>
  <c r="AY405" i="3"/>
  <c r="AY66" i="3"/>
  <c r="AY302" i="3"/>
  <c r="AY75" i="3"/>
  <c r="AY322" i="3"/>
  <c r="AY380" i="3"/>
  <c r="AY242" i="3"/>
  <c r="AY239" i="3"/>
  <c r="AY271" i="3"/>
  <c r="AY531" i="3"/>
  <c r="AY419" i="3"/>
  <c r="AY274" i="3"/>
  <c r="AY50" i="3"/>
  <c r="AY437" i="3"/>
  <c r="AY443" i="3"/>
  <c r="AY51" i="3"/>
  <c r="AY387" i="3"/>
  <c r="AY493" i="3"/>
  <c r="AY339" i="3"/>
  <c r="AY375" i="3"/>
  <c r="AY406" i="3"/>
  <c r="AY263" i="3"/>
  <c r="AY545" i="3"/>
  <c r="AY364" i="3"/>
  <c r="AY237" i="3"/>
  <c r="AY83" i="3"/>
  <c r="K25" i="6"/>
  <c r="M25" i="6" s="1"/>
  <c r="I25" i="6" s="1"/>
  <c r="S25" i="6" s="1"/>
  <c r="K21" i="6"/>
  <c r="S8" i="1" s="1"/>
  <c r="E8" i="70" s="1"/>
  <c r="AY564" i="3"/>
  <c r="AY449" i="3"/>
  <c r="AY259" i="3"/>
  <c r="AY87" i="3"/>
  <c r="AY351" i="3"/>
  <c r="AY17" i="3"/>
  <c r="AY234" i="3"/>
  <c r="AY417" i="3"/>
  <c r="AY546" i="3"/>
  <c r="AY372" i="3"/>
  <c r="AY321" i="3"/>
  <c r="AY121" i="3"/>
  <c r="AY125" i="3"/>
  <c r="AY568" i="3"/>
  <c r="AY119" i="3"/>
  <c r="AY181" i="3"/>
  <c r="AY534" i="3"/>
  <c r="AY366" i="3"/>
  <c r="AY547" i="3"/>
  <c r="AY440" i="3"/>
  <c r="AY218" i="3"/>
  <c r="AY439" i="3"/>
  <c r="AY29" i="3"/>
  <c r="AY343" i="3"/>
  <c r="AY393" i="3"/>
  <c r="AY561" i="3"/>
  <c r="AY33" i="3"/>
  <c r="AY371" i="3"/>
  <c r="AY500" i="3"/>
  <c r="AY361" i="3"/>
  <c r="AY482" i="3"/>
  <c r="AY235" i="3"/>
  <c r="AY159" i="3"/>
  <c r="AY280" i="3"/>
  <c r="AY410" i="3"/>
  <c r="AY80" i="3"/>
  <c r="AY72" i="3"/>
  <c r="AY350" i="3"/>
  <c r="AY226" i="3"/>
  <c r="AY562" i="3"/>
  <c r="AY585" i="3"/>
  <c r="BJ6" i="3"/>
  <c r="AY28" i="3"/>
  <c r="AY245" i="3"/>
  <c r="AY276" i="3"/>
  <c r="AY408" i="3"/>
  <c r="AY396" i="3"/>
  <c r="AY330" i="3"/>
  <c r="AY298" i="3"/>
  <c r="AY148" i="3"/>
  <c r="AY285" i="3"/>
  <c r="AY426" i="3"/>
  <c r="AY65" i="3"/>
  <c r="AY88" i="3"/>
  <c r="AY220" i="3"/>
  <c r="AY243" i="3"/>
  <c r="AY535" i="3"/>
  <c r="AY462" i="3"/>
  <c r="BH6" i="3"/>
  <c r="AY44" i="3"/>
  <c r="AY300" i="3"/>
  <c r="AY281" i="3"/>
  <c r="AY451" i="3"/>
  <c r="AY250" i="3"/>
  <c r="AY347" i="3"/>
  <c r="AY122" i="3"/>
  <c r="AY179" i="3"/>
  <c r="AY127" i="3"/>
  <c r="AY442" i="3"/>
  <c r="AY96" i="3"/>
  <c r="AY286" i="3"/>
  <c r="AY147" i="3"/>
  <c r="AY279" i="3"/>
  <c r="AY404" i="3"/>
  <c r="AY457" i="3"/>
  <c r="AY554" i="3"/>
  <c r="AY60" i="3"/>
  <c r="AY473" i="3"/>
  <c r="AY131" i="3"/>
  <c r="AY485" i="3"/>
  <c r="AY267" i="3"/>
  <c r="AY383" i="3"/>
  <c r="AY142" i="3"/>
  <c r="AY184" i="3"/>
  <c r="AY135" i="3"/>
  <c r="AY458" i="3"/>
  <c r="AY536" i="3"/>
  <c r="AY291" i="3"/>
  <c r="AY292" i="3"/>
  <c r="AY130" i="3"/>
  <c r="AY425" i="3"/>
  <c r="AY472" i="3"/>
  <c r="AY360" i="3"/>
  <c r="AY76" i="3"/>
  <c r="AY318" i="3"/>
  <c r="AY152" i="3"/>
  <c r="AY551" i="3"/>
  <c r="BR6" i="3"/>
  <c r="AY527" i="3"/>
  <c r="AY401" i="3"/>
  <c r="AY272" i="3"/>
  <c r="AY542" i="3"/>
  <c r="BN6" i="3"/>
  <c r="AY299" i="3"/>
  <c r="AY71" i="3"/>
  <c r="AY221" i="3"/>
  <c r="AY89" i="3"/>
  <c r="AY352" i="3"/>
  <c r="AY525" i="3"/>
  <c r="AY421" i="3"/>
  <c r="AY423" i="3"/>
  <c r="AY356" i="3"/>
  <c r="AY206" i="3"/>
  <c r="AY128" i="3"/>
  <c r="AY109" i="3"/>
  <c r="BT6" i="3"/>
  <c r="AY19" i="3"/>
  <c r="AY413" i="3"/>
  <c r="AY110" i="3"/>
  <c r="AY550" i="3"/>
  <c r="AY512" i="3"/>
  <c r="AY94" i="3"/>
  <c r="AY313" i="3"/>
  <c r="AY572" i="3"/>
  <c r="AY134" i="3"/>
  <c r="AY31" i="3"/>
  <c r="AY150" i="3"/>
  <c r="AY444" i="3"/>
  <c r="AY488" i="3"/>
  <c r="AY357" i="3"/>
  <c r="AY533" i="3"/>
  <c r="AY319" i="3"/>
  <c r="AY34" i="3"/>
  <c r="AY11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63" i="3"/>
  <c r="AY378" i="3"/>
  <c r="BL6" i="3"/>
  <c r="AY241" i="3"/>
  <c r="BD6" i="3"/>
  <c r="AY336" i="3"/>
  <c r="AY47" i="3"/>
  <c r="AY576" i="3"/>
  <c r="AY15" i="3"/>
  <c r="AY476" i="3"/>
  <c r="AY172" i="3"/>
  <c r="AY54" i="3"/>
  <c r="AY301" i="3"/>
  <c r="AY24" i="3"/>
  <c r="AY69" i="3"/>
  <c r="AY346" i="3"/>
  <c r="AY21" i="3"/>
  <c r="AY268" i="3"/>
  <c r="AY183" i="3"/>
  <c r="AY463" i="3"/>
  <c r="AY219" i="3"/>
  <c r="AY333" i="3"/>
  <c r="AY18" i="3"/>
  <c r="AY454" i="3"/>
  <c r="AY116" i="3"/>
  <c r="AY514" i="3"/>
  <c r="AY502" i="3"/>
  <c r="AY367" i="3"/>
  <c r="AY296" i="3"/>
  <c r="AY505" i="3"/>
  <c r="AY123" i="3"/>
  <c r="AY149" i="3"/>
  <c r="AY317" i="3"/>
  <c r="AY57" i="3"/>
  <c r="AY52" i="3"/>
  <c r="AY251" i="3"/>
  <c r="AY38" i="3"/>
  <c r="AY233" i="3"/>
  <c r="AY538" i="3"/>
  <c r="AY115" i="3"/>
  <c r="AY261" i="3"/>
  <c r="AY420" i="3"/>
  <c r="AY166" i="3"/>
  <c r="BQ6" i="3"/>
  <c r="AY40" i="3"/>
  <c r="AY212" i="3"/>
  <c r="AY519" i="3"/>
  <c r="AY453" i="3"/>
  <c r="AY27" i="3"/>
  <c r="AY399" i="3"/>
  <c r="AY522" i="3"/>
  <c r="AY386" i="3"/>
  <c r="AY45" i="3"/>
  <c r="AY447" i="3"/>
  <c r="AY23" i="3"/>
  <c r="AY58" i="3"/>
  <c r="AY160" i="3"/>
  <c r="AY460" i="3"/>
  <c r="AY327" i="3"/>
  <c r="BE6" i="3"/>
  <c r="AY185" i="3"/>
  <c r="AY262"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253" i="3"/>
  <c r="AY465" i="3"/>
  <c r="AY214" i="3"/>
  <c r="AY98" i="3"/>
  <c r="BI6" i="3"/>
  <c r="AY43" i="3"/>
  <c r="AY494" i="3"/>
  <c r="AY524" i="3"/>
  <c r="AY391" i="3"/>
  <c r="AY120" i="3"/>
  <c r="AY248" i="3"/>
  <c r="AY529" i="3"/>
  <c r="AY202" i="3"/>
  <c r="AY182" i="3"/>
  <c r="AY84" i="3"/>
  <c r="AY282" i="3"/>
  <c r="AY70" i="3"/>
  <c r="AY175" i="3"/>
  <c r="AY452" i="3"/>
  <c r="AY171" i="3"/>
  <c r="AY81" i="3"/>
  <c r="AY483" i="3"/>
  <c r="AY565" i="3"/>
  <c r="AY32" i="3"/>
  <c r="AY153" i="3"/>
  <c r="AY61" i="3"/>
  <c r="AY481" i="3"/>
  <c r="AY20" i="3"/>
  <c r="AY167" i="3"/>
  <c r="AY216" i="3"/>
  <c r="AY382" i="3"/>
  <c r="AY177" i="3"/>
  <c r="AY186" i="3"/>
  <c r="BB6" i="3"/>
  <c r="AY207" i="3"/>
  <c r="AY168" i="3"/>
  <c r="AY139" i="3"/>
  <c r="AY428" i="3"/>
  <c r="AY342" i="3"/>
  <c r="AY553"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164" i="3"/>
  <c r="AY74" i="3"/>
  <c r="AY108" i="3"/>
  <c r="AY349" i="3"/>
  <c r="AY390" i="3"/>
  <c r="AY464" i="3"/>
  <c r="AY384" i="3"/>
  <c r="AY287" i="3"/>
  <c r="AY192" i="3"/>
  <c r="AY586" i="3"/>
  <c r="AY195" i="3"/>
  <c r="AY293" i="3"/>
  <c r="AY155" i="3"/>
  <c r="AY92" i="3"/>
  <c r="AY411" i="3"/>
  <c r="AY93" i="3"/>
  <c r="AY112" i="3"/>
  <c r="AY324" i="3"/>
  <c r="AY484" i="3"/>
  <c r="AY314" i="3"/>
  <c r="AY498" i="3"/>
  <c r="AY174" i="3"/>
  <c r="AY257" i="3"/>
  <c r="AY236" i="3"/>
  <c r="AY77" i="3"/>
  <c r="AY197" i="3"/>
  <c r="AY311" i="3"/>
  <c r="AY229" i="3"/>
  <c r="AY582" i="3"/>
  <c r="AY156" i="3"/>
  <c r="AY431" i="3"/>
  <c r="AY240" i="3"/>
  <c r="AY225" i="3"/>
  <c r="AY133" i="3"/>
  <c r="AY90" i="3"/>
  <c r="AY435" i="3"/>
  <c r="AY480" i="3"/>
  <c r="AY509" i="3"/>
  <c r="AY323" i="3"/>
  <c r="AY113" i="3"/>
  <c r="AY95" i="3"/>
  <c r="AY180" i="3"/>
  <c r="AY118" i="3"/>
  <c r="AY332" i="3"/>
  <c r="AY163" i="3"/>
  <c r="AY403" i="3"/>
  <c r="AY379" i="3"/>
  <c r="AY101" i="3"/>
  <c r="AY176" i="3"/>
  <c r="AY297" i="3"/>
  <c r="AY289" i="3"/>
  <c r="AY441" i="3"/>
  <c r="AY310" i="3"/>
  <c r="AY97" i="3"/>
  <c r="AY154" i="3"/>
  <c r="AY230" i="3"/>
  <c r="AY56" i="3"/>
  <c r="AY353" i="3"/>
  <c r="AY398" i="3"/>
  <c r="AY501" i="3"/>
  <c r="AY244" i="3"/>
  <c r="AY36" i="3"/>
  <c r="BS6" i="3"/>
  <c r="AY467" i="3"/>
  <c r="AY577" i="3"/>
  <c r="AY497" i="3"/>
  <c r="AY100" i="3"/>
  <c r="AY227" i="3"/>
  <c r="AY341" i="3"/>
  <c r="AY584" i="3"/>
  <c r="AY129" i="3"/>
  <c r="AY487" i="3"/>
  <c r="D3" i="6"/>
  <c r="D21" i="6" s="1"/>
  <c r="AY35" i="3"/>
  <c r="AY331" i="3"/>
  <c r="AY86" i="3"/>
  <c r="AY213" i="3"/>
  <c r="AY504" i="3"/>
  <c r="AY461" i="3"/>
  <c r="AY140" i="3"/>
  <c r="AY22" i="3"/>
  <c r="AY64" i="3"/>
  <c r="AY402" i="3"/>
  <c r="AY265" i="3"/>
  <c r="AY143" i="3"/>
  <c r="AY144" i="3"/>
  <c r="AY409" i="3"/>
  <c r="AY138" i="3"/>
  <c r="AY427" i="3"/>
  <c r="AY25" i="3"/>
  <c r="AY523" i="3"/>
  <c r="AY309" i="3"/>
  <c r="AY471" i="3"/>
  <c r="AY55" i="3"/>
  <c r="AY450" i="3"/>
  <c r="AY415" i="3"/>
  <c r="AY165" i="3"/>
  <c r="AY355" i="3"/>
  <c r="AY373" i="3"/>
  <c r="AY187" i="3"/>
  <c r="AY418" i="3"/>
  <c r="AY394" i="3"/>
  <c r="AY124" i="3"/>
  <c r="AY106" i="3"/>
  <c r="AY392" i="3"/>
  <c r="AY581" i="3"/>
  <c r="AY178" i="3"/>
  <c r="AY422" i="3"/>
  <c r="AY368" i="3"/>
  <c r="AY468" i="3"/>
  <c r="AY469" i="3"/>
  <c r="AY354" i="3"/>
  <c r="AY136" i="3"/>
  <c r="AY359" i="3"/>
  <c r="AY26" i="3"/>
  <c r="AY397" i="3"/>
  <c r="AY348" i="3"/>
  <c r="AY146" i="3"/>
  <c r="AY49" i="3"/>
  <c r="AY507" i="3"/>
  <c r="AY266" i="3"/>
  <c r="AY466" i="3"/>
  <c r="AY205" i="3"/>
  <c r="AY288" i="3"/>
  <c r="AY315" i="3"/>
  <c r="AY204" i="3"/>
  <c r="AY433" i="3"/>
  <c r="AY381" i="3"/>
  <c r="BM6" i="3"/>
  <c r="AY157" i="3"/>
  <c r="AY82" i="3"/>
  <c r="AY198" i="3"/>
  <c r="AY307" i="3"/>
  <c r="AY208" i="3"/>
  <c r="AY424" i="3"/>
  <c r="AY223" i="3"/>
  <c r="AY557" i="3"/>
  <c r="AY495" i="3"/>
  <c r="AY283" i="3"/>
  <c r="AY67" i="3"/>
  <c r="AY456" i="3"/>
  <c r="AY479" i="3"/>
  <c r="AY273" i="3"/>
  <c r="AY189" i="3"/>
  <c r="AY516" i="3"/>
  <c r="AY295" i="3"/>
  <c r="AY303" i="3"/>
  <c r="AY107" i="3"/>
  <c r="AY13" i="3"/>
  <c r="AY277" i="3"/>
  <c r="AY407" i="3"/>
  <c r="AY194" i="3"/>
  <c r="AY478" i="3"/>
  <c r="AY555" i="3"/>
  <c r="AY114" i="3"/>
  <c r="AY190" i="3"/>
  <c r="AY217" i="3"/>
  <c r="AY335" i="3"/>
  <c r="AY385" i="3"/>
  <c r="AY37" i="3"/>
  <c r="BO6" i="3"/>
  <c r="AY228" i="3"/>
  <c r="AY337" i="3"/>
  <c r="AY48" i="3"/>
  <c r="AY260" i="3"/>
  <c r="AY566" i="3"/>
  <c r="AY62" i="3"/>
  <c r="AY432" i="3"/>
  <c r="AY563" i="3"/>
  <c r="AY429" i="3"/>
  <c r="AY560" i="3"/>
  <c r="AY99" i="3"/>
  <c r="AY329" i="3"/>
  <c r="AY580" i="3"/>
  <c r="AY141" i="3"/>
  <c r="AY132" i="3"/>
  <c r="AY222" i="3"/>
  <c r="AY486" i="3"/>
  <c r="AY475" i="3"/>
  <c r="AY374" i="3"/>
  <c r="AY569" i="3"/>
  <c r="AY363" i="3"/>
  <c r="AY42" i="3"/>
  <c r="AY306" i="3"/>
  <c r="AY117" i="3"/>
  <c r="AY515" i="3"/>
  <c r="AY338" i="3"/>
  <c r="AY275" i="3"/>
  <c r="AY126" i="3"/>
  <c r="AY290" i="3"/>
  <c r="AY103" i="3"/>
  <c r="AY528" i="3"/>
  <c r="AY579" i="3"/>
  <c r="AY436" i="3"/>
  <c r="AY571" i="3"/>
  <c r="AY395" i="3"/>
  <c r="AY320" i="3"/>
  <c r="AY232" i="3"/>
  <c r="AY161" i="3"/>
  <c r="BF6" i="3"/>
  <c r="AY305" i="3"/>
  <c r="AY264" i="3"/>
  <c r="AY326" i="3"/>
  <c r="AY145" i="3"/>
  <c r="AY249" i="3"/>
  <c r="AY574" i="3"/>
  <c r="AY521" i="3"/>
  <c r="AY79" i="3"/>
  <c r="AY474" i="3"/>
  <c r="AY548" i="3"/>
  <c r="AY416" i="3"/>
  <c r="AY517" i="3"/>
  <c r="BA6" i="3"/>
  <c r="AY345" i="3"/>
  <c r="AY503" i="3"/>
  <c r="AY173" i="3"/>
  <c r="AY191" i="3"/>
  <c r="AY254" i="3"/>
  <c r="AY334" i="3"/>
  <c r="AY491" i="3"/>
  <c r="AY247" i="3"/>
  <c r="AY544" i="3"/>
  <c r="AY209" i="3"/>
  <c r="AY59" i="3"/>
  <c r="AC6" i="3"/>
  <c r="E29" i="80"/>
  <c r="C30" i="80"/>
  <c r="E30" i="80" s="1"/>
  <c r="E65" i="39"/>
  <c r="H6" i="3"/>
  <c r="K20" i="6"/>
  <c r="K19" i="6"/>
  <c r="S6" i="1" s="1"/>
  <c r="E6" i="70" s="1"/>
  <c r="K23" i="6"/>
  <c r="M23" i="6" s="1"/>
  <c r="I23" i="6" s="1"/>
  <c r="S23" i="6" s="1"/>
  <c r="K24" i="6"/>
  <c r="M24" i="6" s="1"/>
  <c r="I24" i="6" s="1"/>
  <c r="S24" i="6" s="1"/>
  <c r="K26" i="6"/>
  <c r="M26" i="6" s="1"/>
  <c r="I26" i="6" s="1"/>
  <c r="S26" i="6" s="1"/>
  <c r="L18" i="9"/>
  <c r="D19" i="11"/>
  <c r="C19" i="11" s="1"/>
  <c r="C20" i="11" s="1"/>
  <c r="C17" i="4"/>
  <c r="B4" i="52" s="1"/>
  <c r="B43" i="72" s="1"/>
  <c r="D3" i="33"/>
  <c r="D3" i="34"/>
  <c r="E6" i="6"/>
  <c r="D20" i="12" s="1"/>
  <c r="C20" i="12" s="1"/>
  <c r="D3" i="21"/>
  <c r="M18" i="9"/>
  <c r="B118" i="9" s="1"/>
  <c r="B14" i="74" s="1"/>
  <c r="B1" i="74" s="1"/>
  <c r="D37" i="11"/>
  <c r="D14" i="12"/>
  <c r="D17" i="12" s="1"/>
  <c r="C17" i="12" s="1"/>
  <c r="U10" i="40"/>
  <c r="K14" i="1"/>
  <c r="E30" i="6"/>
  <c r="E31" i="6" s="1"/>
  <c r="I46" i="37"/>
  <c r="J46" i="37" s="1"/>
  <c r="G40" i="36"/>
  <c r="H40" i="36" s="1"/>
  <c r="W10" i="40"/>
  <c r="F69" i="39"/>
  <c r="AC10" i="39"/>
  <c r="F25" i="12"/>
  <c r="AB10" i="39"/>
  <c r="F22" i="68"/>
  <c r="F41" i="68" s="1"/>
  <c r="AA10" i="40"/>
  <c r="D116" i="43"/>
  <c r="I53" i="34"/>
  <c r="J53" i="34" s="1"/>
  <c r="F22" i="11"/>
  <c r="F24" i="67"/>
  <c r="C24" i="67" s="1"/>
  <c r="F24" i="15"/>
  <c r="C24" i="15" s="1"/>
  <c r="F22" i="69"/>
  <c r="F41" i="69" s="1"/>
  <c r="E49" i="34"/>
  <c r="I54" i="34" s="1"/>
  <c r="J54" i="34" s="1"/>
  <c r="O36" i="43"/>
  <c r="Q36" i="43"/>
  <c r="N36" i="43"/>
  <c r="M36" i="43"/>
  <c r="P36" i="43"/>
  <c r="C17" i="71"/>
  <c r="D18" i="71"/>
  <c r="P37" i="43"/>
  <c r="M37" i="43"/>
  <c r="Q37" i="43"/>
  <c r="O37" i="43"/>
  <c r="N37" i="43"/>
  <c r="C34" i="43"/>
  <c r="E34" i="43" s="1"/>
  <c r="E33" i="43"/>
  <c r="S11" i="1"/>
  <c r="E11" i="70" s="1"/>
  <c r="M22" i="6"/>
  <c r="I22" i="6" s="1"/>
  <c r="S22" i="6" s="1"/>
  <c r="S9" i="1"/>
  <c r="M20" i="6"/>
  <c r="I20" i="6" s="1"/>
  <c r="S20" i="6" s="1"/>
  <c r="S7" i="1"/>
  <c r="E7" i="70" s="1"/>
  <c r="S10" i="1"/>
  <c r="E10" i="70" s="1"/>
  <c r="S12"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15"/>
  <c r="C17" i="67"/>
  <c r="N6" i="1" l="1"/>
  <c r="N14" i="1" s="1"/>
  <c r="M21" i="6"/>
  <c r="I21" i="6" s="1"/>
  <c r="S21" i="6" s="1"/>
  <c r="C18" i="4"/>
  <c r="C4" i="52" s="1"/>
  <c r="B45" i="72" s="1"/>
  <c r="D19" i="6"/>
  <c r="D5" i="6"/>
  <c r="D23" i="6"/>
  <c r="D29" i="6"/>
  <c r="L19" i="9"/>
  <c r="D9" i="6"/>
  <c r="D22" i="6"/>
  <c r="E24" i="80"/>
  <c r="D15" i="6"/>
  <c r="D25" i="6"/>
  <c r="D10" i="6"/>
  <c r="D14" i="6"/>
  <c r="D8" i="6"/>
  <c r="D12" i="6"/>
  <c r="D26" i="6"/>
  <c r="E61" i="40"/>
  <c r="M19" i="9"/>
  <c r="C118" i="9" s="1"/>
  <c r="C14" i="74" s="1"/>
  <c r="B2" i="74" s="1"/>
  <c r="E6" i="3"/>
  <c r="D28" i="6"/>
  <c r="D20" i="6"/>
  <c r="D13" i="6"/>
  <c r="D24" i="6"/>
  <c r="D11" i="6"/>
  <c r="D24" i="80"/>
  <c r="E33" i="80"/>
  <c r="D33" i="80" s="1"/>
  <c r="D12" i="80" s="1"/>
  <c r="E12" i="80" s="1"/>
  <c r="E14" i="80" s="1"/>
  <c r="D14" i="80" s="1"/>
  <c r="L6" i="1" s="1"/>
  <c r="H26" i="6"/>
  <c r="M19" i="6"/>
  <c r="M27" i="6" s="1"/>
  <c r="D6" i="6"/>
  <c r="K27" i="6"/>
  <c r="D10" i="68"/>
  <c r="C10" i="68" s="1"/>
  <c r="B29" i="1" s="1"/>
  <c r="C8" i="68" s="1"/>
  <c r="D10" i="11"/>
  <c r="C10" i="11" s="1"/>
  <c r="D10" i="69"/>
  <c r="C10" i="69" s="1"/>
  <c r="C8" i="69" s="1"/>
  <c r="C5" i="69" s="1"/>
  <c r="K16" i="1"/>
  <c r="E53" i="34"/>
  <c r="F53" i="34" s="1"/>
  <c r="H24" i="6"/>
  <c r="H22" i="6"/>
  <c r="H25" i="6"/>
  <c r="C44" i="69"/>
  <c r="D41" i="69" s="1"/>
  <c r="C26" i="69"/>
  <c r="D22" i="69" s="1"/>
  <c r="C16" i="71"/>
  <c r="D17" i="71"/>
  <c r="H23" i="6"/>
  <c r="R23" i="6" s="1"/>
  <c r="R10" i="1" s="1"/>
  <c r="C30" i="43"/>
  <c r="B2" i="43" s="1"/>
  <c r="C31" i="43"/>
  <c r="H20" i="6"/>
  <c r="E12" i="70"/>
  <c r="S16" i="1"/>
  <c r="E9" i="70"/>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A7" i="51" l="1"/>
  <c r="B7" i="72" s="1"/>
  <c r="A10" i="51"/>
  <c r="B9" i="72" s="1"/>
  <c r="H21" i="6"/>
  <c r="R21" i="6" s="1"/>
  <c r="R8" i="1" s="1"/>
  <c r="I19" i="6"/>
  <c r="D27" i="6"/>
  <c r="D30" i="6"/>
  <c r="R25" i="6"/>
  <c r="R12" i="1" s="1"/>
  <c r="R26" i="6"/>
  <c r="D16" i="6"/>
  <c r="R20" i="6"/>
  <c r="R7" i="1" s="1"/>
  <c r="R22" i="6"/>
  <c r="R9" i="1" s="1"/>
  <c r="R24" i="6"/>
  <c r="R11" i="1" s="1"/>
  <c r="L14" i="1"/>
  <c r="M6" i="1"/>
  <c r="E2" i="70"/>
  <c r="D31" i="6"/>
  <c r="I5" i="6" s="1"/>
  <c r="D19" i="68"/>
  <c r="D37" i="68" s="1"/>
  <c r="D19" i="69"/>
  <c r="C19" i="69" s="1"/>
  <c r="C24" i="69" s="1"/>
  <c r="D7" i="74"/>
  <c r="D8" i="74"/>
  <c r="B3" i="43"/>
  <c r="C6" i="68"/>
  <c r="C7" i="68" s="1"/>
  <c r="L56" i="15"/>
  <c r="C18" i="12"/>
  <c r="C15" i="71"/>
  <c r="T16" i="71"/>
  <c r="D16" i="71"/>
  <c r="U16" i="71" s="1"/>
  <c r="H19" i="6"/>
  <c r="S19" i="6"/>
  <c r="S27" i="6" s="1"/>
  <c r="I27" i="6"/>
  <c r="C19" i="68"/>
  <c r="C23" i="69"/>
  <c r="E2" i="76"/>
  <c r="B2" i="76"/>
  <c r="I69" i="39"/>
  <c r="J67" i="39"/>
  <c r="I63" i="40"/>
  <c r="H65" i="40"/>
  <c r="I58" i="21"/>
  <c r="J58" i="21" s="1"/>
  <c r="K58" i="21" s="1"/>
  <c r="L58" i="21" s="1"/>
  <c r="M58" i="21" s="1"/>
  <c r="N58" i="21" s="1"/>
  <c r="O58" i="21" s="1"/>
  <c r="H7" i="21" s="1"/>
  <c r="J48" i="35"/>
  <c r="C14" i="67"/>
  <c r="C16" i="15"/>
  <c r="C18" i="67" l="1"/>
  <c r="C15" i="67"/>
  <c r="O6" i="1"/>
  <c r="P6" i="1" s="1"/>
  <c r="C13" i="12" s="1"/>
  <c r="T13" i="1"/>
  <c r="T6" i="1"/>
  <c r="T8" i="1"/>
  <c r="AR6" i="1"/>
  <c r="AQ10" i="1"/>
  <c r="T10" i="1"/>
  <c r="AR10" i="1"/>
  <c r="T7" i="1"/>
  <c r="AQ9" i="1"/>
  <c r="AR13" i="1"/>
  <c r="M14" i="1"/>
  <c r="O14" i="1" s="1"/>
  <c r="AR9" i="1"/>
  <c r="T9" i="1"/>
  <c r="AQ13" i="1"/>
  <c r="AQ11" i="1"/>
  <c r="AR11" i="1"/>
  <c r="T11" i="1"/>
  <c r="T12" i="1"/>
  <c r="AQ12" i="1"/>
  <c r="AQ7" i="1"/>
  <c r="AR8" i="1"/>
  <c r="AR7" i="1"/>
  <c r="AQ8" i="1"/>
  <c r="AQ6" i="1"/>
  <c r="AR12" i="1"/>
  <c r="C34" i="69"/>
  <c r="I6" i="6"/>
  <c r="D37" i="69"/>
  <c r="C37" i="69" s="1"/>
  <c r="C5" i="68"/>
  <c r="C14" i="71"/>
  <c r="D15" i="71"/>
  <c r="F7" i="21"/>
  <c r="S7" i="21" s="1"/>
  <c r="J7" i="21"/>
  <c r="AC7" i="21" s="1"/>
  <c r="V48" i="21" s="1"/>
  <c r="I48" i="21" s="1"/>
  <c r="H27" i="6"/>
  <c r="R19" i="6"/>
  <c r="C20" i="69"/>
  <c r="C28" i="69" s="1"/>
  <c r="C27" i="69" s="1"/>
  <c r="B3" i="76"/>
  <c r="J69" i="39"/>
  <c r="K67" i="39"/>
  <c r="U7" i="21"/>
  <c r="AB7" i="21"/>
  <c r="T48" i="21" s="1"/>
  <c r="G48" i="21" s="1"/>
  <c r="J63" i="40"/>
  <c r="I65" i="40"/>
  <c r="K48" i="35"/>
  <c r="L48" i="35" s="1"/>
  <c r="M48" i="35" s="1"/>
  <c r="N48" i="35" s="1"/>
  <c r="O48" i="35" s="1"/>
  <c r="H7" i="35" s="1"/>
  <c r="C14" i="15"/>
  <c r="C19" i="67" l="1"/>
  <c r="O16" i="1"/>
  <c r="C18" i="15"/>
  <c r="C15" i="15"/>
  <c r="C38" i="69"/>
  <c r="C35" i="69"/>
  <c r="M16" i="1"/>
  <c r="L16" i="1" s="1"/>
  <c r="T16" i="1"/>
  <c r="P14" i="1"/>
  <c r="P16" i="1" s="1"/>
  <c r="C11" i="12" s="1"/>
  <c r="C12" i="12" s="1"/>
  <c r="C20" i="68"/>
  <c r="D14" i="71"/>
  <c r="C13" i="71"/>
  <c r="W7" i="21"/>
  <c r="AA7" i="21"/>
  <c r="R48" i="21" s="1"/>
  <c r="J7" i="35"/>
  <c r="W7" i="35" s="1"/>
  <c r="C61" i="67"/>
  <c r="R27" i="6"/>
  <c r="R6" i="1"/>
  <c r="C25" i="69"/>
  <c r="C22" i="69" s="1"/>
  <c r="C31" i="69" s="1"/>
  <c r="L67" i="39"/>
  <c r="K69" i="39"/>
  <c r="J65" i="40"/>
  <c r="K63" i="40"/>
  <c r="I52" i="21"/>
  <c r="J52" i="21" s="1"/>
  <c r="U7" i="35"/>
  <c r="AB7" i="35"/>
  <c r="T38" i="35" s="1"/>
  <c r="G38" i="35" s="1"/>
  <c r="R49" i="21"/>
  <c r="E48" i="21"/>
  <c r="G52" i="21"/>
  <c r="H52" i="21" s="1"/>
  <c r="G53" i="21"/>
  <c r="H53" i="21" s="1"/>
  <c r="F7" i="35"/>
  <c r="F35" i="15"/>
  <c r="M21" i="15"/>
  <c r="M21" i="67"/>
  <c r="F35" i="67"/>
  <c r="N16" i="1" l="1"/>
  <c r="B21" i="1" s="1"/>
  <c r="C44" i="11" s="1"/>
  <c r="D41" i="11" s="1"/>
  <c r="C33" i="69"/>
  <c r="C39" i="69" s="1"/>
  <c r="C43" i="69" s="1"/>
  <c r="C24" i="68"/>
  <c r="C19" i="15"/>
  <c r="C20" i="15" s="1"/>
  <c r="C26" i="15" s="1"/>
  <c r="C15" i="12"/>
  <c r="C20" i="67"/>
  <c r="C26" i="67" s="1"/>
  <c r="C29" i="11"/>
  <c r="D27" i="11" s="1"/>
  <c r="AC7" i="35"/>
  <c r="V38" i="35" s="1"/>
  <c r="I38" i="35" s="1"/>
  <c r="G43" i="35" s="1"/>
  <c r="H43" i="35" s="1"/>
  <c r="C12" i="71"/>
  <c r="D13" i="71"/>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I53" i="21"/>
  <c r="J53" i="21" s="1"/>
  <c r="K65" i="40"/>
  <c r="L63" i="40"/>
  <c r="B23" i="1" l="1"/>
  <c r="C23" i="68" s="1"/>
  <c r="C28" i="68"/>
  <c r="C27" i="68" s="1"/>
  <c r="C29" i="68"/>
  <c r="D27" i="68" s="1"/>
  <c r="C44" i="68"/>
  <c r="D41" i="68" s="1"/>
  <c r="C46" i="69"/>
  <c r="C45" i="69" s="1"/>
  <c r="C42" i="69"/>
  <c r="C41" i="69" s="1"/>
  <c r="C28" i="11"/>
  <c r="C27" i="11" s="1"/>
  <c r="C24" i="11"/>
  <c r="B24" i="1"/>
  <c r="F50" i="69" s="1"/>
  <c r="C26" i="11"/>
  <c r="D22" i="11" s="1"/>
  <c r="C23" i="15"/>
  <c r="C29" i="15" s="1"/>
  <c r="C23" i="11"/>
  <c r="C23" i="67"/>
  <c r="C29" i="67" s="1"/>
  <c r="C26" i="68"/>
  <c r="D22" i="68" s="1"/>
  <c r="I42" i="35"/>
  <c r="J42" i="35" s="1"/>
  <c r="C11" i="71"/>
  <c r="T12" i="71"/>
  <c r="D12" i="71"/>
  <c r="U12" i="71" s="1"/>
  <c r="C61" i="15"/>
  <c r="C59" i="15" s="1"/>
  <c r="J17" i="15"/>
  <c r="C31" i="15"/>
  <c r="M69" i="39"/>
  <c r="N67" i="39"/>
  <c r="R39" i="35"/>
  <c r="E38" i="35"/>
  <c r="M63" i="40"/>
  <c r="L65" i="40"/>
  <c r="D2" i="21"/>
  <c r="C25" i="11" l="1"/>
  <c r="C25" i="68"/>
  <c r="C22" i="68" s="1"/>
  <c r="C29" i="12"/>
  <c r="D28" i="12" s="1"/>
  <c r="F34" i="68"/>
  <c r="C34" i="68" s="1"/>
  <c r="C35" i="68" s="1"/>
  <c r="J53" i="15"/>
  <c r="Q52" i="15" s="1"/>
  <c r="M59" i="15"/>
  <c r="L59" i="15" s="1"/>
  <c r="Q61" i="15" s="1"/>
  <c r="C49" i="69"/>
  <c r="C51" i="69" s="1"/>
  <c r="M59" i="67"/>
  <c r="F11" i="12"/>
  <c r="C14" i="12" s="1"/>
  <c r="C16" i="12" s="1"/>
  <c r="C21" i="12" s="1"/>
  <c r="C22" i="12" s="1"/>
  <c r="F50" i="11"/>
  <c r="F50" i="68"/>
  <c r="C26" i="12"/>
  <c r="D25" i="12" s="1"/>
  <c r="F34" i="11"/>
  <c r="C57" i="15"/>
  <c r="C64" i="15" s="1"/>
  <c r="J59" i="15"/>
  <c r="J60" i="15" s="1"/>
  <c r="Q48" i="15" s="1"/>
  <c r="C13" i="15"/>
  <c r="Q70" i="15" s="1"/>
  <c r="C36" i="15"/>
  <c r="Q49" i="15"/>
  <c r="J14" i="15"/>
  <c r="J13" i="15" s="1"/>
  <c r="J23" i="15" s="1"/>
  <c r="C36" i="68"/>
  <c r="C22" i="11"/>
  <c r="C31" i="11" s="1"/>
  <c r="C31" i="68"/>
  <c r="J59" i="67"/>
  <c r="J60" i="67" s="1"/>
  <c r="Q48" i="67" s="1"/>
  <c r="C13" i="67"/>
  <c r="C57" i="67"/>
  <c r="C64" i="67" s="1"/>
  <c r="C36" i="67"/>
  <c r="J14" i="67"/>
  <c r="Q49" i="67"/>
  <c r="C10" i="71"/>
  <c r="D11" i="71"/>
  <c r="B2" i="21"/>
  <c r="B3" i="21" s="1"/>
  <c r="O67" i="39"/>
  <c r="O69" i="39" s="1"/>
  <c r="N69" i="39"/>
  <c r="F7" i="39"/>
  <c r="C39" i="35"/>
  <c r="C38" i="35"/>
  <c r="N63" i="40"/>
  <c r="M65" i="40"/>
  <c r="E43" i="35"/>
  <c r="F43" i="35" s="1"/>
  <c r="E42" i="35"/>
  <c r="F42" i="35" s="1"/>
  <c r="I43" i="35"/>
  <c r="J43" i="35" s="1"/>
  <c r="D2" i="33"/>
  <c r="Q74" i="15" l="1"/>
  <c r="C38" i="68"/>
  <c r="C33" i="68" s="1"/>
  <c r="C39" i="68" s="1"/>
  <c r="C43" i="68" s="1"/>
  <c r="F1" i="15"/>
  <c r="C37" i="68"/>
  <c r="C52" i="69"/>
  <c r="B2" i="69" s="1"/>
  <c r="B3" i="69" s="1"/>
  <c r="C57" i="69"/>
  <c r="C56" i="69" s="1"/>
  <c r="C36" i="11"/>
  <c r="C37" i="11"/>
  <c r="C34" i="11"/>
  <c r="C56" i="15"/>
  <c r="C65" i="15" s="1"/>
  <c r="C58" i="15" s="1"/>
  <c r="C67" i="15" s="1"/>
  <c r="C75" i="15"/>
  <c r="C37" i="15"/>
  <c r="C30" i="15" s="1"/>
  <c r="C39" i="15" s="1"/>
  <c r="J22" i="15"/>
  <c r="J16" i="15" s="1"/>
  <c r="J25" i="15" s="1"/>
  <c r="J26" i="15" s="1"/>
  <c r="J13" i="67"/>
  <c r="J23" i="67" s="1"/>
  <c r="J22" i="67"/>
  <c r="Q70" i="67"/>
  <c r="C56" i="67"/>
  <c r="C65" i="67" s="1"/>
  <c r="C58" i="67" s="1"/>
  <c r="C67" i="67" s="1"/>
  <c r="C68" i="67" s="1"/>
  <c r="C71" i="67" s="1"/>
  <c r="C75" i="67"/>
  <c r="C37" i="67"/>
  <c r="C30" i="67" s="1"/>
  <c r="C39" i="67" s="1"/>
  <c r="D10" i="71"/>
  <c r="C9" i="71"/>
  <c r="B2" i="33"/>
  <c r="B3" i="33" s="1"/>
  <c r="H7" i="39"/>
  <c r="J7" i="39"/>
  <c r="S7" i="39"/>
  <c r="AA7" i="39"/>
  <c r="R47" i="39" s="1"/>
  <c r="O63" i="40"/>
  <c r="O65" i="40" s="1"/>
  <c r="N65" i="40"/>
  <c r="AE6" i="1"/>
  <c r="D2" i="35"/>
  <c r="D2" i="37"/>
  <c r="F41" i="15"/>
  <c r="L51" i="15"/>
  <c r="D2" i="34"/>
  <c r="D2" i="36"/>
  <c r="L51" i="67"/>
  <c r="Q69" i="15" l="1"/>
  <c r="Q68" i="15" s="1"/>
  <c r="H37" i="15"/>
  <c r="C38" i="11"/>
  <c r="C35" i="11"/>
  <c r="F69" i="15"/>
  <c r="C68" i="15" s="1"/>
  <c r="C71" i="15" s="1"/>
  <c r="J29" i="15"/>
  <c r="C80" i="15"/>
  <c r="C79" i="15" s="1"/>
  <c r="C40" i="15"/>
  <c r="J16" i="67"/>
  <c r="J25" i="67" s="1"/>
  <c r="J26" i="67" s="1"/>
  <c r="J29" i="67" s="1"/>
  <c r="L57" i="67"/>
  <c r="L60" i="67" s="1"/>
  <c r="L46" i="67" s="1"/>
  <c r="Q67" i="67"/>
  <c r="Q69" i="67"/>
  <c r="Q68" i="67" s="1"/>
  <c r="C40" i="67"/>
  <c r="C80" i="67"/>
  <c r="C79" i="67" s="1"/>
  <c r="C42" i="68"/>
  <c r="C41" i="68" s="1"/>
  <c r="C46" i="68"/>
  <c r="C45" i="68" s="1"/>
  <c r="C8" i="71"/>
  <c r="D9" i="71"/>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9" i="1"/>
  <c r="AO12" i="1"/>
  <c r="AO10" i="1"/>
  <c r="AO11" i="1"/>
  <c r="AO8" i="1"/>
  <c r="C33" i="11" l="1"/>
  <c r="C39" i="11" s="1"/>
  <c r="C43" i="11" s="1"/>
  <c r="Q65" i="15"/>
  <c r="C46" i="15"/>
  <c r="Q56" i="15"/>
  <c r="Q62" i="15" s="1"/>
  <c r="C83" i="15"/>
  <c r="C82" i="15" s="1"/>
  <c r="C43" i="15"/>
  <c r="Q47" i="15"/>
  <c r="Q53" i="15" s="1"/>
  <c r="Q66" i="67"/>
  <c r="Q57" i="67"/>
  <c r="C45" i="67"/>
  <c r="C46" i="67" s="1"/>
  <c r="C83" i="67"/>
  <c r="C82" i="67" s="1"/>
  <c r="Q56" i="67"/>
  <c r="C43" i="67"/>
  <c r="Q47" i="67"/>
  <c r="Q53" i="67" s="1"/>
  <c r="Q65" i="67"/>
  <c r="D2" i="67"/>
  <c r="C49" i="68"/>
  <c r="C51" i="68" s="1"/>
  <c r="C7" i="71"/>
  <c r="D8" i="71"/>
  <c r="L46" i="15"/>
  <c r="B2" i="15" s="1"/>
  <c r="C8" i="12" s="1"/>
  <c r="C4" i="12"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Q75" i="15" l="1"/>
  <c r="C42" i="11"/>
  <c r="C41" i="11" s="1"/>
  <c r="C46" i="11"/>
  <c r="C45" i="11" s="1"/>
  <c r="Q62" i="67"/>
  <c r="Q75" i="67"/>
  <c r="B2" i="67"/>
  <c r="B3" i="67"/>
  <c r="C52" i="68"/>
  <c r="B2" i="68" s="1"/>
  <c r="C31" i="12"/>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49" i="11" l="1"/>
  <c r="C51" i="11" s="1"/>
  <c r="C52" i="11" s="1"/>
  <c r="B2" i="11" s="1"/>
  <c r="B3" i="11" s="1"/>
  <c r="C57" i="68"/>
  <c r="C56" i="68" s="1"/>
  <c r="C102" i="9"/>
  <c r="C21" i="9"/>
  <c r="B3" i="68"/>
  <c r="C27" i="12"/>
  <c r="C25" i="12" s="1"/>
  <c r="C30" i="12"/>
  <c r="C28" i="12" s="1"/>
  <c r="D6" i="71"/>
  <c r="C5" i="71"/>
  <c r="D5" i="71" s="1"/>
  <c r="M24" i="43" s="1"/>
  <c r="C42" i="40"/>
  <c r="C43" i="40"/>
  <c r="E47" i="40"/>
  <c r="F47" i="40" s="1"/>
  <c r="E46" i="40"/>
  <c r="F46" i="40" s="1"/>
  <c r="I47" i="40"/>
  <c r="J47" i="40" s="1"/>
  <c r="D35" i="9"/>
  <c r="C20" i="9"/>
  <c r="D34" i="9"/>
  <c r="C56" i="11" l="1"/>
  <c r="C57" i="11" s="1"/>
  <c r="C103" i="9"/>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G21" i="9" s="1"/>
  <c r="B3" i="12"/>
  <c r="D20" i="9"/>
  <c r="D103" i="9" l="1"/>
  <c r="G20" i="9"/>
  <c r="C32" i="9" s="1"/>
  <c r="C35" i="9" l="1"/>
  <c r="C34" i="9" s="1"/>
  <c r="F118" i="9" l="1"/>
  <c r="G118" i="9" s="1"/>
  <c r="D118" i="9"/>
  <c r="D119" i="9" s="1"/>
  <c r="D5" i="52" s="1"/>
  <c r="B49" i="72" s="1"/>
  <c r="H118" i="9"/>
  <c r="H119" i="9" l="1"/>
  <c r="H5" i="52" s="1"/>
  <c r="D14" i="74"/>
  <c r="G14" i="74" s="1"/>
  <c r="B6" i="74" s="1"/>
  <c r="D6" i="74" s="1"/>
  <c r="H101" i="9"/>
  <c r="M48" i="9" s="1"/>
  <c r="F119" i="9"/>
  <c r="F5" i="52" s="1"/>
  <c r="B53" i="72" s="1"/>
  <c r="F4" i="52"/>
  <c r="B51" i="72" s="1"/>
  <c r="C104" i="9"/>
  <c r="H4" i="52"/>
  <c r="I118" i="9"/>
  <c r="E118" i="9" s="1"/>
  <c r="E4" i="52" s="1"/>
  <c r="B48" i="72" s="1"/>
  <c r="D4" i="52"/>
  <c r="B47" i="72" s="1"/>
  <c r="G4" i="52"/>
  <c r="B52" i="72" s="1"/>
  <c r="E14" i="74" l="1"/>
  <c r="F14" i="74"/>
  <c r="B5" i="74"/>
  <c r="D5" i="74" s="1"/>
  <c r="H102" i="9"/>
  <c r="I4" i="52"/>
  <c r="C105" i="9"/>
  <c r="D5" i="53"/>
  <c r="H107" i="9"/>
  <c r="D45" i="9"/>
  <c r="C64" i="9" l="1"/>
  <c r="C63" i="9" s="1"/>
  <c r="C67" i="9" s="1"/>
  <c r="C93" i="9"/>
  <c r="C86" i="9" s="1"/>
  <c r="C85" i="9"/>
  <c r="C78" i="9"/>
  <c r="C73" i="9" s="1"/>
  <c r="D55" i="9"/>
  <c r="M53" i="9" s="1"/>
  <c r="D52" i="9"/>
  <c r="D53" i="9"/>
  <c r="C72" i="9"/>
  <c r="B20" i="72"/>
  <c r="D6" i="53"/>
  <c r="B22" i="72" s="1"/>
  <c r="H108" i="9"/>
  <c r="D13" i="53"/>
  <c r="D122" i="9"/>
  <c r="M49" i="9"/>
  <c r="D7" i="53"/>
  <c r="B21" i="72" s="1"/>
  <c r="C5" i="74"/>
  <c r="C79" i="9" l="1"/>
  <c r="C80" i="9" s="1"/>
  <c r="E80" i="9" s="1"/>
  <c r="E81" i="9" s="1"/>
  <c r="C95" i="9"/>
  <c r="C96" i="9" s="1"/>
  <c r="E96" i="9" s="1"/>
  <c r="E97" i="9" s="1"/>
  <c r="L64" i="9"/>
  <c r="M64" i="9" s="1"/>
  <c r="L66" i="9"/>
  <c r="M66" i="9" s="1"/>
  <c r="L63" i="9"/>
  <c r="M63" i="9" s="1"/>
  <c r="L67" i="9"/>
  <c r="M67" i="9" s="1"/>
  <c r="L65" i="9"/>
  <c r="M65" i="9" s="1"/>
  <c r="L68" i="9"/>
  <c r="M68" i="9" s="1"/>
  <c r="D8" i="52"/>
  <c r="D123" i="9"/>
  <c r="D9" i="52" s="1"/>
  <c r="D14" i="53"/>
  <c r="B32" i="72" s="1"/>
  <c r="B30" i="72"/>
  <c r="C6" i="74"/>
  <c r="D15" i="53"/>
  <c r="B31" i="72" s="1"/>
  <c r="C68" i="9"/>
  <c r="D54" i="9" s="1"/>
  <c r="D59" i="9"/>
  <c r="M55" i="9" s="1"/>
  <c r="C97" i="9" l="1"/>
  <c r="D58" i="9" s="1"/>
  <c r="D56" i="9" s="1"/>
  <c r="M54" i="9" s="1"/>
  <c r="N57" i="9" s="1"/>
  <c r="N59" i="9" s="1"/>
  <c r="N60" i="9" s="1"/>
  <c r="M69" i="9"/>
  <c r="N69" i="9" s="1"/>
  <c r="C81" i="9"/>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<sst xmlns="http://schemas.openxmlformats.org/spreadsheetml/2006/main" count="7914" uniqueCount="3475">
  <si>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</si>
  <si>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</si>
  <si>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</si>
  <si>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</si>
  <si>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</si>
  <si>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</si>
  <si>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</si>
  <si>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</si>
  <si>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</si>
  <si>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</si>
  <si>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</si>
  <si>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</si>
  <si>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</si>
  <si>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</si>
  <si>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</si>
  <si>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</si>
  <si>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</si>
  <si>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</si>
  <si>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</si>
  <si>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</si>
  <si>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</si>
  <si>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</si>
  <si>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</si>
  <si>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</si>
  <si>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</si>
  <si>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</si>
  <si>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</si>
  <si>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</si>
  <si>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</si>
  <si>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</si>
  <si>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</si>
  <si>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</si>
  <si>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</si>
  <si>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</si>
  <si>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</si>
  <si>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</si>
  <si>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</si>
  <si>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</si>
  <si>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</si>
  <si>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</si>
  <si>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</si>
  <si>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</si>
  <si>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</si>
  <si>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</si>
  <si>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</si>
  <si>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</si>
  <si>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</si>
  <si>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</si>
  <si>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</si>
  <si>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</si>
  <si>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</si>
  <si>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</si>
  <si>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</si>
  <si>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</si>
  <si>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</si>
  <si>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</si>
  <si>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</si>
  <si>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</si>
  <si>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</si>
  <si>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</si>
  <si>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</si>
  <si>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</si>
  <si>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</si>
  <si>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</si>
  <si>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</si>
  <si>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</si>
  <si>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</si>
  <si>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</si>
  <si>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</si>
  <si>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</si>
  <si>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</si>
  <si>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</si>
  <si>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</si>
  <si>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</si>
  <si>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</si>
  <si>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</si>
  <si>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</si>
  <si>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</si>
  <si>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</si>
  <si>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</si>
  <si>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</si>
  <si>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</si>
  <si>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</si>
  <si>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</si>
  <si>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</si>
  <si>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</si>
  <si>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</si>
  <si>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</si>
  <si>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</si>
  <si>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</si>
  <si>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</si>
  <si>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</si>
  <si>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</si>
  <si>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</si>
  <si>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</si>
  <si>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</si>
  <si>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</si>
  <si>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</si>
  <si>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</si>
  <si>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</si>
  <si>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</si>
  <si>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</si>
  <si>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</si>
  <si>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</si>
  <si>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</si>
  <si>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</si>
  <si>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</si>
  <si>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</si>
  <si>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</si>
  <si>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</si>
  <si>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</si>
  <si>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</si>
  <si>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</si>
  <si>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</si>
  <si>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</si>
  <si>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</si>
  <si>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</si>
  <si>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</si>
  <si>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</si>
  <si>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</si>
  <si>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</si>
  <si>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</si>
  <si>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</si>
  <si>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</si>
  <si>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</si>
  <si>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</si>
  <si>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</si>
  <si>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</si>
  <si>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</si>
  <si>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</si>
  <si>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</si>
  <si>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</si>
  <si>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</si>
  <si>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</si>
  <si>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</si>
  <si>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</si>
  <si>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</si>
  <si>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</si>
  <si>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</si>
  <si>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</si>
  <si>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</si>
  <si>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</si>
  <si>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</si>
  <si>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</si>
  <si>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</si>
  <si>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</si>
  <si>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</si>
  <si>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</si>
  <si>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</si>
  <si>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</si>
  <si>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</si>
  <si>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</si>
  <si>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</si>
  <si>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</si>
  <si>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</si>
  <si>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</si>
  <si>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</si>
  <si>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</si>
  <si>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</si>
  <si>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</si>
  <si>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</si>
  <si>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</si>
  <si>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</si>
  <si>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</si>
  <si>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</si>
  <si>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</si>
  <si>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</si>
  <si>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</si>
  <si>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</si>
  <si>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</si>
  <si>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</si>
  <si>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</si>
  <si>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</si>
  <si>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</si>
  <si>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</si>
  <si>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</si>
  <si>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</si>
  <si>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</si>
  <si>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</si>
  <si>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</si>
  <si>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</si>
  <si>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</si>
  <si>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</si>
  <si>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</si>
  <si>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</si>
  <si>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</si>
  <si>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</si>
  <si>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</si>
  <si>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</si>
  <si>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</si>
  <si>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</si>
  <si>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</si>
  <si>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</si>
  <si>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</si>
  <si>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</si>
  <si>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</si>
  <si>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</si>
  <si>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</si>
  <si>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</si>
  <si>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</si>
  <si>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</si>
  <si>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</si>
  <si>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</si>
  <si>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</si>
  <si>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</si>
  <si>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</si>
  <si>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</si>
  <si>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</si>
  <si>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</si>
  <si>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</si>
  <si>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</si>
  <si>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</si>
  <si>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</si>
  <si>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</si>
  <si>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</si>
  <si>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</si>
  <si>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</si>
  <si>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</si>
  <si>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</si>
  <si>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</si>
  <si>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</si>
  <si>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</si>
  <si>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</si>
  <si>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</si>
  <si>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</si>
  <si>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</si>
  <si>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</si>
  <si>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</si>
  <si>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</si>
  <si>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</si>
  <si>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</si>
  <si>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</si>
  <si>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</si>
  <si>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</si>
  <si>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</si>
  <si>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</si>
  <si>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</si>
  <si>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</si>
  <si>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</si>
  <si>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</si>
  <si>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</si>
  <si>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</si>
  <si>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</si>
  <si>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</si>
  <si>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</si>
  <si>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</si>
  <si>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</si>
  <si>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</si>
  <si>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</si>
  <si>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</si>
  <si>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</si>
  <si>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</si>
  <si>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</si>
  <si>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</si>
  <si>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</si>
  <si>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</si>
  <si>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</si>
  <si>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</si>
  <si>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</si>
  <si>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</si>
  <si>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</si>
  <si>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</si>
  <si>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</si>
  <si>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</si>
  <si>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</si>
  <si>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</si>
  <si>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</si>
  <si>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</si>
  <si>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</si>
  <si>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</si>
  <si>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</si>
  <si>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</si>
  <si>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</si>
  <si>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</si>
  <si>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</si>
  <si>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</si>
  <si>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</si>
  <si>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</si>
  <si>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</si>
  <si>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</si>
  <si>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</si>
  <si>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</si>
  <si>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</si>
  <si>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</si>
  <si>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</si>
  <si>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</si>
  <si>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</si>
  <si>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</si>
  <si>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</si>
  <si>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</si>
  <si>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</si>
  <si>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</si>
  <si>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</si>
  <si>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</si>
  <si>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</si>
  <si>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</si>
  <si>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</si>
  <si>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</si>
  <si>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</si>
  <si>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</si>
  <si>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</si>
  <si>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</si>
  <si>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</si>
  <si>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</si>
  <si>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</si>
  <si>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</si>
  <si>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</si>
  <si>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</si>
  <si>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</si>
  <si>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</si>
  <si>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</si>
  <si>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</si>
  <si>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</si>
  <si>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</si>
  <si>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</si>
  <si>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</si>
  <si>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</si>
  <si>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</si>
  <si>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</si>
  <si>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</si>
  <si>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</si>
  <si>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</si>
  <si>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</si>
  <si>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</si>
  <si>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</si>
  <si>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</si>
  <si>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</si>
  <si>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</si>
  <si>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</si>
  <si>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</si>
  <si>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</si>
  <si>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</si>
  <si>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</si>
  <si>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</si>
  <si>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</si>
  <si>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</si>
  <si>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</si>
  <si>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</si>
  <si>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</si>
  <si>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</si>
  <si>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</si>
  <si>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</si>
  <si>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</si>
  <si>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</si>
  <si>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</si>
  <si>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</si>
  <si>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</si>
  <si>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</si>
  <si>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</si>
  <si>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</si>
  <si>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</si>
  <si>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</si>
  <si>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</si>
  <si>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</si>
  <si>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</si>
  <si>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</si>
  <si>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</si>
  <si>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</si>
  <si>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</si>
  <si>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</si>
  <si>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</si>
  <si>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</si>
  <si>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</si>
  <si>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</si>
  <si>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</si>
  <si>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</si>
  <si>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</si>
  <si>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</si>
  <si>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</si>
  <si>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</si>
  <si>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</si>
  <si>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</si>
  <si>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</si>
  <si>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</si>
  <si>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</si>
  <si>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</si>
  <si>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</si>
  <si>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</si>
  <si>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</si>
  <si>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</si>
  <si>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</si>
  <si>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</si>
  <si>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</si>
  <si>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</si>
  <si>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</si>
  <si>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</si>
  <si>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</si>
  <si>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</si>
  <si>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</si>
  <si>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</si>
  <si>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</si>
  <si>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</si>
  <si>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</si>
  <si>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</si>
  <si>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</si>
  <si>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</si>
  <si>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</si>
  <si>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</si>
  <si>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</si>
  <si>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</si>
  <si>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</si>
  <si>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</si>
  <si>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</si>
  <si>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</si>
  <si>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</si>
  <si>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</si>
  <si>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</si>
  <si>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</si>
  <si>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</si>
  <si>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</si>
  <si>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</si>
  <si>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</si>
  <si>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</si>
  <si>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</si>
  <si>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</si>
  <si>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</si>
  <si>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</si>
  <si>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</si>
  <si>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</si>
  <si>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</si>
  <si>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</si>
  <si>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</si>
  <si>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</si>
  <si>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</si>
  <si>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</si>
  <si>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</si>
  <si>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</si>
  <si>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</si>
  <si>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</si>
  <si>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</si>
  <si>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</si>
  <si>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</si>
  <si>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</si>
  <si>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</si>
  <si>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</si>
  <si>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</si>
  <si>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</si>
  <si>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</si>
  <si>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</si>
  <si>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</si>
  <si>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</si>
  <si>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</si>
  <si>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</si>
  <si>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</si>
  <si>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</si>
  <si>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</si>
  <si>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</si>
  <si>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</si>
  <si>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</si>
  <si>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</si>
  <si>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</si>
  <si>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</si>
  <si>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</si>
  <si>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</si>
  <si>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</si>
  <si>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</si>
  <si>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</si>
  <si>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</si>
  <si>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</si>
  <si>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</si>
  <si>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</si>
  <si>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</si>
  <si>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</si>
  <si>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</si>
  <si>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</si>
  <si>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</si>
  <si>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</si>
  <si>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</si>
  <si>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</si>
  <si>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</si>
  <si>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</si>
  <si>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</si>
  <si>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</si>
  <si>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</si>
  <si>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</si>
  <si>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</si>
  <si>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</si>
  <si>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</si>
  <si>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</si>
  <si>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</si>
  <si>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</si>
  <si>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</si>
  <si>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</si>
  <si>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</si>
  <si>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</si>
  <si>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</si>
  <si>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</si>
  <si>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</si>
  <si>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</si>
  <si>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</si>
  <si>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</si>
  <si>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</si>
  <si>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</si>
  <si>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</si>
  <si>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</si>
  <si>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</si>
  <si>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</si>
  <si>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</si>
  <si>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</si>
  <si>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</si>
  <si>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</si>
  <si>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</si>
  <si>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</si>
  <si>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</si>
  <si>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</si>
  <si>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</si>
  <si>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</si>
  <si>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</si>
  <si>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</si>
  <si>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</si>
  <si>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</si>
  <si>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</si>
  <si>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</si>
  <si>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</si>
  <si>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</si>
  <si>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</si>
  <si>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</si>
  <si>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</si>
  <si>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</si>
  <si>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</si>
  <si>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</si>
  <si>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</si>
  <si>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</si>
  <si>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</si>
  <si>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</si>
  <si>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</si>
  <si>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</si>
  <si>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</si>
  <si>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</si>
  <si>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</si>
  <si>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</si>
  <si>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</si>
  <si>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</si>
  <si>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</si>
  <si>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</si>
  <si>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</si>
  <si>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</si>
  <si>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</si>
  <si>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</si>
  <si>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</si>
  <si>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</si>
  <si>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</si>
  <si>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</si>
  <si>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</si>
  <si>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</si>
  <si>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</si>
  <si>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</si>
  <si>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</si>
  <si>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</si>
  <si>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</si>
  <si>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</si>
  <si>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</si>
  <si>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</si>
  <si>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</si>
  <si>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</si>
  <si>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</si>
  <si>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</si>
  <si>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</si>
  <si>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</si>
  <si>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</si>
  <si>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</si>
  <si>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</si>
  <si>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</si>
  <si>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</si>
  <si>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</si>
  <si>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</si>
  <si>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</si>
  <si>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</si>
  <si>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</si>
  <si>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</si>
  <si>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</si>
  <si>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</si>
  <si>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</si>
  <si>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</si>
  <si>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</si>
  <si>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</si>
  <si>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</si>
  <si>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</si>
  <si>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</si>
  <si>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</si>
  <si>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</si>
  <si>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</si>
  <si>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</si>
  <si>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</si>
  <si>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</si>
  <si>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</si>
  <si>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</si>
  <si>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</si>
  <si>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</si>
  <si>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</si>
  <si>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</si>
  <si>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</si>
  <si>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</si>
  <si>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</si>
  <si>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</si>
  <si>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</si>
  <si>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</si>
  <si>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</si>
  <si>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</si>
  <si>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</si>
  <si>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</si>
  <si>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</si>
  <si>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</si>
  <si>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</si>
  <si>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</si>
  <si>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</si>
  <si>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</si>
  <si>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</si>
  <si>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</si>
  <si>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</si>
  <si>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</si>
  <si>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</si>
  <si>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</si>
  <si>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</si>
  <si>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</si>
  <si>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</si>
  <si>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</si>
  <si>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</si>
  <si>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</si>
  <si>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</si>
  <si>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</si>
  <si>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</si>
  <si>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</si>
  <si>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</si>
  <si>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</si>
  <si>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</si>
  <si>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</si>
  <si>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</si>
  <si>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</si>
  <si>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</si>
  <si>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</si>
  <si>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</si>
  <si>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</si>
  <si>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</si>
  <si>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</si>
  <si>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</si>
  <si>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</si>
  <si>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</si>
  <si>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</si>
  <si>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</si>
  <si>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</si>
  <si>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</si>
  <si>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</si>
  <si>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</si>
  <si>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</si>
  <si>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</si>
  <si>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</si>
  <si>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</si>
  <si>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</si>
  <si>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</si>
  <si>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</si>
  <si>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</si>
  <si>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</si>
  <si>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</si>
  <si>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</si>
  <si>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</si>
  <si>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</si>
  <si>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</si>
  <si>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</si>
  <si>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</si>
  <si>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</si>
  <si>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</si>
  <si>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</si>
  <si>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</si>
  <si>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</si>
  <si>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</si>
  <si>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</si>
  <si>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</si>
  <si>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</si>
  <si>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</si>
  <si>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</si>
  <si>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</si>
  <si>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</si>
  <si>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</si>
  <si>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</si>
  <si>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</si>
  <si>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</si>
  <si>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</si>
  <si>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</si>
  <si>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</si>
  <si>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</si>
  <si>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</si>
  <si>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</si>
  <si>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</si>
  <si>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</si>
  <si>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</si>
  <si>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</si>
  <si>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</si>
  <si>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</si>
  <si>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</si>
  <si>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</si>
  <si>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</si>
  <si>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</si>
  <si>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</si>
  <si>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</si>
  <si>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</si>
  <si>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</si>
  <si>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</si>
  <si>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</si>
  <si>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</si>
  <si>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</si>
  <si>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</si>
  <si>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</si>
  <si>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</si>
  <si>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</si>
  <si>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</si>
  <si>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</si>
  <si>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</si>
  <si>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</si>
  <si>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</si>
  <si>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</si>
  <si>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</si>
  <si>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</si>
  <si>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</si>
  <si>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</si>
  <si>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</si>
  <si>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</si>
  <si>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</si>
  <si>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</si>
  <si>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</si>
  <si>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</si>
  <si>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</si>
  <si>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</si>
  <si>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</si>
  <si>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</si>
  <si>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</si>
  <si>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</si>
  <si>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</si>
  <si>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</si>
  <si>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</si>
  <si>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</si>
  <si>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</si>
  <si>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</si>
  <si>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</si>
  <si>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</si>
  <si>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</si>
  <si>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</si>
  <si>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</si>
  <si>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</si>
  <si>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</si>
  <si>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</si>
  <si>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</si>
  <si>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</si>
  <si>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</si>
  <si>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</si>
  <si>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</si>
  <si>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</si>
  <si>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</si>
  <si>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</si>
  <si>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</si>
  <si>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</si>
  <si>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</si>
  <si>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</si>
  <si>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</si>
  <si>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</si>
  <si>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</si>
  <si>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</si>
  <si>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</si>
  <si>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</si>
  <si>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</si>
  <si>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</si>
  <si>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</si>
  <si>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</si>
  <si>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</si>
  <si>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</si>
  <si>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</si>
  <si>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</si>
  <si>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</si>
  <si>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</si>
  <si>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</si>
  <si>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</si>
  <si>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</si>
  <si>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</si>
  <si>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</si>
  <si>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</si>
  <si>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</si>
  <si>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</si>
  <si>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</si>
  <si>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</si>
  <si>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</si>
  <si>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</si>
  <si>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</si>
  <si>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</si>
  <si>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</si>
  <si>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</si>
  <si>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</si>
  <si>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</si>
  <si>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</si>
  <si>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</si>
  <si>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</si>
  <si>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</si>
  <si>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</si>
  <si>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</si>
  <si>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</si>
  <si>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</si>
  <si>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</si>
  <si>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</si>
  <si>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</si>
  <si>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</si>
  <si>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</si>
  <si>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</si>
  <si>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</si>
  <si>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</si>
  <si>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</si>
  <si>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</si>
  <si>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</si>
  <si>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</si>
  <si>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</si>
  <si>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</si>
  <si>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</si>
  <si>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</si>
  <si>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</si>
  <si>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</si>
  <si>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</si>
  <si>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</si>
  <si>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</si>
  <si>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</si>
  <si>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</si>
  <si>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</si>
  <si>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</si>
  <si>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</si>
  <si>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</si>
  <si>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</si>
  <si>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</si>
  <si>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</si>
  <si>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</si>
  <si>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</si>
  <si>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</si>
  <si>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</si>
  <si>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</si>
  <si>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</si>
  <si>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</si>
  <si>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</si>
  <si>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</si>
  <si>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</si>
  <si>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</si>
  <si>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</si>
  <si>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</si>
  <si>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</si>
  <si>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</si>
  <si>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</si>
  <si>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</si>
  <si>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</si>
  <si>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</si>
  <si>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</si>
  <si>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</si>
  <si>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</si>
  <si>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</si>
  <si>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</si>
  <si>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</si>
  <si>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</si>
  <si>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</si>
  <si>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</si>
  <si>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</si>
  <si>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</si>
  <si>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</si>
  <si>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</si>
  <si>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</si>
  <si>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</si>
  <si>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</si>
  <si>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</si>
  <si>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</si>
  <si>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</si>
  <si>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</si>
  <si>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</si>
  <si>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</si>
  <si>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</si>
  <si>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</si>
  <si>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</si>
  <si>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</si>
  <si>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</si>
  <si>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</si>
  <si>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</si>
  <si>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</si>
  <si>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</si>
  <si>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</si>
  <si>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</si>
  <si>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</si>
  <si>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</si>
  <si>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</si>
  <si>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</si>
  <si>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</si>
  <si>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</si>
  <si>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</si>
  <si>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</si>
  <si>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</si>
  <si>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</si>
  <si>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</si>
  <si>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</si>
  <si>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</si>
  <si>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</si>
  <si>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</si>
  <si>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</si>
  <si>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</si>
  <si>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</si>
  <si>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</si>
  <si>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</si>
  <si>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</si>
  <si>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</si>
  <si>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</si>
  <si>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</si>
  <si>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</si>
  <si>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</si>
  <si>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</si>
  <si>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</si>
  <si>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</si>
  <si>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</si>
  <si>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</si>
  <si>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</si>
  <si>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</si>
  <si>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</si>
  <si>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</si>
  <si>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</si>
  <si>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</si>
  <si>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</si>
  <si>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</si>
  <si>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</si>
  <si>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</si>
  <si>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</si>
  <si>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</si>
  <si>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</si>
  <si>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</si>
  <si>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</si>
  <si>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</si>
  <si>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</si>
  <si>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</si>
  <si>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</si>
  <si>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</si>
  <si>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</si>
  <si>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</si>
  <si>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</si>
  <si>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</si>
  <si>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</si>
  <si>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</si>
  <si>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</si>
  <si>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</si>
  <si>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</si>
  <si>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</si>
  <si>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</si>
  <si>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</si>
  <si>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</si>
  <si>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</si>
  <si>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</si>
  <si>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</si>
  <si>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</si>
  <si>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</si>
  <si>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</si>
  <si>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</si>
  <si>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</si>
  <si>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</si>
  <si>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</si>
  <si>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</si>
  <si>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</si>
  <si>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</si>
  <si>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</si>
  <si>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</si>
  <si>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</si>
  <si>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</si>
  <si>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</si>
  <si>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</si>
  <si>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</si>
  <si>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</si>
  <si>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</si>
  <si>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</si>
  <si>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</si>
  <si>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</si>
  <si>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</si>
  <si>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</si>
  <si>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</si>
  <si>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</si>
  <si>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</si>
  <si>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</si>
  <si>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</si>
  <si>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</si>
  <si>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</si>
  <si>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</si>
  <si>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</si>
  <si>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</si>
  <si>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</si>
  <si>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</si>
  <si>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</si>
  <si>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</si>
  <si>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</si>
  <si>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</si>
  <si>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</si>
  <si>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</si>
  <si>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</si>
  <si>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</si>
  <si>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</si>
  <si>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</si>
  <si>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</si>
  <si>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</si>
  <si>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</si>
  <si>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</si>
  <si>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</si>
  <si>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</si>
  <si>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</si>
  <si>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</si>
  <si>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</si>
  <si>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</si>
  <si>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</si>
  <si>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</si>
  <si>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</si>
  <si>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</si>
  <si>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</si>
  <si>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</si>
  <si>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</si>
  <si>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</si>
  <si>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</si>
  <si>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</si>
  <si>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</si>
  <si>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</si>
  <si>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</si>
  <si>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</si>
  <si>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</si>
  <si>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</si>
  <si>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</si>
  <si>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</si>
  <si>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</si>
  <si>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</si>
  <si>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</si>
  <si>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</si>
  <si>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</si>
  <si>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</si>
  <si>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</si>
  <si>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</si>
  <si>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</si>
  <si>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</si>
  <si>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</si>
  <si>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</si>
  <si>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</si>
  <si>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</si>
  <si>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</si>
  <si>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</si>
  <si>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</si>
  <si>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</si>
  <si>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</si>
  <si>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</si>
  <si>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</si>
  <si>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</si>
  <si>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</si>
  <si>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</si>
  <si>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</si>
  <si>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</si>
  <si>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</si>
  <si>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</si>
  <si>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</si>
  <si>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</si>
  <si>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</si>
  <si>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</si>
  <si>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</si>
  <si>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</si>
  <si>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</si>
  <si>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</si>
  <si>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</si>
  <si>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</si>
  <si>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</si>
  <si>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</si>
  <si>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</si>
  <si>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</si>
  <si>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</si>
  <si>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</si>
  <si>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</si>
  <si>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</si>
  <si>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</si>
  <si>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</si>
  <si>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</si>
  <si>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</si>
  <si>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</si>
  <si>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</si>
  <si>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</si>
  <si>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</si>
  <si>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</si>
  <si>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</si>
  <si>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</si>
  <si>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</si>
  <si>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</si>
  <si>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</si>
  <si>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</si>
  <si>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</si>
  <si>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</si>
  <si>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</si>
  <si>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</si>
  <si>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</si>
  <si>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</si>
  <si>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</si>
  <si>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</si>
  <si>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</si>
  <si>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</si>
  <si>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</si>
  <si>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</si>
  <si>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</si>
  <si>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</si>
  <si>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</si>
  <si>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</si>
  <si>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</si>
  <si>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</si>
  <si>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</si>
  <si>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</si>
  <si>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</si>
  <si>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</si>
  <si>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</si>
  <si>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</si>
  <si>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</si>
  <si>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</si>
  <si>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</si>
  <si>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</si>
  <si>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</si>
  <si>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</si>
  <si>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</si>
  <si>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</si>
  <si>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</si>
  <si>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</si>
  <si>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</si>
  <si>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</si>
  <si>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</si>
  <si>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</si>
  <si>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</si>
  <si>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</si>
  <si>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</si>
  <si>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</si>
  <si>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</si>
  <si>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</si>
  <si>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</si>
  <si>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</si>
  <si>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</si>
  <si>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</si>
  <si>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</si>
  <si>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</si>
  <si>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</si>
  <si>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</si>
  <si>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</si>
  <si>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</si>
  <si>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</si>
  <si>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</si>
  <si>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</si>
  <si>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</si>
  <si>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</si>
  <si>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</si>
  <si>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</si>
  <si>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</si>
  <si>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</si>
  <si>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</si>
  <si>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</si>
  <si>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</si>
  <si>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</si>
  <si>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</si>
  <si>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</si>
  <si>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</si>
  <si>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</si>
  <si>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</si>
  <si>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</si>
  <si>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</si>
  <si>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</si>
  <si>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</si>
  <si>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</si>
  <si>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</si>
  <si>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</si>
  <si>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</si>
  <si>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</si>
  <si>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</si>
  <si>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</si>
  <si>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</si>
  <si>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</si>
  <si>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</si>
  <si>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</si>
  <si>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</si>
  <si>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</si>
  <si>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</si>
  <si>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</si>
  <si>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</si>
  <si>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</si>
  <si>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</si>
  <si>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</si>
  <si>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</si>
  <si>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</si>
  <si>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</si>
  <si>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</si>
  <si>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</si>
  <si>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</si>
  <si>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</si>
  <si>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</si>
  <si>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</si>
  <si>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</si>
  <si>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</si>
  <si>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</si>
  <si>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</si>
  <si>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</si>
  <si>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</si>
  <si>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</si>
  <si>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</si>
  <si>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</si>
  <si>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</si>
  <si>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</si>
  <si>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</si>
  <si>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</si>
  <si>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</si>
  <si>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</si>
  <si>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</si>
  <si>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</si>
  <si>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</si>
  <si>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</si>
  <si>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</si>
  <si>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</si>
  <si>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</si>
  <si>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</si>
  <si>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</si>
  <si>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</si>
  <si>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</si>
  <si>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</si>
  <si>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</si>
  <si>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</si>
  <si>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</si>
  <si>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</si>
  <si>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</si>
  <si>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</si>
  <si>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</si>
  <si>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</si>
  <si>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</si>
  <si>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</si>
  <si>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</si>
  <si>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</si>
  <si>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</si>
  <si>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</si>
  <si>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</si>
  <si>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</si>
  <si>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</si>
  <si>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</si>
  <si>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</si>
  <si>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</si>
  <si>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</si>
  <si>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</si>
  <si>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</si>
  <si>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</si>
  <si>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</si>
  <si>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</si>
  <si>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</si>
  <si>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</si>
  <si>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</si>
  <si>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</si>
  <si>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</si>
  <si>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</si>
  <si>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</si>
  <si>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</si>
  <si>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</si>
  <si>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</si>
  <si>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</si>
  <si>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</si>
  <si>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</si>
  <si>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</si>
  <si>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</si>
  <si>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</si>
  <si>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</si>
  <si>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</si>
  <si>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</si>
  <si>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</si>
  <si>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</si>
  <si>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</si>
  <si>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</si>
  <si>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</si>
  <si>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</si>
  <si>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</si>
  <si>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</si>
  <si>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</si>
  <si>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</si>
  <si>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</si>
  <si>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</si>
  <si>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</si>
  <si>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</si>
  <si>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</si>
  <si>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</si>
  <si>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</si>
  <si>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</si>
  <si>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</si>
  <si>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</si>
  <si>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</si>
  <si>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</si>
  <si>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</si>
  <si>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</si>
  <si>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</si>
  <si>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</si>
  <si>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</si>
  <si>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</si>
  <si>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</si>
  <si>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</si>
  <si>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</si>
  <si>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</si>
  <si>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</si>
  <si>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</si>
  <si>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</si>
  <si>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</si>
  <si>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</si>
  <si>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</si>
  <si>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</si>
  <si>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</si>
  <si>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</si>
  <si>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</si>
  <si>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</si>
  <si>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</si>
  <si>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</si>
  <si>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</si>
  <si>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</si>
  <si>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</si>
  <si>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</si>
  <si>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</si>
  <si>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</si>
  <si>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</si>
  <si>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</si>
  <si>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</si>
  <si>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</si>
  <si>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</si>
  <si>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</si>
  <si>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</si>
  <si>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</si>
  <si>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</si>
  <si>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</si>
  <si>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</si>
  <si>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</si>
  <si>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</si>
  <si>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</si>
  <si>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</si>
  <si>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</si>
  <si>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</si>
  <si>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</si>
  <si>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</si>
  <si>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</si>
  <si>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</si>
  <si>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</si>
  <si>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</si>
  <si>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</si>
  <si>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</si>
  <si>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</si>
  <si>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</si>
  <si>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</si>
  <si>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</si>
  <si>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</si>
  <si>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</si>
  <si>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</si>
  <si>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</si>
  <si>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</si>
  <si>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</si>
  <si>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</si>
  <si>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</si>
  <si>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</si>
  <si>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</si>
  <si>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</si>
  <si>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</si>
  <si>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</si>
  <si>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</si>
  <si>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</si>
  <si>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</si>
  <si>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</si>
  <si>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</si>
  <si>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</si>
  <si>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</si>
  <si>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</si>
  <si>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</si>
  <si>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</si>
  <si>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</si>
  <si>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</si>
  <si>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</si>
  <si>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</si>
  <si>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</si>
  <si>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</si>
  <si>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</si>
  <si>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</si>
  <si>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</si>
  <si>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</si>
  <si>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</si>
  <si>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</si>
  <si>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</si>
  <si>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</si>
  <si>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</si>
  <si>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</si>
  <si>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</si>
  <si>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</si>
  <si>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</si>
  <si>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</si>
  <si>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</si>
  <si>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</si>
  <si>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</si>
  <si>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</si>
  <si>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</si>
  <si>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</si>
  <si>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</si>
  <si>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</si>
  <si>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</si>
  <si>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</si>
  <si>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</si>
  <si>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</si>
  <si>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</si>
  <si>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</si>
  <si>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</si>
  <si>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</si>
  <si>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</si>
  <si>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</si>
  <si>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</si>
  <si>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</si>
  <si>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</si>
  <si>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</si>
  <si>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</si>
  <si>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</si>
  <si>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</si>
  <si>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</si>
  <si>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</si>
  <si>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</si>
  <si>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</si>
  <si>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</si>
  <si>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</si>
  <si>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</si>
  <si>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</si>
  <si>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</si>
  <si>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</si>
  <si>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</si>
  <si>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</si>
  <si>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</si>
  <si>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</si>
  <si>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</si>
  <si>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</si>
  <si>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</si>
  <si>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</si>
  <si>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</si>
  <si>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</si>
  <si>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</si>
  <si>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</si>
  <si>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</si>
  <si>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</si>
  <si>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</si>
  <si>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</si>
  <si>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</si>
  <si>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</si>
  <si>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</si>
  <si>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</si>
  <si>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</si>
  <si>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</si>
  <si>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</si>
  <si>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</si>
  <si>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</si>
  <si>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</si>
  <si>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</si>
  <si>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</si>
  <si>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</si>
  <si>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</si>
  <si>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</si>
  <si>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</si>
  <si>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</si>
  <si>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</si>
  <si>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</si>
  <si>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</si>
  <si>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</si>
  <si>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</si>
  <si>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</si>
  <si>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</si>
  <si>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</si>
  <si>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</si>
  <si>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</si>
  <si>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</si>
  <si>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</si>
  <si>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</si>
  <si>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</si>
  <si>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</si>
  <si>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</si>
  <si>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</si>
  <si>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</si>
  <si>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</si>
  <si>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</si>
  <si>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</si>
  <si>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</si>
  <si>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</si>
  <si>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</si>
  <si>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</si>
  <si>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</si>
  <si>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</si>
  <si>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</si>
  <si>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</si>
  <si>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</si>
  <si>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</si>
  <si>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</si>
  <si>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</si>
  <si>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</si>
  <si>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</si>
  <si>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</si>
  <si>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</si>
  <si>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</si>
  <si>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</si>
  <si>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</si>
  <si>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</si>
  <si>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</si>
  <si>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</si>
  <si>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</si>
  <si>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</si>
  <si>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</si>
  <si>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</si>
  <si>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</si>
  <si>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</si>
  <si>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</si>
  <si>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</si>
  <si>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</si>
  <si>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</si>
  <si>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</si>
  <si>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</si>
  <si>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</si>
  <si>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</si>
  <si>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</si>
  <si>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</si>
  <si>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</si>
  <si>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</si>
  <si>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</si>
  <si>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</si>
  <si>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</si>
  <si>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</si>
  <si>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</si>
  <si>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</si>
  <si>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</si>
  <si>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</si>
  <si>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</si>
  <si>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</si>
  <si>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</si>
  <si>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</si>
  <si>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</si>
  <si>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</si>
  <si>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</si>
  <si>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</si>
  <si>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</si>
  <si>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</si>
  <si>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</si>
  <si>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</si>
  <si>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</si>
  <si>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</si>
  <si>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</si>
  <si>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</si>
  <si>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</si>
  <si>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</si>
  <si>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</si>
  <si>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</si>
  <si>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</si>
  <si>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</si>
  <si>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</si>
  <si>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</si>
  <si>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</si>
  <si>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</si>
  <si>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</si>
  <si>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</si>
  <si>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</si>
  <si>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</si>
  <si>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</si>
  <si>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</si>
  <si>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</si>
  <si>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</si>
  <si>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</si>
  <si>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</si>
  <si>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</si>
  <si>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</si>
  <si>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</si>
  <si>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</si>
  <si>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</si>
  <si>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</si>
  <si>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</si>
  <si>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</si>
  <si>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</si>
  <si>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</si>
  <si>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</si>
  <si>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</si>
  <si>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</si>
  <si>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</si>
  <si>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</si>
  <si>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</si>
  <si>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</si>
  <si>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</si>
  <si>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</si>
  <si>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</si>
  <si>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</si>
  <si>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</si>
  <si>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</si>
  <si>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</si>
  <si>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</si>
  <si>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</si>
  <si>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</si>
  <si>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</si>
  <si>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</si>
  <si>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</si>
  <si>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</si>
  <si>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</si>
  <si>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</si>
  <si>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</si>
  <si>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</si>
  <si>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</si>
  <si>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</si>
  <si>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</si>
  <si>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</si>
  <si>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</si>
  <si>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</si>
  <si>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</si>
  <si>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</si>
  <si>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</si>
  <si>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</si>
  <si>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</si>
  <si>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</si>
  <si>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</si>
  <si>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</si>
  <si>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</si>
  <si>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</si>
  <si>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</si>
  <si>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</si>
  <si>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</si>
  <si>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</si>
  <si>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</si>
  <si>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</si>
  <si>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</si>
  <si>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</si>
  <si>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</si>
  <si>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</si>
  <si>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</si>
  <si>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</si>
  <si>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</si>
  <si>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</si>
  <si>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</si>
  <si>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</si>
  <si>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</si>
  <si>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</si>
  <si>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</si>
  <si>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</si>
  <si>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</si>
  <si>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</si>
  <si>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</si>
  <si>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</si>
  <si>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</si>
  <si>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</si>
  <si>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</si>
  <si>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</si>
  <si>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</si>
  <si>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</si>
  <si>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</si>
  <si>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</si>
  <si>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</si>
  <si>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</si>
  <si>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</si>
  <si>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</si>
  <si>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</si>
  <si>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</si>
  <si>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</si>
  <si>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</si>
  <si>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</si>
  <si>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</si>
  <si>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</si>
  <si>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</si>
  <si>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</si>
  <si>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</si>
  <si>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</si>
  <si>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</si>
  <si>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</si>
  <si>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</si>
  <si>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</si>
  <si>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</si>
  <si>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</si>
  <si>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</si>
  <si>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</si>
  <si>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</si>
  <si>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</si>
  <si>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</si>
  <si>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</si>
  <si>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</si>
  <si>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</si>
  <si>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</si>
  <si>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</si>
  <si>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</si>
  <si>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</si>
  <si>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</si>
  <si>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</si>
  <si>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</si>
  <si>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</si>
  <si>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</si>
  <si>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</si>
  <si>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</si>
  <si>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</si>
  <si>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</si>
  <si>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</si>
  <si>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</si>
  <si>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</si>
  <si>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</si>
  <si>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</si>
  <si>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</si>
  <si>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</si>
  <si>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</si>
  <si>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</si>
  <si>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</si>
  <si>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</si>
  <si>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</si>
  <si>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</si>
  <si>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</si>
  <si>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</si>
  <si>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</si>
  <si>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</si>
  <si>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</si>
  <si>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</si>
  <si>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</si>
  <si>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</si>
  <si>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</si>
  <si>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</si>
  <si>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</si>
  <si>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</si>
  <si>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</si>
  <si>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</si>
  <si>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</si>
  <si>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</si>
  <si>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</si>
  <si>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</si>
  <si>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</si>
  <si>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</si>
  <si>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</si>
  <si>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</si>
  <si>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</si>
  <si>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</si>
  <si>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</si>
  <si>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</si>
  <si>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</si>
  <si>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</si>
  <si>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</si>
  <si>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</si>
  <si>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</si>
  <si>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</si>
  <si>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</si>
  <si>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</si>
  <si>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</si>
  <si>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</si>
  <si>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</si>
  <si>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</si>
  <si>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</si>
  <si>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</si>
  <si>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</si>
  <si>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</si>
  <si>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</si>
  <si>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</si>
  <si>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</si>
  <si>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</si>
  <si>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</si>
  <si>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</si>
  <si>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</si>
  <si>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</si>
  <si>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</si>
  <si>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</si>
  <si>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</si>
  <si>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</si>
  <si>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</si>
  <si>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</si>
  <si>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</si>
  <si>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</si>
  <si>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</si>
  <si>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</si>
  <si>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</si>
  <si>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</si>
  <si>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</si>
  <si>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</si>
  <si>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</si>
  <si>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</si>
  <si>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</si>
  <si>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</si>
  <si>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</si>
  <si>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</si>
  <si>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</si>
  <si>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</si>
  <si>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</si>
  <si>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</si>
  <si>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</si>
  <si>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</si>
  <si>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</si>
  <si>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</si>
  <si>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</si>
  <si>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</si>
  <si>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</si>
  <si>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</si>
  <si>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</si>
  <si>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</si>
  <si>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</si>
  <si>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</si>
  <si>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</si>
  <si>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</si>
  <si>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</si>
  <si>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</si>
  <si>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</si>
  <si>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</si>
  <si>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</si>
  <si>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</si>
  <si>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</si>
  <si>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</si>
  <si>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</si>
  <si>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</si>
  <si>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</si>
  <si>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</si>
  <si>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</si>
  <si>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</si>
  <si>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</si>
  <si>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</si>
  <si>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</si>
  <si>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</si>
  <si>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</si>
  <si>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</si>
  <si>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</si>
  <si>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</si>
  <si>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</si>
  <si>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</si>
  <si>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</si>
  <si>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</si>
  <si>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</si>
  <si>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</si>
  <si>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</si>
  <si>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</si>
  <si>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</si>
  <si>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</si>
  <si>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</si>
  <si>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</si>
  <si>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</si>
  <si>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</si>
  <si>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</si>
  <si>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</si>
  <si>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</si>
  <si>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</si>
  <si>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</si>
  <si>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</si>
  <si>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</si>
  <si>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</si>
  <si>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</si>
  <si>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</si>
  <si>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</si>
  <si>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</si>
  <si>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</si>
  <si>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</si>
  <si>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</si>
  <si>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</si>
  <si>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</si>
  <si>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</si>
  <si>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</si>
  <si>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</si>
  <si>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</si>
  <si>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</si>
  <si>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</si>
  <si>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</si>
  <si>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</si>
  <si>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</si>
  <si>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</si>
  <si>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</si>
  <si>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</si>
  <si>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</si>
  <si>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</si>
  <si>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</si>
  <si>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</si>
  <si>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</si>
  <si>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</si>
  <si>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</si>
  <si>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</si>
  <si>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</si>
  <si>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</si>
  <si>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</si>
  <si>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</si>
  <si>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</si>
  <si>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</si>
  <si>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</si>
  <si>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</si>
  <si>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</si>
  <si>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</si>
  <si>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</si>
  <si>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</si>
  <si>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</si>
  <si>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</si>
  <si>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</si>
  <si>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</si>
  <si>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</si>
  <si>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</si>
  <si>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</si>
  <si>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</si>
  <si>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</si>
  <si>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</si>
  <si>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</si>
  <si>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</si>
  <si>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</si>
  <si>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</si>
  <si>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</si>
  <si>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</si>
  <si>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</si>
  <si>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</si>
  <si>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</si>
  <si>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</si>
  <si>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</si>
  <si>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</si>
  <si>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</si>
  <si>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</si>
  <si>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</si>
  <si>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</si>
  <si>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</si>
  <si>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</si>
  <si>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</si>
  <si>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</si>
  <si>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</si>
  <si>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</si>
  <si>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</si>
  <si>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</si>
  <si>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</si>
  <si>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</si>
  <si>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</si>
  <si>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</si>
  <si>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</si>
  <si>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</si>
  <si>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</si>
  <si>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</si>
  <si>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</si>
  <si>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</si>
  <si>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</si>
  <si>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</si>
  <si>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</si>
  <si>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</si>
  <si>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</si>
  <si>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</si>
  <si>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</si>
  <si>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</si>
  <si>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</si>
  <si>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</si>
  <si>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</si>
  <si>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</si>
  <si>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</si>
  <si>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</si>
  <si>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</si>
  <si>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</si>
  <si>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</si>
  <si>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</si>
  <si>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</si>
  <si>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</si>
  <si>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</si>
  <si>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</si>
  <si>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</si>
  <si>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</si>
  <si>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</si>
  <si>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</si>
  <si>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</si>
  <si>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</si>
  <si>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</si>
  <si>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</si>
  <si>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</si>
  <si>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</si>
  <si>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</si>
  <si>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</si>
  <si>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</si>
  <si>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</si>
  <si>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</si>
  <si>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</si>
  <si>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</si>
  <si>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</si>
  <si>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</si>
  <si>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</si>
  <si>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</si>
  <si>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</si>
  <si>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</si>
  <si>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</si>
  <si>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</si>
  <si>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</si>
  <si>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</si>
  <si>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</si>
  <si>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</si>
  <si>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</si>
  <si>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</si>
  <si>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</si>
  <si>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</si>
  <si>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</si>
  <si>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</si>
  <si>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</si>
  <si>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</si>
  <si>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</si>
  <si>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</si>
  <si>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</si>
  <si>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</si>
  <si>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</si>
  <si>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</si>
  <si>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</si>
  <si>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</si>
  <si>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</si>
  <si>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</si>
  <si>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</si>
  <si>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</si>
  <si>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</si>
  <si>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</si>
  <si>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</si>
  <si>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</si>
  <si>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</si>
  <si>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</si>
  <si>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</si>
  <si>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</si>
  <si>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</si>
  <si>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</si>
  <si>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</si>
  <si>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</si>
  <si>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</si>
  <si>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</si>
  <si>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</si>
  <si>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</si>
  <si>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</si>
  <si>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</si>
  <si>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</si>
  <si>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</si>
  <si>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</si>
  <si>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</si>
  <si>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</si>
  <si>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</si>
  <si>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</si>
  <si>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</si>
  <si>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</si>
  <si>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</si>
  <si>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</si>
  <si>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</si>
  <si>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</si>
  <si>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</si>
  <si>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</si>
  <si>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</si>
  <si>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</si>
  <si>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</si>
  <si>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</si>
  <si>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</si>
  <si>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</si>
  <si>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</si>
  <si>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</si>
  <si>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</si>
  <si>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</si>
  <si>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</si>
  <si>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</si>
  <si>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</si>
  <si>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</si>
  <si>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</si>
  <si>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</si>
  <si>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</si>
  <si>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</si>
  <si>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</si>
  <si>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</si>
  <si>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</si>
  <si>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</si>
  <si>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</si>
  <si>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</si>
  <si>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</si>
  <si>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</si>
  <si>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</si>
  <si>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</si>
  <si>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</si>
  <si>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</si>
  <si>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</si>
  <si>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</si>
  <si>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</si>
  <si>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</si>
  <si>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</si>
  <si>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</si>
  <si>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</si>
  <si>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</si>
  <si>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</si>
  <si>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</si>
  <si>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</si>
  <si>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</si>
  <si>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</si>
  <si>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</si>
  <si>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</si>
  <si>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</si>
  <si>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</si>
  <si>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</si>
  <si>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</si>
  <si>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</si>
  <si>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</si>
  <si>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</si>
  <si>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</si>
  <si>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</si>
  <si>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</si>
  <si>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</si>
  <si>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</si>
  <si>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</si>
  <si>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</si>
  <si>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</si>
  <si>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</si>
  <si>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</si>
  <si>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</si>
  <si>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</si>
  <si>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</si>
  <si>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</si>
  <si>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</si>
  <si>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</si>
  <si>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</si>
  <si>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</si>
  <si>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</si>
  <si>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</si>
  <si>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</si>
  <si>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</si>
  <si>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</si>
  <si>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</si>
  <si>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</si>
  <si>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</si>
  <si>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</si>
  <si>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</si>
  <si>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</si>
  <si>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</si>
  <si>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</si>
  <si>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</si>
  <si>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</si>
  <si>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</si>
  <si>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</si>
  <si>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</si>
  <si>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</si>
  <si>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</si>
  <si>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</si>
  <si>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</si>
  <si>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</si>
  <si>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</si>
  <si>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</si>
  <si>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</si>
  <si>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</si>
  <si>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</si>
  <si>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</si>
  <si>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</si>
  <si>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</si>
  <si>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</si>
  <si>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</si>
  <si>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</si>
  <si>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</si>
  <si>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</si>
  <si>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</si>
  <si>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</si>
  <si>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</si>
  <si>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</si>
  <si>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</si>
  <si>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</si>
  <si>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</si>
  <si>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</si>
  <si>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</si>
  <si>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</si>
  <si>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</si>
  <si>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</si>
  <si>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</si>
  <si>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</si>
  <si>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</si>
  <si>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</si>
  <si>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</si>
  <si>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</si>
  <si>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</si>
  <si>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</si>
  <si>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</si>
  <si>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</si>
  <si>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</si>
  <si>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</si>
  <si>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</si>
  <si>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</si>
  <si>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</si>
  <si>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</si>
  <si>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</si>
  <si>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</si>
  <si>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</si>
  <si>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</si>
  <si>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</si>
  <si>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</si>
  <si>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</si>
  <si>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</si>
  <si>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</si>
  <si>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</si>
  <si>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</si>
  <si>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</si>
  <si>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</si>
  <si>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</si>
  <si>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</si>
  <si>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</si>
  <si>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</si>
  <si>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</si>
  <si>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</si>
  <si>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</si>
  <si>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</si>
  <si>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</si>
  <si>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</si>
  <si>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</si>
  <si>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</si>
  <si>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</si>
  <si>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</si>
  <si>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</si>
  <si>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</si>
  <si>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</si>
  <si>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</si>
  <si>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</si>
  <si>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</si>
  <si>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</si>
  <si>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</si>
  <si>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</si>
  <si>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</si>
  <si>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</si>
  <si>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</si>
  <si>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</si>
  <si>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</si>
  <si>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</si>
  <si>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</si>
  <si>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</si>
  <si>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</si>
  <si>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</si>
  <si>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</si>
  <si>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</si>
  <si>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</si>
  <si>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</si>
  <si>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</si>
  <si>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</si>
  <si>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</si>
  <si>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</si>
  <si>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</si>
  <si>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</si>
  <si>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</si>
  <si>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</si>
  <si>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</si>
  <si>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</si>
  <si>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</si>
  <si>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</si>
  <si>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</si>
  <si>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</si>
  <si>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</si>
  <si>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</si>
  <si>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</si>
  <si>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</si>
  <si>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</si>
  <si>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</si>
  <si>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</si>
  <si>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</si>
  <si>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</si>
  <si>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</si>
  <si>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</si>
  <si>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</si>
  <si>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</si>
  <si>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</si>
  <si>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</si>
  <si>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</si>
  <si>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</si>
  <si>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</si>
  <si>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</si>
  <si>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</si>
  <si>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</si>
  <si>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</si>
  <si>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</si>
  <si>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</si>
  <si>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</si>
  <si>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</si>
  <si>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</si>
  <si>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</si>
  <si>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</si>
  <si>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</si>
  <si>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</si>
  <si>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</si>
  <si>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</si>
  <si>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</si>
  <si>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</si>
  <si>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</si>
  <si>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</si>
  <si>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</si>
  <si>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</si>
  <si>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</si>
  <si>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</si>
  <si>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</si>
  <si>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</si>
  <si>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</si>
  <si>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</si>
  <si>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</si>
  <si>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</si>
  <si>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</si>
  <si>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</si>
  <si>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</si>
  <si>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</si>
  <si>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</si>
  <si>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</si>
  <si>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</si>
  <si>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</si>
  <si>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</si>
  <si>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</si>
  <si>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</si>
  <si>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</si>
  <si>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</si>
  <si>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</si>
  <si>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</si>
  <si>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</si>
  <si>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</si>
  <si>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</si>
  <si>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</si>
  <si>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</si>
  <si>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</si>
  <si>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</si>
  <si>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</si>
  <si>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</si>
  <si>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</si>
  <si>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</si>
  <si>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</si>
  <si>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</si>
  <si>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</si>
  <si>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</si>
  <si>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</si>
  <si>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</si>
  <si>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</si>
  <si>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</si>
  <si>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</si>
  <si>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</si>
  <si>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</si>
  <si>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</si>
  <si>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</si>
  <si>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</si>
  <si>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</si>
  <si>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</si>
  <si>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</si>
  <si>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</si>
  <si>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</si>
  <si>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</si>
  <si>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</si>
  <si>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</si>
  <si>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</si>
  <si>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</si>
  <si>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</si>
  <si>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</si>
  <si>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</si>
  <si>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</si>
  <si>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</si>
  <si>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</si>
  <si>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</si>
  <si>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</si>
  <si>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</si>
  <si>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</si>
  <si>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</si>
  <si>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</si>
  <si>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</si>
  <si>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</si>
  <si>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</si>
  <si>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</si>
  <si>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</si>
  <si>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</si>
  <si>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</si>
  <si>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</si>
  <si>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</si>
  <si>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</si>
  <si>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</si>
  <si>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</si>
  <si>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</si>
  <si>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</si>
  <si>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</si>
  <si>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</si>
  <si>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</si>
  <si>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</si>
  <si>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</si>
  <si>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</si>
  <si>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</si>
  <si>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</si>
  <si>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</si>
  <si>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</si>
  <si>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</si>
  <si>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</si>
  <si>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</si>
  <si>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</si>
  <si>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</si>
  <si>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</si>
  <si>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</si>
  <si>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</si>
  <si>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</si>
  <si>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</si>
  <si>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</si>
  <si>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</si>
  <si>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</si>
  <si>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</si>
  <si>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</si>
  <si>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</si>
  <si>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</si>
  <si>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</si>
  <si>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</si>
  <si>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</si>
  <si>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</si>
  <si>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</si>
  <si>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</si>
  <si>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</si>
  <si>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</si>
  <si>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</si>
  <si>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</si>
  <si>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</si>
  <si>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</si>
  <si>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</si>
  <si>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</si>
  <si>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</si>
  <si>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</si>
  <si>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</si>
  <si>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</si>
  <si>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</si>
  <si>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</si>
  <si>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</si>
  <si>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</si>
  <si>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</si>
  <si>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</si>
  <si>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</si>
  <si>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</si>
  <si>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</si>
  <si>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</si>
  <si>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</si>
  <si>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</si>
  <si>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</si>
  <si>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</si>
  <si>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</si>
  <si>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</si>
  <si>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</si>
  <si>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</si>
  <si>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</si>
  <si>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</si>
  <si>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</si>
  <si>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</si>
  <si>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</si>
  <si>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</si>
  <si>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</si>
  <si>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</si>
  <si>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</si>
  <si>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</si>
  <si>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</si>
  <si>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</si>
  <si>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</si>
  <si>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</si>
  <si>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</si>
  <si>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</si>
  <si>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</si>
  <si>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</si>
  <si>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</si>
  <si>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</si>
  <si>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</si>
  <si>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</si>
  <si>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</si>
  <si>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</si>
  <si>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</si>
  <si>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</si>
  <si>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</si>
  <si>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</si>
  <si>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</si>
  <si>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</si>
  <si>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</si>
  <si>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</si>
  <si>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</si>
  <si>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</si>
  <si>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</si>
  <si>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</si>
  <si>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</si>
  <si>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</si>
  <si>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</si>
  <si>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</si>
  <si>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</si>
  <si>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</si>
  <si>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</si>
  <si>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</si>
  <si>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</si>
  <si>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</si>
  <si>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</si>
  <si>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</si>
  <si>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</si>
  <si>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</si>
  <si>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</si>
  <si>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</si>
  <si>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</si>
  <si>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</si>
  <si>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</si>
  <si>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</si>
  <si>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</si>
  <si>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</si>
  <si>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</si>
  <si>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</si>
  <si>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</si>
  <si>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</si>
  <si>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</si>
  <si>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</si>
  <si>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</si>
  <si>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</si>
  <si>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</si>
  <si>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</si>
  <si>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</si>
  <si>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</si>
  <si>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</si>
  <si>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</si>
  <si>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</si>
  <si>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</si>
  <si>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</si>
  <si>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</si>
  <si>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</si>
  <si>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</si>
  <si>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</si>
  <si>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</si>
  <si>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</si>
  <si>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</si>
  <si>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</si>
  <si>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</si>
  <si>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</si>
  <si>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</si>
  <si>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</si>
  <si>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</si>
  <si>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</si>
  <si>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</si>
  <si>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</si>
  <si>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</si>
  <si>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</si>
  <si>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</si>
  <si>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</si>
  <si>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</si>
  <si>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</si>
  <si>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</si>
  <si>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</si>
  <si>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</si>
  <si>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</si>
  <si>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</si>
  <si>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</si>
  <si>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</si>
  <si>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</si>
  <si>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</si>
  <si>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</si>
  <si>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</si>
  <si>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</si>
  <si>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</si>
  <si>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</si>
  <si>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</si>
  <si>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</si>
  <si>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</si>
  <si>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</si>
  <si>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</si>
  <si>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</si>
  <si>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</si>
  <si>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</si>
  <si>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</si>
  <si>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</si>
  <si>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</si>
  <si>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</si>
  <si>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</si>
  <si>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</si>
  <si>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</si>
  <si>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</si>
  <si>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</si>
  <si>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</si>
  <si>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</si>
  <si>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</si>
  <si>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</si>
  <si>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</si>
  <si>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</si>
  <si>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</si>
  <si>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</si>
  <si>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</si>
  <si>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</si>
  <si>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</si>
  <si>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</si>
  <si>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</si>
  <si>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</si>
  <si>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</si>
  <si>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</si>
  <si>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</si>
  <si>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</si>
  <si>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</si>
  <si>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</si>
  <si>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</si>
  <si>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</si>
  <si>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</si>
  <si>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</si>
  <si>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</si>
  <si>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</si>
  <si>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</si>
  <si>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</si>
  <si>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</si>
  <si>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</si>
  <si>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</si>
  <si>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</si>
  <si>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</si>
  <si>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</si>
  <si>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</si>
  <si>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</si>
  <si>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</si>
  <si>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</si>
  <si>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</si>
  <si>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</si>
  <si>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</si>
  <si>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</si>
  <si>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</si>
  <si>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</si>
  <si>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</si>
  <si>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</si>
  <si>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</si>
  <si>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</si>
  <si>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</si>
  <si>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</si>
  <si>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</si>
  <si>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</si>
  <si>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</si>
  <si>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</si>
  <si>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</si>
  <si>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</si>
  <si>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</si>
  <si>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</si>
  <si>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</si>
  <si>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</si>
  <si>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</si>
  <si>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</si>
  <si>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</si>
  <si>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</si>
  <si>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</si>
  <si>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</si>
  <si>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</si>
  <si>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</si>
  <si>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</si>
  <si>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</si>
  <si>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</si>
  <si>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</si>
  <si>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</si>
  <si>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</si>
  <si>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</si>
  <si>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</si>
  <si>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</si>
  <si>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</si>
  <si>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</si>
  <si>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</si>
  <si>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</si>
  <si>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</si>
  <si>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</si>
  <si>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</si>
  <si>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</si>
  <si>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</si>
  <si>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</si>
  <si>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</si>
  <si>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</si>
  <si>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</si>
  <si>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</si>
  <si>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</si>
  <si>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</si>
  <si>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</si>
  <si>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</si>
  <si>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</si>
  <si>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</si>
  <si>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</si>
  <si>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</si>
  <si>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</si>
  <si>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</si>
  <si>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</si>
  <si>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</si>
  <si>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</si>
  <si>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</si>
  <si>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</si>
  <si>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</si>
  <si>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</si>
  <si>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</si>
  <si>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</si>
  <si>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</si>
  <si>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</si>
  <si>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</si>
  <si>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</si>
  <si>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</si>
  <si>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</si>
  <si>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</si>
  <si>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</si>
  <si>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</si>
  <si>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</si>
  <si>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</si>
  <si>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</si>
  <si>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</si>
  <si>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</si>
  <si>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</si>
  <si>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</si>
  <si>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</si>
  <si>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</si>
  <si>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</si>
  <si>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</si>
  <si>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</si>
  <si>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</si>
  <si>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</si>
  <si>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</si>
  <si>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</si>
  <si>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</si>
  <si>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</si>
  <si>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</si>
  <si>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</si>
  <si>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</si>
  <si>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</si>
  <si>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</si>
  <si>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</si>
  <si>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</si>
  <si>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</si>
  <si>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</si>
  <si>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</si>
  <si>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</si>
  <si>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</si>
  <si>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</si>
  <si>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</si>
  <si>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</si>
  <si>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</si>
  <si>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</si>
  <si>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</si>
  <si>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</si>
  <si>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</si>
  <si>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</si>
  <si>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</si>
  <si>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</si>
  <si>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</si>
  <si>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</si>
  <si>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</si>
  <si>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</si>
  <si>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</si>
  <si>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</si>
  <si>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</si>
  <si>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</si>
  <si>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</si>
  <si>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</si>
  <si>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</si>
  <si>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</si>
  <si>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</si>
  <si>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</si>
  <si>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</si>
  <si>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</si>
  <si>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</si>
  <si>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</si>
  <si>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</si>
  <si>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</si>
  <si>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</si>
  <si>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</si>
  <si>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</si>
  <si>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</si>
  <si>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</si>
  <si>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</si>
  <si>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</si>
  <si>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</si>
  <si>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</si>
  <si>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</si>
  <si>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</si>
  <si>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</si>
  <si>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</si>
  <si>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</si>
  <si>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</si>
  <si>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</si>
  <si>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</si>
  <si>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</si>
  <si>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</si>
  <si>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</si>
  <si>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</si>
  <si>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</si>
  <si>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</si>
  <si>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</si>
  <si>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</si>
  <si>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</si>
  <si>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</si>
  <si>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</si>
  <si>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</si>
  <si>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</si>
  <si>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</si>
  <si>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</si>
  <si>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</si>
  <si>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</si>
  <si>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</si>
  <si>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</si>
  <si>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</si>
  <si>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</si>
  <si>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</si>
  <si>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</si>
  <si>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</si>
  <si>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</si>
  <si>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</si>
  <si>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</si>
  <si>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</si>
  <si>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</si>
  <si>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</si>
  <si>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</si>
  <si>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</si>
  <si>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</si>
  <si>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</si>
  <si>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</si>
  <si>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</si>
  <si>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</si>
  <si>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</si>
  <si>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</si>
  <si>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</si>
  <si>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</si>
  <si>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</si>
  <si>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</si>
  <si>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</si>
  <si>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</si>
  <si>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</si>
  <si>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</si>
  <si>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</si>
  <si>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</si>
  <si>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</si>
  <si>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</si>
  <si>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</si>
  <si>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</si>
  <si>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</si>
  <si>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</si>
  <si>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</si>
  <si>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</si>
  <si>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</si>
  <si>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</si>
  <si>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</si>
  <si>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</si>
  <si>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</si>
  <si>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</si>
  <si>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</si>
  <si>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</si>
  <si>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</si>
  <si>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</si>
  <si>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</si>
  <si>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</si>
  <si>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</si>
  <si>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</si>
  <si>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</si>
  <si>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</si>
  <si>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</si>
  <si>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</si>
  <si>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</si>
  <si>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</si>
  <si>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</si>
  <si>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</si>
  <si>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</si>
  <si>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</si>
  <si>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</si>
  <si>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</si>
  <si>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</si>
  <si>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</si>
  <si>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</si>
  <si>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</si>
  <si>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</si>
  <si>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</si>
  <si>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</si>
  <si>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</si>
  <si>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</si>
  <si>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</si>
  <si>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</si>
  <si>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</si>
  <si>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</si>
  <si>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</si>
  <si>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</si>
  <si>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</si>
  <si>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</si>
  <si>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</si>
  <si>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</si>
  <si>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</si>
  <si>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</si>
  <si>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</si>
  <si>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</si>
  <si>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</si>
  <si>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</si>
  <si>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</si>
  <si>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</si>
  <si>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</si>
  <si>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</si>
  <si>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</si>
  <si>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</si>
  <si>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</si>
  <si>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</si>
  <si>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</si>
  <si>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</si>
  <si>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</si>
  <si>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</si>
  <si>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</si>
  <si>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</si>
  <si>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</si>
  <si>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</si>
  <si>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</si>
  <si>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</si>
  <si>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</si>
  <si>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</si>
  <si>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</si>
  <si>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</si>
  <si>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</si>
  <si>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</si>
  <si>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</si>
  <si>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</si>
  <si>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</si>
  <si>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</si>
  <si>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</si>
  <si>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</si>
  <si>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</si>
  <si>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</si>
  <si>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</si>
  <si>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</si>
  <si>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</si>
  <si>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</si>
  <si>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</si>
  <si>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</si>
  <si>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</si>
  <si>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</si>
  <si>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</si>
  <si>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</si>
  <si>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</si>
  <si>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</si>
  <si>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</si>
  <si>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</si>
  <si>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</si>
  <si>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</si>
  <si>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</si>
  <si>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</si>
  <si>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</si>
  <si>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</si>
  <si>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</si>
  <si>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</si>
  <si>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</si>
  <si>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</si>
  <si>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</si>
  <si>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</si>
  <si>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</si>
  <si>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</si>
  <si>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</si>
  <si>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</si>
  <si>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</si>
  <si>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</si>
  <si>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</si>
  <si>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</si>
  <si>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</si>
  <si>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</si>
  <si>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</si>
  <si>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</si>
  <si>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</si>
  <si>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</si>
  <si>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</si>
  <si>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</si>
  <si>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</si>
  <si>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</si>
  <si>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</si>
  <si>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</si>
  <si>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</si>
  <si>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</si>
  <si>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</si>
  <si>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</si>
  <si>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</si>
  <si>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</si>
  <si>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</si>
  <si>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</si>
  <si>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</si>
  <si>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</si>
  <si>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</si>
  <si>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</si>
  <si>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</si>
  <si>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</si>
  <si>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</si>
  <si>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</si>
  <si>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</si>
  <si>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</si>
  <si>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</si>
  <si>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</si>
  <si>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</si>
  <si>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</si>
  <si>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</si>
  <si>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</si>
  <si>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</si>
  <si>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</si>
  <si>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</si>
  <si>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</si>
  <si>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</si>
  <si>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</si>
  <si>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</si>
  <si>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</si>
  <si>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</si>
  <si>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</si>
  <si>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</si>
  <si>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</si>
  <si>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</si>
  <si>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</si>
  <si>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</si>
  <si>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</si>
  <si>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</si>
  <si>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</si>
  <si>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</si>
  <si>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</si>
  <si>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</si>
  <si>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</si>
  <si>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</si>
  <si>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</si>
  <si>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</si>
  <si>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</si>
  <si>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</si>
  <si>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</si>
  <si>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</si>
  <si>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</si>
  <si>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</si>
  <si>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</si>
  <si>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</si>
  <si>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</si>
  <si>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</si>
  <si>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</si>
  <si>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</si>
  <si>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</si>
  <si>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</si>
  <si>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</si>
  <si>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</si>
  <si>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</si>
  <si>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</si>
  <si>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</si>
  <si>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</si>
  <si>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</si>
  <si>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</si>
  <si>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</si>
  <si>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</si>
  <si>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</si>
  <si>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</si>
  <si>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</si>
  <si>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</si>
  <si>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</si>
  <si>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</si>
  <si>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</si>
  <si>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</si>
  <si>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</si>
  <si>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</si>
  <si>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</si>
  <si>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</si>
  <si>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</si>
  <si>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</si>
  <si>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</si>
  <si>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</si>
  <si>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</si>
  <si>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</si>
  <si>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</si>
  <si>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</si>
  <si>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</si>
  <si>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</si>
  <si>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</si>
  <si>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</si>
  <si>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</si>
  <si>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</si>
  <si>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</si>
  <si>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</si>
  <si>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</si>
  <si>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</si>
  <si>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</si>
  <si>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</si>
  <si>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</si>
  <si>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</si>
  <si>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</si>
  <si>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</si>
  <si>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</si>
  <si>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</si>
  <si>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</si>
  <si>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</si>
  <si>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</si>
  <si>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</si>
  <si>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</si>
  <si>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</si>
  <si>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</si>
  <si>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</si>
  <si>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</si>
  <si>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</si>
  <si>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</si>
  <si>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</si>
  <si>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</si>
  <si>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</si>
  <si>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</si>
  <si>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</si>
  <si>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</si>
  <si>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</si>
  <si>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</si>
  <si>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</si>
  <si>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</si>
  <si>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</si>
  <si>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</si>
  <si>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</si>
  <si>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</si>
  <si>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</si>
  <si>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</si>
  <si>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</si>
  <si>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</si>
  <si>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</si>
  <si>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</si>
  <si>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</si>
  <si>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</si>
  <si>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</si>
  <si>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</si>
  <si>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</si>
  <si>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</si>
  <si>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</si>
  <si>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</si>
  <si>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</si>
  <si>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</si>
  <si>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</si>
  <si>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</si>
  <si>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</si>
  <si>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</si>
  <si>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</si>
  <si>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</si>
  <si>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</si>
  <si>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</si>
  <si>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</si>
  <si>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</si>
  <si>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</si>
  <si>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</si>
  <si>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</si>
  <si>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</si>
  <si>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</si>
  <si>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</si>
  <si>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</si>
  <si>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</si>
  <si>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</si>
  <si>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</si>
  <si>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</si>
  <si>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</si>
  <si>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</si>
  <si>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</si>
  <si>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</si>
  <si>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</si>
  <si>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</si>
  <si>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</si>
  <si>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</si>
  <si>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</si>
  <si>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</si>
  <si>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</si>
  <si>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</si>
  <si>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</si>
  <si>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</si>
  <si>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</si>
  <si>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</si>
  <si>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</si>
  <si>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</si>
  <si>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</si>
  <si>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</si>
  <si>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</si>
  <si>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</si>
  <si>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</si>
  <si>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</si>
  <si>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</si>
  <si>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</si>
  <si>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</si>
  <si>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</si>
  <si>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</si>
  <si>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</si>
  <si>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</si>
  <si>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</si>
  <si>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</si>
  <si>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</si>
  <si>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</si>
  <si>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</si>
  <si>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</si>
  <si>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</si>
  <si>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</si>
  <si>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</si>
  <si>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</si>
  <si>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</si>
  <si>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</si>
  <si>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</si>
  <si>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</si>
  <si>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</si>
  <si>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</si>
  <si>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</si>
  <si>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</si>
  <si>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</si>
  <si>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</si>
  <si>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</si>
  <si>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</si>
  <si>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</si>
  <si>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</si>
  <si>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</si>
  <si>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</si>
  <si>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</si>
  <si>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</si>
  <si>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</si>
  <si>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</si>
  <si>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</si>
  <si>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</si>
  <si>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</si>
  <si>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</si>
  <si>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</si>
  <si>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</si>
  <si>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</si>
  <si>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</si>
  <si>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</si>
  <si>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</si>
  <si>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</si>
  <si>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</si>
  <si>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</si>
  <si>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</si>
  <si>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</si>
  <si>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</si>
  <si>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</si>
  <si>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</si>
  <si>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</si>
  <si>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</si>
  <si>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</si>
  <si>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</si>
  <si>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</si>
  <si>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</si>
  <si>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</si>
  <si>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</si>
  <si>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</si>
  <si>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</si>
  <si>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</si>
  <si>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</si>
  <si>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</si>
  <si>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</si>
  <si>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</si>
  <si>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</si>
  <si>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</si>
  <si>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</si>
  <si>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</si>
  <si>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</si>
  <si>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</si>
  <si>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</si>
  <si>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</si>
  <si>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</si>
  <si>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</si>
  <si>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</si>
  <si>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</si>
  <si>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</si>
  <si>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</si>
  <si>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</si>
  <si>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</si>
  <si>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</si>
  <si>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</si>
  <si>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</si>
  <si>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</si>
  <si>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</si>
  <si>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</si>
  <si>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</si>
  <si>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</si>
  <si>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</si>
  <si>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</si>
  <si>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</si>
  <si>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</si>
  <si>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</si>
  <si>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</si>
  <si>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</si>
  <si>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</si>
  <si>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</si>
  <si>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</si>
  <si>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</si>
  <si>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</si>
  <si>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</si>
  <si>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</si>
  <si>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</si>
  <si>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</si>
  <si>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</si>
  <si>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</si>
  <si>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</si>
  <si>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</si>
  <si>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</si>
  <si>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</si>
  <si>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</si>
  <si>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</si>
  <si>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</si>
  <si>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</si>
  <si>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</si>
  <si>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</si>
  <si>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</si>
  <si>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</si>
  <si>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</si>
  <si>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</si>
  <si>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</si>
  <si>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</si>
  <si>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</si>
  <si>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</si>
  <si>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</si>
  <si>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</si>
  <si>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</si>
  <si>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</si>
  <si>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</si>
  <si>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</si>
  <si>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</si>
  <si>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</si>
  <si>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</si>
  <si>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</si>
  <si>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</si>
  <si>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</si>
  <si>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</si>
  <si>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</si>
  <si>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</si>
  <si>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</si>
  <si>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</si>
  <si>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</si>
  <si>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</si>
  <si>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</si>
  <si>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</si>
  <si>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</si>
  <si>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</si>
  <si>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</si>
  <si>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</si>
  <si>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</si>
  <si>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</si>
  <si>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</si>
  <si>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</si>
  <si>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</si>
  <si>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</si>
  <si>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</si>
  <si>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</si>
  <si>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</si>
  <si>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</si>
  <si>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</si>
  <si>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</si>
  <si>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</si>
  <si>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</si>
  <si>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</si>
  <si>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</si>
  <si>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</si>
  <si>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</si>
  <si>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</si>
  <si>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</si>
  <si>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</si>
  <si>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</si>
  <si>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</si>
  <si>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</si>
  <si>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</si>
  <si>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</si>
  <si>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</si>
  <si>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</si>
  <si>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</si>
  <si>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</si>
  <si>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</si>
  <si>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</si>
  <si>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</si>
  <si>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</si>
  <si>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</si>
  <si>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</si>
  <si>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</si>
  <si>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</si>
  <si>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</si>
  <si>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</si>
  <si>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</si>
  <si>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</si>
  <si>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</si>
  <si>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</si>
  <si>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</si>
  <si>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</si>
  <si>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</si>
  <si>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</si>
  <si>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</si>
  <si>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</si>
  <si>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</si>
  <si>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</si>
  <si>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</si>
  <si>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</si>
  <si>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</si>
  <si>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</si>
  <si>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</si>
  <si>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</si>
  <si>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</si>
  <si>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</si>
  <si>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</si>
  <si>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</si>
  <si>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</si>
  <si>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</si>
  <si>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</si>
  <si>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</si>
  <si>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</si>
  <si>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</si>
  <si>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</si>
  <si>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</si>
  <si>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</si>
  <si>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</si>
  <si>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</si>
  <si>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</si>
  <si>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</si>
  <si>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</si>
  <si>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</si>
  <si>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</si>
  <si>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</si>
  <si>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</si>
  <si>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</si>
  <si>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</si>
  <si>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</si>
  <si>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</si>
  <si>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</si>
  <si>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</si>
  <si>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</si>
  <si>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</si>
  <si>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</si>
  <si>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</si>
  <si>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</si>
  <si>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</si>
  <si>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</si>
  <si>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</si>
  <si>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</si>
  <si>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</si>
  <si>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</si>
  <si>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</si>
  <si>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</si>
  <si>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</si>
  <si>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</si>
  <si>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</si>
  <si>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</si>
  <si>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</si>
  <si>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</si>
  <si>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</si>
  <si>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</si>
  <si>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</si>
  <si>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</si>
  <si>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</si>
  <si>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</si>
  <si>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</si>
  <si>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</si>
  <si>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</si>
  <si>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</si>
  <si>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</si>
  <si>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</si>
  <si>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</si>
  <si>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</si>
  <si>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</si>
  <si>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</si>
  <si>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</si>
  <si>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</si>
  <si>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</si>
  <si>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</si>
  <si>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</si>
  <si>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</si>
  <si>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</si>
  <si>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</si>
  <si>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</si>
  <si>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</si>
  <si>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</si>
  <si>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</si>
  <si>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</si>
  <si>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</si>
  <si>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</si>
  <si>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</si>
  <si>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</si>
  <si>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</si>
  <si>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</si>
  <si>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</si>
  <si>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</si>
  <si>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</si>
  <si>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</si>
  <si>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</si>
  <si>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</si>
  <si>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</si>
  <si>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</si>
  <si>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</si>
  <si>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</si>
  <si>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</si>
  <si>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</si>
  <si>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</si>
  <si>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</si>
  <si>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</si>
  <si>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</si>
  <si>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</si>
  <si>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Ⅵ-空港B</t>
  </si>
  <si>
    <t>3#厂房</t>
    <phoneticPr fontId="3" type="noConversion"/>
  </si>
  <si>
    <t>4#厂房</t>
    <phoneticPr fontId="3" type="noConversion"/>
  </si>
  <si>
    <t>5#厂房</t>
    <phoneticPr fontId="3" type="noConversion"/>
  </si>
  <si>
    <t>地下车库及厂房</t>
    <phoneticPr fontId="3" type="noConversion"/>
  </si>
  <si>
    <r>
      <t>8#</t>
    </r>
    <r>
      <rPr>
        <sz val="10"/>
        <color indexed="8"/>
        <rFont val="宋体"/>
        <family val="3"/>
        <charset val="134"/>
      </rPr>
      <t>面包车间</t>
    </r>
    <phoneticPr fontId="3" type="noConversion"/>
  </si>
  <si>
    <r>
      <t>9#</t>
    </r>
    <r>
      <rPr>
        <sz val="11"/>
        <color indexed="8"/>
        <rFont val="宋体"/>
        <family val="3"/>
        <charset val="134"/>
      </rPr>
      <t>生日蛋糕车间</t>
    </r>
    <phoneticPr fontId="3" type="noConversion"/>
  </si>
  <si>
    <r>
      <t>12#</t>
    </r>
    <r>
      <rPr>
        <sz val="11"/>
        <color indexed="8"/>
        <rFont val="宋体"/>
        <family val="3"/>
        <charset val="134"/>
      </rPr>
      <t>水处理车间</t>
    </r>
    <phoneticPr fontId="3" type="noConversion"/>
  </si>
  <si>
    <t>地下车库2段</t>
    <phoneticPr fontId="3" type="noConversion"/>
  </si>
  <si>
    <t>是</t>
  </si>
  <si>
    <t>地上</t>
  </si>
  <si>
    <t>工业</t>
    <phoneticPr fontId="7" type="noConversion"/>
  </si>
  <si>
    <t>工程进度</t>
  </si>
  <si>
    <t>收益法</t>
  </si>
  <si>
    <t>在建（套用方法）</t>
  </si>
  <si>
    <t>押一</t>
  </si>
  <si>
    <t>钢混</t>
  </si>
  <si>
    <t>非生产用房</t>
  </si>
  <si>
    <t>通路</t>
  </si>
  <si>
    <t>通电</t>
  </si>
  <si>
    <t>通讯</t>
  </si>
  <si>
    <t>通上水</t>
  </si>
  <si>
    <t>通下水</t>
  </si>
  <si>
    <t>燃气</t>
  </si>
  <si>
    <t>平整</t>
  </si>
  <si>
    <t>较好</t>
  </si>
  <si>
    <t>一般</t>
  </si>
  <si>
    <t>好</t>
  </si>
  <si>
    <t>未包含在土地购买价格中</t>
  </si>
  <si>
    <t>全部缴纳</t>
  </si>
  <si>
    <t>已包含在土地取得成本中</t>
  </si>
  <si>
    <t>成本法</t>
  </si>
  <si>
    <t>假设开发法</t>
  </si>
  <si>
    <t>总价</t>
  </si>
  <si>
    <t>成本比率</t>
  </si>
  <si>
    <t>通热</t>
  </si>
  <si>
    <t>二期小计</t>
    <phoneticPr fontId="3" type="noConversion"/>
  </si>
  <si>
    <t>办公</t>
    <phoneticPr fontId="134" type="noConversion"/>
  </si>
  <si>
    <t>车间、厂房</t>
    <phoneticPr fontId="134" type="noConversion"/>
  </si>
  <si>
    <t>地下</t>
    <phoneticPr fontId="134" type="noConversion"/>
  </si>
  <si>
    <t>写字楼地下车库</t>
    <phoneticPr fontId="134" type="noConversion"/>
  </si>
  <si>
    <t>建安取值</t>
  </si>
  <si>
    <t>建筑面积</t>
  </si>
  <si>
    <t>单方建安</t>
  </si>
  <si>
    <t>合计</t>
  </si>
  <si>
    <t>建安</t>
  </si>
  <si>
    <t>主体</t>
  </si>
  <si>
    <t>地下</t>
  </si>
  <si>
    <t>公区装修</t>
  </si>
  <si>
    <t>室内装修</t>
  </si>
  <si>
    <t>设备</t>
  </si>
  <si>
    <t>人防</t>
  </si>
  <si>
    <t>综合平均</t>
  </si>
  <si>
    <t>办公</t>
    <phoneticPr fontId="134" type="noConversion"/>
  </si>
  <si>
    <t>商业</t>
    <phoneticPr fontId="134" type="noConversion"/>
  </si>
  <si>
    <t>三期</t>
    <phoneticPr fontId="134" type="noConversion"/>
  </si>
  <si>
    <t>二期</t>
    <phoneticPr fontId="134" type="noConversion"/>
  </si>
  <si>
    <t>测绘报告</t>
    <phoneticPr fontId="3" type="noConversion"/>
  </si>
  <si>
    <t>规证</t>
    <phoneticPr fontId="3" type="noConversion"/>
  </si>
  <si>
    <t>估价对象容积率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</si>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</sst>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9" fillId="0" borderId="0" xfId="0" applyFont="1" applyAlignment="1" applyProtection="1">
      <alignment vertical="center"/>
      <protection locked="0"/>
    </xf>
    <xf numFmtId="0" fontId="95" fillId="0" borderId="0" xfId="0" applyFont="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horizontal="left" vertical="center"/>
      <protection locked="0"/>
    </xf>
    <xf numFmtId="0" fontId="52" fillId="18" borderId="1" xfId="0"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95" fillId="0" borderId="0" xfId="0" applyFont="1" applyAlignment="1">
      <alignment vertical="center"/>
    </xf>
    <xf numFmtId="0" fontId="0" fillId="0" borderId="0" xfId="0" applyAlignment="1">
      <alignmen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53" fillId="22" borderId="1" xfId="0"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35</xdr:row>
      <xdr:rowOff>66675</xdr:rowOff>
    </xdr:from>
    <xdr:to>
      <xdr:col>4</xdr:col>
      <xdr:colOff>618680</xdr:colOff>
      <xdr:row>78</xdr:row>
      <xdr:rowOff>170515</xdr:rowOff>
    </xdr:to>
    <xdr:pic>
      <xdr:nvPicPr>
        <xdr:cNvPr id="5" name="图片 4"/>
        <xdr:cNvPicPr>
          <a:picLocks noChangeAspect="1"/>
        </xdr:cNvPicPr>
      </xdr:nvPicPr>
      <xdr:blipFill>
        <a:blip xmlns:r="http://schemas.openxmlformats.org/officeDocument/2006/relationships" r:embed="rId1"/>
        <a:stretch>
          <a:fillRect/>
        </a:stretch>
      </xdr:blipFill>
      <xdr:spPr>
        <a:xfrm>
          <a:off x="704850" y="6067425"/>
          <a:ext cx="3561905" cy="7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4180;&#27979;&#31639;/&#39034;&#20041;&#40614;&#36259;&#23572;-&#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C13" t="str">
            <v>3#厂房</v>
          </cell>
        </row>
        <row r="14">
          <cell r="C14" t="str">
            <v>4#厂房</v>
          </cell>
        </row>
        <row r="15">
          <cell r="C15" t="str">
            <v>5#厂房</v>
          </cell>
        </row>
        <row r="16">
          <cell r="C16" t="str">
            <v>地下车库及厂房</v>
          </cell>
        </row>
        <row r="17">
          <cell r="C17" t="str">
            <v>8#面包车间</v>
          </cell>
          <cell r="G17">
            <v>700.4</v>
          </cell>
        </row>
        <row r="18">
          <cell r="C18" t="str">
            <v>9#生日蛋糕车间</v>
          </cell>
          <cell r="G18">
            <v>760.73</v>
          </cell>
        </row>
        <row r="19">
          <cell r="C19" t="str">
            <v>12#水处理车间</v>
          </cell>
          <cell r="G19">
            <v>208.39</v>
          </cell>
        </row>
        <row r="20">
          <cell r="C20" t="str">
            <v>地下车库2段</v>
          </cell>
          <cell r="G20">
            <v>10538.68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估价对象为房地产，为所有。根据《国有土地使用证》[]，估价对象（分摊）出让国有建设用地使用权面积为23899.6平方米，建筑面积为96349.53平方米。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估价对象为房地产,属开发建设的，该项目尚在开发建设中。根据《国有土地使用证》[]，估价对象（分摊）出让国有建设用地使用权面积为23899.6平方米，规划建筑面积为96349.53平方米。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2025年6月10日（评估专业人员实地查勘之日）</v>
      </c>
    </row>
    <row r="13" spans="1:2" s="1203" customFormat="1">
      <c r="A13" s="1201" t="s">
        <v>529</v>
      </c>
      <c r="B13" s="1202"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103048</v>
      </c>
    </row>
    <row r="21" spans="1:2" s="1203" customFormat="1">
      <c r="A21" s="1201" t="s">
        <v>537</v>
      </c>
      <c r="B21" s="1202">
        <f ca="1">'预评函-2'!D7</f>
        <v>10695</v>
      </c>
    </row>
    <row r="22" spans="1:2" s="1203" customFormat="1">
      <c r="A22" s="1201" t="s">
        <v>538</v>
      </c>
      <c r="B22" s="1202" t="str">
        <f ca="1">'预评函-2'!D6</f>
        <v>壹拾亿叁仟零肆拾捌万元整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103048</v>
      </c>
    </row>
    <row r="31" spans="1:2" s="1203" customFormat="1">
      <c r="A31" s="1201" t="s">
        <v>576</v>
      </c>
      <c r="B31" s="1202">
        <f ca="1">'预评函-2'!D15</f>
        <v>10695</v>
      </c>
    </row>
    <row r="32" spans="1:2" s="1203" customFormat="1">
      <c r="A32" s="1201" t="s">
        <v>543</v>
      </c>
      <c r="B32" s="1202" t="str">
        <f ca="1">'预评函-2'!D14</f>
        <v>壹拾亿叁仟零肆拾捌万元整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96349.52999999997</v>
      </c>
    </row>
    <row r="44" spans="1:2" s="1203" customFormat="1">
      <c r="A44" s="1201" t="s">
        <v>575</v>
      </c>
      <c r="B44" s="1202" t="str">
        <f>'预评函-3'!C2</f>
        <v>(分摊)土地面积</v>
      </c>
    </row>
    <row r="45" spans="1:2" s="1203" customFormat="1">
      <c r="A45" s="1201" t="s">
        <v>547</v>
      </c>
      <c r="B45" s="1202">
        <f>'预评函-3'!C4</f>
        <v>23899.599999999999</v>
      </c>
    </row>
    <row r="46" spans="1:2" s="1203" customFormat="1">
      <c r="A46" s="1201" t="s">
        <v>573</v>
      </c>
      <c r="B46" s="1202" t="str">
        <f>'预评函-3'!D2</f>
        <v>出让国有建设用地使用权价值</v>
      </c>
    </row>
    <row r="47" spans="1:2" s="1203" customFormat="1">
      <c r="A47" s="1201" t="s">
        <v>548</v>
      </c>
      <c r="B47" s="1202">
        <f ca="1">'预评函-3'!D4</f>
        <v>17518</v>
      </c>
    </row>
    <row r="48" spans="1:2" s="1203" customFormat="1">
      <c r="A48" s="1201" t="s">
        <v>549</v>
      </c>
      <c r="B48" s="1202">
        <f ca="1">'预评函-3'!E4</f>
        <v>1818</v>
      </c>
    </row>
    <row r="49" spans="1:2" s="1203" customFormat="1">
      <c r="A49" s="1201" t="s">
        <v>550</v>
      </c>
      <c r="B49" s="1202" t="str">
        <f ca="1">'预评函-3'!D5</f>
        <v>壹亿柒仟伍佰壹拾捌万元整</v>
      </c>
    </row>
    <row r="50" spans="1:2" s="1203" customFormat="1">
      <c r="A50" s="1201" t="s">
        <v>574</v>
      </c>
      <c r="B50" s="1202" t="str">
        <f>'预评函-3'!F2</f>
        <v>在建建筑物价值</v>
      </c>
    </row>
    <row r="51" spans="1:2" s="1203" customFormat="1">
      <c r="A51" s="1201" t="s">
        <v>551</v>
      </c>
      <c r="B51" s="1202">
        <f ca="1">'预评函-3'!F4</f>
        <v>85530</v>
      </c>
    </row>
    <row r="52" spans="1:2" s="1203" customFormat="1">
      <c r="A52" s="1201" t="s">
        <v>552</v>
      </c>
      <c r="B52" s="1202">
        <f ca="1">'预评函-3'!G4</f>
        <v>8877</v>
      </c>
    </row>
    <row r="53" spans="1:2" s="1203" customFormat="1">
      <c r="A53" s="1201" t="s">
        <v>580</v>
      </c>
      <c r="B53" s="1202" t="str">
        <f ca="1">'预评函-3'!F5</f>
        <v>捌亿伍仟伍佰叁拾万元整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115" zoomScaleNormal="115" workbookViewId="0">
      <selection activeCell="K22" sqref="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34" sqref="R3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4" t="s">
        <v>2580</v>
      </c>
      <c r="J2" s="3524"/>
      <c r="K2" s="3524"/>
      <c r="L2" s="3524"/>
      <c r="M2" s="3524"/>
      <c r="N2" s="3524"/>
      <c r="O2" s="3524"/>
      <c r="P2" s="3524"/>
      <c r="Q2" s="3524"/>
      <c r="R2" s="3524"/>
    </row>
    <row r="3" spans="1:18">
      <c r="A3" s="3019" t="s">
        <v>2501</v>
      </c>
      <c r="B3" s="3020">
        <f>项目基本情况!D3</f>
        <v>45818</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1.52</v>
      </c>
      <c r="D5" s="3024">
        <f>IF(ISERROR(ROUND(POWER(1+E5,A5-C5)*(POWER(1+E5,C5)-1)/(POWER(1+E5,A5)-1),3)),0,ROUND(POWER(1+E5,A5-C5)*(POWER(1+E5,C5)-1)/(POWER(1+E5,A5)-1),4))</f>
        <v>7.3099999999999998E-2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11.53</v>
      </c>
      <c r="D6" s="3024">
        <f>IF(ISERROR(ROUND(POWER(1+E6,A6-C6)*(POWER(1+E6,C6)-1)/(POWER(1+E6,A6)-1),3)),0,ROUND(POWER(1+E6,A6-C6)*(POWER(1+E6,C6)-1)/(POWER(1+E6,A6)-1),4))</f>
        <v>0.4234</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31.54</v>
      </c>
      <c r="D7" s="3024">
        <f>IF(ISERROR(ROUND(POWER(1+E7,A7-C7)*(POWER(1+E7,C7)-1)/(POWER(1+E7,A7)-1),3)),0,ROUND(POWER(1+E7,A7-C7)*(POWER(1+E7,C7)-1)/(POWER(1+E7,A7)-1),4))</f>
        <v>0.75849999999999995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33" t="str">
        <f>IF(B10="北京市","北京市",C10)&amp;F10&amp;IF(结果表!G1="在建","出让国有建设用地使用权及在建建筑物",IF(结果表!G1="土地","出让国有建设用地使用权",))&amp;B9&amp;"预评估"</f>
        <v>房地产抵押价值预评估</v>
      </c>
      <c r="C1" s="3534"/>
      <c r="D1" s="3534"/>
      <c r="E1" s="3534"/>
      <c r="F1" s="3534"/>
      <c r="G1" s="3534"/>
      <c r="H1" s="3534"/>
      <c r="I1" s="353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2">
        <v>45818</v>
      </c>
      <c r="C3" s="2373" t="s">
        <v>2171</v>
      </c>
      <c r="D3" s="2372">
        <f>B3</f>
        <v>45818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36"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37"/>
      <c r="E9" s="2393" t="s">
        <v>43</v>
      </c>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5"/>
    </row>
    <row r="13" spans="1:30">
      <c r="A13" s="3422" t="s">
        <v>3332</v>
      </c>
      <c r="B13" s="2406" t="s">
        <v>2190</v>
      </c>
      <c r="C13" s="856"/>
      <c r="D13" s="856"/>
      <c r="E13" s="856"/>
      <c r="F13" s="856">
        <f>H13</f>
        <v>57341</v>
      </c>
      <c r="G13" s="856"/>
      <c r="H13" s="856">
        <v>57341</v>
      </c>
      <c r="I13" s="856"/>
      <c r="J13" s="3061"/>
      <c r="K13" s="2612"/>
      <c r="L13" s="2612"/>
      <c r="M13" s="2438"/>
      <c r="N13" s="2449"/>
      <c r="O13" s="2438"/>
      <c r="P13" s="2438"/>
      <c r="Q13" s="2438"/>
      <c r="AD13" s="1745"/>
    </row>
    <row r="14" spans="1:30">
      <c r="A14" s="1081"/>
      <c r="B14" s="2406" t="s">
        <v>2191</v>
      </c>
      <c r="C14" s="2407"/>
      <c r="D14" s="2407"/>
      <c r="E14" s="2407"/>
      <c r="F14" s="2407">
        <v>50</v>
      </c>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31.56</v>
      </c>
      <c r="G15" s="2409" t="str">
        <f>IF(A13="出让",IF(G13="","",ROUNDDOWN(MIN((G13-$D$3)/365,G14),2)),G14)</f>
        <v/>
      </c>
      <c r="H15" s="2409">
        <f>IF(A13="出让",IF(H13="","",ROUNDDOWN(MIN((H13-$D$3)/365,H14),2)),H14)</f>
        <v>31.56</v>
      </c>
      <c r="I15" s="2409" t="str">
        <f>IF(A13="出让",IF(I13="","",ROUNDDOWN(MIN((I13-$D$3)/365,I14),2)),I14)</f>
        <v/>
      </c>
      <c r="J15" s="3063"/>
      <c r="K15" s="2450"/>
      <c r="L15" s="2450"/>
      <c r="M15" s="2508"/>
      <c r="N15" s="2450"/>
      <c r="O15" s="2508"/>
      <c r="P15" s="2438"/>
      <c r="Q15" s="2438"/>
      <c r="AD15" s="1745"/>
    </row>
    <row r="16" spans="1:30">
      <c r="A16" s="2399" t="s">
        <v>2193</v>
      </c>
      <c r="B16" s="3543"/>
      <c r="C16" s="3544"/>
      <c r="D16" s="3545"/>
      <c r="E16" s="2412" t="s">
        <v>2194</v>
      </c>
      <c r="F16" s="3546"/>
      <c r="G16" s="3547"/>
      <c r="H16" s="3547"/>
      <c r="I16" s="3548"/>
      <c r="J16" s="2438"/>
      <c r="K16" s="2616"/>
      <c r="L16" s="2450"/>
      <c r="M16" s="2450"/>
      <c r="N16" s="2508"/>
      <c r="O16" s="2450"/>
      <c r="P16" s="2508"/>
      <c r="Q16" s="2438"/>
      <c r="R16" s="2438"/>
    </row>
    <row r="17" spans="1:28">
      <c r="A17" s="313" t="s">
        <v>2195</v>
      </c>
      <c r="B17" s="302" t="s">
        <v>2196</v>
      </c>
      <c r="C17" s="8">
        <f>'数据-汇总表'!E3</f>
        <v>96349.52999999997</v>
      </c>
      <c r="D17" s="2321" t="s">
        <v>2197</v>
      </c>
      <c r="E17" s="3549" t="s">
        <v>2198</v>
      </c>
      <c r="F17" s="3550"/>
      <c r="G17" s="3550"/>
      <c r="H17" s="3550"/>
      <c r="I17" s="355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23899.599999999999</v>
      </c>
      <c r="D18" s="1092" t="s">
        <v>2201</v>
      </c>
      <c r="E18" s="3552" t="s">
        <v>2202</v>
      </c>
      <c r="F18" s="3553"/>
      <c r="G18" s="3553"/>
      <c r="H18" s="3553"/>
      <c r="I18" s="3554"/>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9" t="s">
        <v>2206</v>
      </c>
      <c r="C20" s="3540"/>
      <c r="D20" s="3541" t="s">
        <v>2207</v>
      </c>
      <c r="E20" s="3542"/>
      <c r="F20" s="2646" t="s">
        <v>1056</v>
      </c>
      <c r="G20" s="2663"/>
      <c r="H20" s="2663"/>
      <c r="I20" s="2663"/>
      <c r="J20" s="2438"/>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2218</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5" t="s">
        <v>2228</v>
      </c>
      <c r="T34" s="2427" t="str">
        <f>NUMBERSTRING(7-K34,1)&amp;"通"</f>
        <v>七通</v>
      </c>
      <c r="U34" s="2438"/>
      <c r="V34" s="2438"/>
    </row>
    <row r="35" spans="1:30">
      <c r="A35" s="2428"/>
      <c r="B35" s="3532" t="s">
        <v>2229</v>
      </c>
      <c r="C35" s="3532"/>
      <c r="D35" s="3532"/>
      <c r="E35" s="353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3414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6" sqref="AN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23899.599999999999</v>
      </c>
      <c r="B3" s="11">
        <f>IF(C3="否",G5-AT5,G5)</f>
        <v>96349.529999999984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100560.47999999998</v>
      </c>
      <c r="H5" s="13">
        <f t="shared" ref="H5:AT5" si="0">SUM(H13:H656)</f>
        <v>63199.47</v>
      </c>
      <c r="I5" s="13">
        <f t="shared" si="0"/>
        <v>63199.47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33150.06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119.17</v>
      </c>
      <c r="AM5" s="13">
        <f t="shared" si="0"/>
        <v>0</v>
      </c>
      <c r="AN5" s="13">
        <f t="shared" si="0"/>
        <v>33030.89</v>
      </c>
      <c r="AO5" s="13">
        <f t="shared" si="0"/>
        <v>0</v>
      </c>
      <c r="AP5" s="13">
        <f t="shared" si="0"/>
        <v>0</v>
      </c>
      <c r="AQ5" s="13">
        <f t="shared" si="0"/>
        <v>0</v>
      </c>
      <c r="AR5" s="13">
        <f t="shared" si="0"/>
        <v>0</v>
      </c>
      <c r="AS5" s="13">
        <f t="shared" si="0"/>
        <v>0</v>
      </c>
      <c r="AT5" s="13">
        <f t="shared" si="0"/>
        <v>4210.95</v>
      </c>
      <c r="AU5" s="1346"/>
      <c r="AV5" s="12" t="s">
        <v>1071</v>
      </c>
      <c r="AW5" s="1347"/>
      <c r="AX5" s="1347"/>
      <c r="AY5" s="14" t="s">
        <v>2</v>
      </c>
      <c r="AZ5" s="15">
        <f t="shared" ref="AZ5:BT5" si="1">SUM(AZ13:AZ656)</f>
        <v>96349.52999999997</v>
      </c>
      <c r="BA5" s="15">
        <f t="shared" si="1"/>
        <v>63199.47</v>
      </c>
      <c r="BB5" s="15">
        <f t="shared" si="1"/>
        <v>63199.47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33150.06</v>
      </c>
      <c r="BM5" s="15">
        <f t="shared" si="1"/>
        <v>0</v>
      </c>
      <c r="BN5" s="15">
        <f t="shared" si="1"/>
        <v>0</v>
      </c>
      <c r="BO5" s="15">
        <f t="shared" si="1"/>
        <v>0</v>
      </c>
      <c r="BP5" s="15">
        <f t="shared" si="1"/>
        <v>0</v>
      </c>
      <c r="BQ5" s="15">
        <f t="shared" si="1"/>
        <v>119.17</v>
      </c>
      <c r="BR5" s="15">
        <f t="shared" si="1"/>
        <v>33030.89</v>
      </c>
      <c r="BS5" s="15">
        <f t="shared" si="1"/>
        <v>0</v>
      </c>
      <c r="BT5" s="16">
        <f t="shared" si="1"/>
        <v>0</v>
      </c>
    </row>
    <row r="6" spans="1:72" s="1589" customFormat="1" ht="12.75">
      <c r="A6" s="12" t="s">
        <v>1072</v>
      </c>
      <c r="B6" s="1586"/>
      <c r="C6" s="1586"/>
      <c r="D6" s="1587"/>
      <c r="E6" s="13">
        <f>H6+AC6+AT6</f>
        <v>23899.599999999999</v>
      </c>
      <c r="F6" s="13" t="s">
        <v>0</v>
      </c>
      <c r="G6" s="13" t="s">
        <v>1</v>
      </c>
      <c r="H6" s="17">
        <f>SUMIF(I$12:AB$12,"总值",I6:AB6)</f>
        <v>15676.69</v>
      </c>
      <c r="I6" s="13">
        <f t="shared" ref="I6:AB6" si="2">ROUND($A$3*I5/$B$3,2)</f>
        <v>15676.69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8222.91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29.56</v>
      </c>
      <c r="AM6" s="13">
        <f t="shared" si="3"/>
        <v>0</v>
      </c>
      <c r="AN6" s="13">
        <f t="shared" si="3"/>
        <v>8193.35</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23899.599999999999</v>
      </c>
      <c r="AZ6" s="13" t="s">
        <v>2</v>
      </c>
      <c r="BA6" s="13">
        <f>ROUND($AY$6*BA5/$AZ$5,2)</f>
        <v>15676.69</v>
      </c>
      <c r="BB6" s="13">
        <f>ROUND($AY$6*BB5/$AZ$5,2)</f>
        <v>15676.69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8222.91</v>
      </c>
      <c r="BM6" s="13">
        <f t="shared" si="5"/>
        <v>0</v>
      </c>
      <c r="BN6" s="13">
        <f t="shared" si="5"/>
        <v>0</v>
      </c>
      <c r="BO6" s="13">
        <f t="shared" si="5"/>
        <v>0</v>
      </c>
      <c r="BP6" s="13">
        <f t="shared" si="5"/>
        <v>0</v>
      </c>
      <c r="BQ6" s="13">
        <f t="shared" si="5"/>
        <v>29.56</v>
      </c>
      <c r="BR6" s="13">
        <f t="shared" si="5"/>
        <v>8193.35</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20381.599999999999</v>
      </c>
      <c r="B13" s="3481" t="s">
        <v>3471</v>
      </c>
      <c r="C13" s="3466" t="s">
        <v>3415</v>
      </c>
      <c r="D13" s="1625" t="s">
        <v>3423</v>
      </c>
      <c r="E13" s="13">
        <f>IF($C$3="是",ROUND($A$3*G13/$B$3,2),ROUND($A$3*(G13-AT13)/$B$3,2))</f>
        <v>5036.22</v>
      </c>
      <c r="F13" s="29"/>
      <c r="G13" s="30">
        <f>H13+AC13+AT13</f>
        <v>20319.36</v>
      </c>
      <c r="H13" s="17">
        <f>SUMIF(I$12:AB$12,"总值",I13:AB13)</f>
        <v>20303.16</v>
      </c>
      <c r="I13" s="1626">
        <v>20303.16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v>16.2</v>
      </c>
      <c r="AU13" s="1629"/>
      <c r="AV13" s="8">
        <f t="shared" ref="AV13:AX17" si="6">A13</f>
        <v>20381.599999999999</v>
      </c>
      <c r="AW13" s="8" t="str">
        <f t="shared" si="6"/>
        <v>测绘报告</v>
      </c>
      <c r="AX13" s="8" t="str">
        <f t="shared" si="6"/>
        <v>3#厂房</v>
      </c>
      <c r="AY13" s="1349">
        <f>ROUND($AY$6*AZ13/$AZ$5,2)</f>
        <v>5036.22</v>
      </c>
      <c r="AZ13" s="13">
        <f>BA13+BL13</f>
        <v>20303.16</v>
      </c>
      <c r="BA13" s="13">
        <f>SUM(BB13:BK13)</f>
        <v>20303.16</v>
      </c>
      <c r="BB13" s="13">
        <f>IF($D13="是",I13-J13,0)</f>
        <v>20303.16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20623.7</v>
      </c>
      <c r="B14" s="1051" t="str">
        <f>B13</f>
        <v>测绘报告</v>
      </c>
      <c r="C14" s="3467" t="s">
        <v>3416</v>
      </c>
      <c r="D14" s="1625" t="s">
        <v>3423</v>
      </c>
      <c r="E14" s="13">
        <f>IF($C$3="是",ROUND($A$3*G14/$B$3,2),ROUND($A$3*(G14-AT14)/$B$3,2))</f>
        <v>5148.3100000000004</v>
      </c>
      <c r="F14" s="29"/>
      <c r="G14" s="30">
        <f>H14+AC14+AT14</f>
        <v>20755.060000000001</v>
      </c>
      <c r="H14" s="17">
        <f>SUMIF(I$12:AB$12,"总值",I14:AB14)</f>
        <v>20755.060000000001</v>
      </c>
      <c r="I14" s="1626">
        <v>20755.060000000001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20623.7</v>
      </c>
      <c r="AW14" s="8" t="str">
        <f t="shared" si="6"/>
        <v>测绘报告</v>
      </c>
      <c r="AX14" s="8" t="str">
        <f t="shared" si="6"/>
        <v>4#厂房</v>
      </c>
      <c r="AY14" s="1349">
        <f>ROUND($AY$6*AZ14/$AZ$5,2)</f>
        <v>5148.3100000000004</v>
      </c>
      <c r="AZ14" s="13">
        <f>BA14+BL14</f>
        <v>20755.060000000001</v>
      </c>
      <c r="BA14" s="13">
        <f>SUM(BB14:BK14)</f>
        <v>20755.060000000001</v>
      </c>
      <c r="BB14" s="13">
        <f>IF($D14="是",I14-J14,0)</f>
        <v>20755.060000000001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20449.5</v>
      </c>
      <c r="B15" s="1051" t="str">
        <f>B13</f>
        <v>测绘报告</v>
      </c>
      <c r="C15" s="3467" t="s">
        <v>3417</v>
      </c>
      <c r="D15" s="1625" t="s">
        <v>3423</v>
      </c>
      <c r="E15" s="13">
        <f>IF($C$3="是",ROUND($A$3*G15/$B$3,2),ROUND($A$3*(G15-AT15)/$B$3,2))</f>
        <v>5078.03</v>
      </c>
      <c r="F15" s="29"/>
      <c r="G15" s="30">
        <f>H15+AC15+AT15</f>
        <v>20471.73</v>
      </c>
      <c r="H15" s="17">
        <f>SUMIF(I$12:AB$12,"总值",I15:AB15)</f>
        <v>20471.73</v>
      </c>
      <c r="I15" s="1626">
        <v>20471.73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20449.5</v>
      </c>
      <c r="AW15" s="8" t="str">
        <f t="shared" si="6"/>
        <v>测绘报告</v>
      </c>
      <c r="AX15" s="8" t="str">
        <f t="shared" si="6"/>
        <v>5#厂房</v>
      </c>
      <c r="AY15" s="1349">
        <f>ROUND($AY$6*AZ15/$AZ$5,2)</f>
        <v>5078.03</v>
      </c>
      <c r="AZ15" s="13">
        <f>BA15+BL15</f>
        <v>20471.73</v>
      </c>
      <c r="BA15" s="13">
        <f>SUM(BB15:BK15)</f>
        <v>20471.73</v>
      </c>
      <c r="BB15" s="13">
        <f>IF($D15="是",I15-J15,0)</f>
        <v>20471.73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v>26515.08</v>
      </c>
      <c r="B16" s="1051" t="str">
        <f>B13</f>
        <v>测绘报告</v>
      </c>
      <c r="C16" s="3467" t="s">
        <v>3418</v>
      </c>
      <c r="D16" s="1625" t="s">
        <v>3423</v>
      </c>
      <c r="E16" s="13">
        <f>IF($C$3="是",ROUND($A$3*G16/$B$3,2),ROUND($A$3*(G16-AT16)/$B$3,2))</f>
        <v>5608.78</v>
      </c>
      <c r="F16" s="29"/>
      <c r="G16" s="30">
        <f>H16+AC16+AT16</f>
        <v>26806.129999999997</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22611.379999999997</v>
      </c>
      <c r="AD16" s="1627"/>
      <c r="AE16" s="1627"/>
      <c r="AF16" s="1627"/>
      <c r="AG16" s="1627"/>
      <c r="AH16" s="1627"/>
      <c r="AI16" s="1627"/>
      <c r="AJ16" s="1627"/>
      <c r="AK16" s="1627"/>
      <c r="AL16" s="1627">
        <f>21.62</f>
        <v>21.62</v>
      </c>
      <c r="AM16" s="1627"/>
      <c r="AN16" s="3482">
        <f>8516.28+3205+15003.25-4092.31-49.39+6.93</f>
        <v>22589.759999999998</v>
      </c>
      <c r="AO16" s="1627"/>
      <c r="AP16" s="1627"/>
      <c r="AQ16" s="1627"/>
      <c r="AR16" s="1627"/>
      <c r="AS16" s="1627"/>
      <c r="AT16" s="1628">
        <v>4194.75</v>
      </c>
      <c r="AU16" s="1629"/>
      <c r="AV16" s="8">
        <f t="shared" si="6"/>
        <v>26515.08</v>
      </c>
      <c r="AW16" s="8" t="str">
        <f t="shared" si="6"/>
        <v>测绘报告</v>
      </c>
      <c r="AX16" s="8" t="str">
        <f t="shared" si="6"/>
        <v>地下车库及厂房</v>
      </c>
      <c r="AY16" s="1349">
        <f>ROUND($AY$6*AZ16/$AZ$5,2)</f>
        <v>5608.78</v>
      </c>
      <c r="AZ16" s="13">
        <f>BA16+BL16</f>
        <v>22611.379999999997</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22611.379999999997</v>
      </c>
      <c r="BM16" s="13">
        <f>IF($D16="是",AD16-AE16,0)</f>
        <v>0</v>
      </c>
      <c r="BN16" s="13">
        <f>IF($D16="是",AF16-AG16,0)</f>
        <v>0</v>
      </c>
      <c r="BO16" s="13">
        <f>IF($D16="是",AH16-AI16,0)</f>
        <v>0</v>
      </c>
      <c r="BP16" s="13">
        <f>IF($D16="是",AJ16-AK16,0)</f>
        <v>0</v>
      </c>
      <c r="BQ16" s="13">
        <f>IF($D16="是",AL16-AM16,0)</f>
        <v>21.62</v>
      </c>
      <c r="BR16" s="13">
        <f>IF($D16="是",AN16-AO16,0)</f>
        <v>22589.759999999998</v>
      </c>
      <c r="BS16" s="13">
        <f>IF($D16="是",AP16-AQ16,0)</f>
        <v>0</v>
      </c>
      <c r="BT16" s="19">
        <f>IF($D16="是",AR16-AS16,0)</f>
        <v>0</v>
      </c>
    </row>
    <row r="17" spans="1:72" s="1579" customFormat="1" ht="12.75">
      <c r="A17" s="1051"/>
      <c r="B17" s="3481" t="s">
        <v>3472</v>
      </c>
      <c r="C17" s="1570" t="s">
        <v>3419</v>
      </c>
      <c r="D17" s="1625" t="s">
        <v>3423</v>
      </c>
      <c r="E17" s="13">
        <f>IF($C$3="是",ROUND($A$3*G17/$B$3,2),ROUND($A$3*(G17-AT17)/$B$3,2))</f>
        <v>173.73</v>
      </c>
      <c r="F17" s="29"/>
      <c r="G17" s="30">
        <f>H17+AC17+AT17</f>
        <v>700.4</v>
      </c>
      <c r="H17" s="17">
        <f>SUMIF(I$12:AB$12,"总值",I17:AB17)</f>
        <v>700.4</v>
      </c>
      <c r="I17" s="1626">
        <v>700.4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规证</v>
      </c>
      <c r="AX17" s="8" t="str">
        <f t="shared" si="6"/>
        <v>8#面包车间</v>
      </c>
      <c r="AY17" s="1349">
        <f>ROUND($AY$6*AZ17/$AZ$5,2)</f>
        <v>173.73</v>
      </c>
      <c r="AZ17" s="13">
        <f>BA17+BL17</f>
        <v>700.4</v>
      </c>
      <c r="BA17" s="13">
        <f>SUM(BB17:BK17)</f>
        <v>700.4</v>
      </c>
      <c r="BB17" s="13">
        <f>IF($D17="是",I17-J17,0)</f>
        <v>700.4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t="str">
        <f>B17</f>
        <v>规证</v>
      </c>
      <c r="C18" s="31" t="s">
        <v>3420</v>
      </c>
      <c r="D18" s="1625" t="s">
        <v>3423</v>
      </c>
      <c r="E18" s="32">
        <f t="shared" ref="E18:E112" si="7">IF($C$3="是",ROUND($A$3*G18/$B$3,2),ROUND($A$3*(G18-AT18)/$B$3,2))</f>
        <v>188.7</v>
      </c>
      <c r="F18" s="33"/>
      <c r="G18" s="34">
        <f t="shared" ref="G18:G109" si="8">H18+AC18+AT18</f>
        <v>760.73</v>
      </c>
      <c r="H18" s="35">
        <f t="shared" ref="H18:H109" si="9">SUMIF(I$12:AB$12,"总值",I18:AB18)</f>
        <v>760.73</v>
      </c>
      <c r="I18" s="36">
        <v>760.73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规证</v>
      </c>
      <c r="AX18" s="1343" t="str">
        <f t="shared" ref="AX18:AX112" si="13">C18</f>
        <v>9#生日蛋糕车间</v>
      </c>
      <c r="AY18" s="39">
        <f t="shared" ref="AY18:AY109" si="14">ROUND($AY$6*AZ18/$AZ$5,2)</f>
        <v>188.7</v>
      </c>
      <c r="AZ18" s="32">
        <f t="shared" ref="AZ18:AZ109" si="15">BA18+BL18</f>
        <v>760.73</v>
      </c>
      <c r="BA18" s="32">
        <f t="shared" ref="BA18:BA109" si="16">SUM(BB18:BK18)</f>
        <v>760.73</v>
      </c>
      <c r="BB18" s="32">
        <f t="shared" ref="BB18:BB109" si="17">IF($D18="是",I18-J18,0)</f>
        <v>760.73</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t="str">
        <f>B17</f>
        <v>规证</v>
      </c>
      <c r="C19" s="31" t="s">
        <v>3421</v>
      </c>
      <c r="D19" s="1625" t="s">
        <v>3423</v>
      </c>
      <c r="E19" s="32">
        <f t="shared" si="7"/>
        <v>51.69</v>
      </c>
      <c r="F19" s="33"/>
      <c r="G19" s="34">
        <f t="shared" si="8"/>
        <v>208.39</v>
      </c>
      <c r="H19" s="35">
        <f t="shared" si="9"/>
        <v>208.39</v>
      </c>
      <c r="I19" s="36">
        <v>208.39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规证</v>
      </c>
      <c r="AX19" s="1343" t="str">
        <f t="shared" si="13"/>
        <v>12#水处理车间</v>
      </c>
      <c r="AY19" s="39">
        <f t="shared" si="14"/>
        <v>51.69</v>
      </c>
      <c r="AZ19" s="32">
        <f t="shared" si="15"/>
        <v>208.39</v>
      </c>
      <c r="BA19" s="32">
        <f t="shared" si="16"/>
        <v>208.39</v>
      </c>
      <c r="BB19" s="32">
        <f t="shared" si="17"/>
        <v>208.39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t="str">
        <f>B17</f>
        <v>规证</v>
      </c>
      <c r="C20" s="3468" t="s">
        <v>3422</v>
      </c>
      <c r="D20" s="1625" t="s">
        <v>3423</v>
      </c>
      <c r="E20" s="32">
        <f t="shared" si="7"/>
        <v>2614.13</v>
      </c>
      <c r="F20" s="33"/>
      <c r="G20" s="34">
        <f t="shared" si="8"/>
        <v>10538.68</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10538.68</v>
      </c>
      <c r="AD20" s="37"/>
      <c r="AE20" s="37"/>
      <c r="AF20" s="37"/>
      <c r="AG20" s="37"/>
      <c r="AH20" s="37"/>
      <c r="AI20" s="37"/>
      <c r="AJ20" s="37"/>
      <c r="AK20" s="37"/>
      <c r="AL20" s="37">
        <v>97.55</v>
      </c>
      <c r="AM20" s="37"/>
      <c r="AN20" s="37">
        <f>1756.94+8541.33+142.86</f>
        <v>10441.130000000001</v>
      </c>
      <c r="AO20" s="37"/>
      <c r="AP20" s="37"/>
      <c r="AQ20" s="37"/>
      <c r="AR20" s="37"/>
      <c r="AS20" s="37"/>
      <c r="AT20" s="38"/>
      <c r="AU20" s="1631"/>
      <c r="AV20" s="1343">
        <f t="shared" si="11"/>
        <v>0</v>
      </c>
      <c r="AW20" s="1343" t="str">
        <f t="shared" si="12"/>
        <v>规证</v>
      </c>
      <c r="AX20" s="1343" t="str">
        <f t="shared" si="13"/>
        <v>地下车库2段</v>
      </c>
      <c r="AY20" s="39">
        <f t="shared" si="14"/>
        <v>2614.13</v>
      </c>
      <c r="AZ20" s="32">
        <f t="shared" si="15"/>
        <v>10538.68</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10538.68</v>
      </c>
      <c r="BM20" s="32">
        <f t="shared" si="28"/>
        <v>0</v>
      </c>
      <c r="BN20" s="32">
        <f t="shared" si="29"/>
        <v>0</v>
      </c>
      <c r="BO20" s="32">
        <f t="shared" si="30"/>
        <v>0</v>
      </c>
      <c r="BP20" s="32">
        <f t="shared" si="31"/>
        <v>0</v>
      </c>
      <c r="BQ20" s="32">
        <f t="shared" si="32"/>
        <v>97.55</v>
      </c>
      <c r="BR20" s="32">
        <f t="shared" si="33"/>
        <v>10441.130000000001</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8"/>
      <c r="G2" s="2649"/>
      <c r="H2" s="2650"/>
      <c r="I2" s="2324" t="s">
        <v>1132</v>
      </c>
      <c r="J2" s="2658"/>
      <c r="K2" s="2658"/>
      <c r="L2" s="2658"/>
      <c r="M2" s="2658"/>
      <c r="N2" s="2660"/>
      <c r="O2" s="2658"/>
      <c r="P2" s="2658"/>
    </row>
    <row r="3" spans="1:16" ht="15.75" thickBot="1">
      <c r="A3" s="3565" t="s">
        <v>1105</v>
      </c>
      <c r="B3" s="3565"/>
      <c r="C3" s="3565"/>
      <c r="D3" s="43">
        <f>'数据-基础表'!AY6</f>
        <v>23899.599999999999</v>
      </c>
      <c r="E3" s="43">
        <f>'数据-基础表'!AZ5</f>
        <v>96349.52999999997</v>
      </c>
      <c r="F3" s="2658"/>
      <c r="G3" s="1145"/>
      <c r="H3" s="1026" t="s">
        <v>1106</v>
      </c>
      <c r="I3" s="855">
        <f>ROUND('数据-基础表'!B3/'数据-基础表'!A3,2)</f>
        <v>4.03</v>
      </c>
      <c r="J3" s="2658"/>
      <c r="K3" s="2658"/>
      <c r="L3" s="2658"/>
      <c r="M3" s="2658"/>
      <c r="N3" s="2660"/>
      <c r="O3" s="2658"/>
      <c r="P3" s="2658"/>
    </row>
    <row r="4" spans="1:16" ht="15">
      <c r="A4" s="3566"/>
      <c r="B4" s="3567"/>
      <c r="C4" s="3568"/>
      <c r="D4" s="1641" t="s">
        <v>1107</v>
      </c>
      <c r="E4" s="1642" t="s">
        <v>1108</v>
      </c>
      <c r="F4" s="2658"/>
      <c r="G4" s="2651" t="s">
        <v>1133</v>
      </c>
      <c r="H4" s="1026" t="s">
        <v>1113</v>
      </c>
      <c r="I4" s="855">
        <f>ROUND(SUMIF('数据-基础表'!I9:AS9,"地上",'数据-基础表'!I5:AS5)/'数据-基础表'!A3,2)</f>
        <v>2.65</v>
      </c>
      <c r="J4" s="2658"/>
      <c r="K4" s="2658"/>
      <c r="L4" s="2658"/>
      <c r="M4" s="2658"/>
      <c r="N4" s="2660"/>
      <c r="O4" s="2658"/>
      <c r="P4" s="2658"/>
    </row>
    <row r="5" spans="1:16">
      <c r="A5" s="44" t="s">
        <v>1109</v>
      </c>
      <c r="B5" s="3569" t="s">
        <v>1110</v>
      </c>
      <c r="C5" s="3569"/>
      <c r="D5" s="45">
        <f>ROUND($D$3*E5/$E$3,2)</f>
        <v>0</v>
      </c>
      <c r="E5" s="46">
        <f>SUMIF('数据-基础表'!$11:$11,"住宅",'数据-基础表'!$5:$5)</f>
        <v>0</v>
      </c>
      <c r="F5" s="2658"/>
      <c r="G5" s="1145"/>
      <c r="H5" s="1026" t="s">
        <v>1106</v>
      </c>
      <c r="I5" s="855">
        <f>ROUND(E31/D31,2)</f>
        <v>4.03</v>
      </c>
      <c r="J5" s="2658"/>
      <c r="K5" s="2658"/>
      <c r="L5" s="2658"/>
      <c r="M5" s="2658"/>
      <c r="N5" s="2658"/>
      <c r="O5" s="2658"/>
      <c r="P5" s="2658"/>
    </row>
    <row r="6" spans="1:16" ht="15" thickBot="1">
      <c r="A6" s="1644"/>
      <c r="B6" s="3569" t="s">
        <v>1111</v>
      </c>
      <c r="C6" s="3569"/>
      <c r="D6" s="45">
        <f>ROUND($D$3*E6/$E$3,2)</f>
        <v>23899.599999999999</v>
      </c>
      <c r="E6" s="46">
        <f>E3-E5</f>
        <v>96349.52999999997</v>
      </c>
      <c r="F6" s="2658"/>
      <c r="G6" s="2652" t="s">
        <v>1112</v>
      </c>
      <c r="H6" s="1146" t="s">
        <v>1113</v>
      </c>
      <c r="I6" s="2653">
        <f>ROUND(F31/D31,2)</f>
        <v>2.65</v>
      </c>
      <c r="J6" s="2658"/>
      <c r="K6" s="2658"/>
      <c r="L6" s="2658"/>
      <c r="M6" s="2658"/>
      <c r="N6" s="2658"/>
      <c r="O6" s="2658"/>
      <c r="P6" s="2658"/>
    </row>
    <row r="7" spans="1:16" ht="15.75" thickBot="1">
      <c r="A7" s="3561"/>
      <c r="B7" s="3562"/>
      <c r="C7" s="3563"/>
      <c r="D7" s="1641" t="s">
        <v>1107</v>
      </c>
      <c r="E7" s="1645" t="s">
        <v>1114</v>
      </c>
      <c r="F7" s="2658"/>
      <c r="G7" s="2654" t="s">
        <v>1115</v>
      </c>
      <c r="H7" s="2655"/>
      <c r="I7" s="2656">
        <v>1.99</v>
      </c>
      <c r="J7" s="2658"/>
      <c r="K7" s="2658"/>
      <c r="L7" s="2658"/>
      <c r="M7" s="2658"/>
      <c r="N7" s="2658"/>
      <c r="O7" s="2658"/>
      <c r="P7" s="2658"/>
    </row>
    <row r="8" spans="1:16">
      <c r="A8" s="44" t="s">
        <v>1116</v>
      </c>
      <c r="B8" s="47" t="s">
        <v>1117</v>
      </c>
      <c r="C8" s="45" t="s">
        <v>1118</v>
      </c>
      <c r="D8" s="45">
        <f t="shared" ref="D8:D15" si="0">ROUND($D$3*E8/$E$3,2)</f>
        <v>15676.69</v>
      </c>
      <c r="E8" s="48">
        <f>SUMIF('数据-基础表'!BB10:BK10,"地上",'数据-基础表'!BB5:BK5)</f>
        <v>63199.47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15676.69</v>
      </c>
      <c r="E16" s="50">
        <f>SUM(E8:E15)</f>
        <v>63199.47</v>
      </c>
      <c r="F16" s="2658"/>
      <c r="G16" s="2659"/>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3425</v>
      </c>
      <c r="D19" s="45">
        <f>ROUND($D$3*E19/$E$3,2)</f>
        <v>15676.69</v>
      </c>
      <c r="E19" s="53">
        <f t="shared" ref="E19:E26" si="1">SUM(F19:G19)</f>
        <v>63199.47</v>
      </c>
      <c r="F19" s="2794">
        <f>'数据-基础表'!I5</f>
        <v>63199.47</v>
      </c>
      <c r="G19" s="2795"/>
      <c r="H19" s="670">
        <f>ROUND($D$3*I19/$E$3,2)</f>
        <v>8222.91</v>
      </c>
      <c r="I19" s="48">
        <f t="shared" ref="I19:I26" si="2">IF($I$17="自定义",P19,M19)</f>
        <v>33150.06</v>
      </c>
      <c r="J19" s="1139"/>
      <c r="K19" s="1138">
        <f t="shared" ref="K19:K26" si="3">ROUND(E$28*E19/E$27,2)</f>
        <v>33150.06</v>
      </c>
      <c r="L19" s="1026">
        <f t="shared" ref="L19:L26" si="4">ROUND(IF(COUNTIF(C19,"*住宅*")&gt;0,E$29*E19/E$32,0),2)</f>
        <v>0</v>
      </c>
      <c r="M19" s="1150">
        <f>K19+L19</f>
        <v>33150.06</v>
      </c>
      <c r="N19" s="1668"/>
      <c r="O19" s="1669"/>
      <c r="P19" s="1150">
        <f>N19+O19</f>
        <v>0</v>
      </c>
      <c r="R19" s="1026">
        <f t="shared" ref="R19:S26" si="5">D19+H19</f>
        <v>23899.599999999999</v>
      </c>
      <c r="S19" s="1027">
        <f t="shared" si="5"/>
        <v>96349.53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15676.69</v>
      </c>
      <c r="E27" s="1141">
        <f>IF(SUM(E19:E26)='数据-基础表'!BA5,SUM(E19:E26),IF(F27="地上面积有误","面积有误","地下面积有误"))</f>
        <v>63199.47</v>
      </c>
      <c r="F27" s="1140">
        <f>IF(SUM(F19:F26)=E8,SUM(F19:F26),"地上面积有误")</f>
        <v>63199.47</v>
      </c>
      <c r="G27" s="1142">
        <f>SUM(G19:G26)</f>
        <v>0</v>
      </c>
      <c r="H27" s="1143">
        <f>SUM(H19:H26)</f>
        <v>8222.91</v>
      </c>
      <c r="I27" s="1144">
        <f>SUM(I19:I26)</f>
        <v>33150.06</v>
      </c>
      <c r="J27" s="1139"/>
      <c r="K27" s="1147">
        <f>SUM(K19:K26)</f>
        <v>33150.06</v>
      </c>
      <c r="L27" s="1148">
        <f>SUM(L19:L26)</f>
        <v>0</v>
      </c>
      <c r="M27" s="1151">
        <f>SUM(M19:M26)</f>
        <v>33150.06</v>
      </c>
      <c r="N27" s="1147">
        <f t="shared" ref="N27:O27" si="10">SUM(N19:N26)</f>
        <v>0</v>
      </c>
      <c r="O27" s="1148">
        <f t="shared" si="10"/>
        <v>0</v>
      </c>
      <c r="P27" s="1149">
        <f>SUM(P19:P26)</f>
        <v>0</v>
      </c>
      <c r="R27" s="1028">
        <f>IF(SUM(R19:R26)=$D$3,SUM(R19:R26),SUM(R19:R26)&amp;"误差"&amp;ROUND(SUM(R19:R26)-$D$3,2))</f>
        <v>23899.599999999999</v>
      </c>
      <c r="S27" s="1026">
        <f>IF(SUM(S19:S26)=$E$3,SUM(S19:S26),SUM(S19:S26)&amp;"误差"&amp;ROUND(SUM(S19:S26)-E3,2))</f>
        <v>96349.53</v>
      </c>
    </row>
    <row r="28" spans="1:19">
      <c r="A28" s="1670"/>
      <c r="B28" s="47" t="s">
        <v>1155</v>
      </c>
      <c r="C28" s="1038" t="s">
        <v>1156</v>
      </c>
      <c r="D28" s="45">
        <f>ROUND($D$3*E28/$E$3,2)</f>
        <v>8222.91</v>
      </c>
      <c r="E28" s="53">
        <f>SUM(F28:G28)</f>
        <v>33150.06</v>
      </c>
      <c r="F28" s="56">
        <f>'数据-基础表'!BQ5+'数据-基础表'!BS5</f>
        <v>119.17</v>
      </c>
      <c r="G28" s="57">
        <f>'数据-基础表'!BR5+'数据-基础表'!BT5</f>
        <v>33030.89</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8222.91</v>
      </c>
      <c r="E30" s="1140">
        <f>SUM(E28:E29)</f>
        <v>33150.06</v>
      </c>
      <c r="F30" s="1140">
        <f>SUM(F28:F29)</f>
        <v>119.17</v>
      </c>
      <c r="G30" s="1142">
        <f>SUM(G28:G29)</f>
        <v>33030.89</v>
      </c>
      <c r="H30" s="2658"/>
      <c r="I30" s="2658"/>
      <c r="J30" s="2658"/>
      <c r="K30" s="2658"/>
      <c r="L30" s="2658"/>
      <c r="M30" s="2658"/>
      <c r="N30" s="2658"/>
      <c r="O30" s="2658"/>
      <c r="P30" s="2658"/>
    </row>
    <row r="31" spans="1:19" ht="15.75" thickBot="1">
      <c r="A31" s="1676"/>
      <c r="B31" s="1677"/>
      <c r="C31" s="835" t="s">
        <v>1158</v>
      </c>
      <c r="D31" s="676">
        <f>D27+D30</f>
        <v>23899.599999999999</v>
      </c>
      <c r="E31" s="676">
        <f>E27+E30</f>
        <v>96349.53</v>
      </c>
      <c r="F31" s="677">
        <f>F27+F30</f>
        <v>63318.64</v>
      </c>
      <c r="G31" s="678">
        <f>G27+G30</f>
        <v>33030.89</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45818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57341</v>
      </c>
      <c r="F6" s="64">
        <f>SUMIF(项目基本情况!C$12:I$12,C6,项目基本情况!C$15:I$15)</f>
        <v>31.56</v>
      </c>
      <c r="G6" s="65">
        <f>IF(ISERROR(ROUND(POWER(1+H6,D6-F6)*(POWER(1+H6,F6)-1)/(POWER(1+H6,D6)-1),3)),0,ROUND(POWER(1+H6,D6-F6)*(POWER(1+H6,F6)-1)/(POWER(1+H6,D6)-1),3))</f>
        <v>0.86099999999999999</v>
      </c>
      <c r="H6" s="732">
        <v>0.05</v>
      </c>
      <c r="I6" s="732">
        <v>5.5E-2</v>
      </c>
      <c r="J6" s="66">
        <v>7.0000000000000007E-2</v>
      </c>
      <c r="K6" s="1030">
        <f>SUMIF('数据-汇总表'!C$19:C$33,A6,'数据-汇总表'!E$19:E$33)</f>
        <v>63199.47</v>
      </c>
      <c r="L6" s="733">
        <f>ROUND(取值!D14,-2)</f>
        <v>6600</v>
      </c>
      <c r="M6" s="67">
        <f t="shared" ref="M6:M14" si="0">ROUND(K6*L6/10000,0)</f>
        <v>41712</v>
      </c>
      <c r="N6" s="731">
        <f>ROUND(O28,2)</f>
        <v>0.87</v>
      </c>
      <c r="O6" s="67">
        <f>IF($N$5="成新度","——",ROUND(M6*N6,0))</f>
        <v>36289</v>
      </c>
      <c r="P6" s="68">
        <f>IF($N$5="成新度","——",M6-O6)</f>
        <v>5423</v>
      </c>
      <c r="Q6" s="734">
        <v>0.15</v>
      </c>
      <c r="R6" s="69">
        <f ca="1">SUMIF('数据-汇总表'!C$19:C$33,A6,'数据-汇总表'!R$19:R$27)</f>
        <v>23899.599999999999</v>
      </c>
      <c r="S6" s="51">
        <f>IF('数据-汇总表'!$I$17="按面积比例",SUMIF('数据-汇总表'!C$19:C$33,A6,'数据-汇总表'!K$19:K$33),SUMIF('数据-汇总表'!C$19:C$33,A6,'数据-汇总表'!N$19:N$33))</f>
        <v>33150.06</v>
      </c>
      <c r="T6" s="1172">
        <f>ROUND($L$14*S6/10000,0)</f>
        <v>21879</v>
      </c>
      <c r="U6" s="3427">
        <v>4.2</v>
      </c>
      <c r="V6" s="70">
        <v>0.02</v>
      </c>
      <c r="W6" s="70">
        <v>0.1</v>
      </c>
      <c r="X6" s="1040"/>
      <c r="Y6" s="71">
        <v>1</v>
      </c>
      <c r="Z6" s="72"/>
      <c r="AA6" s="66"/>
      <c r="AB6" s="66"/>
      <c r="AC6" s="1040"/>
      <c r="AD6" s="73"/>
      <c r="AE6" s="1041">
        <f ca="1">IF(AN6="",0,SUMIF(INDIRECT("'"&amp;AN6&amp;"'"&amp;"!E:E"),$AE$5,INDIRECT("'"&amp;AN6&amp;"'"&amp;"!F:F")))</f>
        <v>31.169999999999998</v>
      </c>
      <c r="AF6" s="1348"/>
      <c r="AG6" s="138">
        <f>IF(AF6="",0,AE6-AF6)</f>
        <v>0</v>
      </c>
      <c r="AH6" s="74"/>
      <c r="AI6" s="76">
        <v>365</v>
      </c>
      <c r="AJ6" s="77"/>
      <c r="AK6" s="78">
        <v>2E-3</v>
      </c>
      <c r="AL6" s="79">
        <v>1E-3</v>
      </c>
      <c r="AM6" s="80">
        <v>5.0000000000000001E-3</v>
      </c>
      <c r="AN6" s="1715" t="s">
        <v>3427</v>
      </c>
      <c r="AO6" s="52">
        <f ca="1">SUMIF(INDIRECT("'"&amp;AN6&amp;"'"&amp;"!A:A"),"总价",INDIRECT("'"&amp;AN6&amp;"'"&amp;"!B:B"))</f>
        <v>128954</v>
      </c>
      <c r="AP6" s="1716">
        <f>IF(C6="住宅",K6*L6,0)</f>
        <v>0</v>
      </c>
      <c r="AQ6" s="52">
        <f>ROUND($L$14*$N$14*S6/10000,0)</f>
        <v>19035</v>
      </c>
      <c r="AR6" s="52">
        <f>ROUND($L$14*(1-$N$14)*S6/10000,0)</f>
        <v>2844</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33150.06</v>
      </c>
      <c r="L14" s="82">
        <f>L6</f>
        <v>6600</v>
      </c>
      <c r="M14" s="67">
        <f t="shared" si="0"/>
        <v>21879</v>
      </c>
      <c r="N14" s="83">
        <f>N6</f>
        <v>0.87</v>
      </c>
      <c r="O14" s="67">
        <f t="shared" si="3"/>
        <v>19035</v>
      </c>
      <c r="P14" s="68">
        <f t="shared" si="4"/>
        <v>2844</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0.86099999999999999</v>
      </c>
      <c r="H16" s="90">
        <f>ROUND(SUMPRODUCT(H6:H13,K6:K13)/SUMPRODUCT((H6:H13&gt;0)*(K6:K13)),3)</f>
        <v>0.05</v>
      </c>
      <c r="I16" s="91"/>
      <c r="J16" s="91"/>
      <c r="K16" s="92">
        <f>SUM(K6:K15)</f>
        <v>96349.53</v>
      </c>
      <c r="L16" s="93">
        <f>ROUND(M16*10000/SUM(K6:K14),0)</f>
        <v>6600</v>
      </c>
      <c r="M16" s="93">
        <f>SUM(M6:M14)</f>
        <v>63591</v>
      </c>
      <c r="N16" s="94">
        <f>ROUND(SUMPRODUCT(M6:M14,N6:N14)/M16,3)</f>
        <v>0.87</v>
      </c>
      <c r="O16" s="93">
        <f>SUM(O6:O14)</f>
        <v>55324</v>
      </c>
      <c r="P16" s="93">
        <f>SUM(P6:P14)</f>
        <v>8267</v>
      </c>
      <c r="Q16" s="95">
        <f>ROUND(SUMPRODUCT(Q6:Q13,K6:K13)/SUMPRODUCT((Q6:Q13&gt;0)*(K6:K13)),2)</f>
        <v>0.15</v>
      </c>
      <c r="R16" s="1034">
        <f ca="1">SUM(R6:R13)</f>
        <v>23899.599999999999</v>
      </c>
      <c r="S16" s="96">
        <f>SUM(S6:S13)</f>
        <v>33150.06</v>
      </c>
      <c r="T16" s="97">
        <f>IF(SUMIF(T6:T13,"&lt;9E307")=M14,SUMIF(T6:T13,"&lt;9E307"),"有误，请检查")</f>
        <v>21879</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t="str">
        <f>'[2]数据-基础表'!C13</f>
        <v>3#厂房</v>
      </c>
      <c r="N19" s="2670">
        <f>'数据-基础表'!G13</f>
        <v>20319.36</v>
      </c>
      <c r="O19" s="3469">
        <v>0.99</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3</v>
      </c>
      <c r="C20" s="2799" t="s">
        <v>2300</v>
      </c>
      <c r="D20" s="2675"/>
      <c r="E20" s="2672"/>
      <c r="F20" s="2672"/>
      <c r="G20" s="2672"/>
      <c r="H20" s="2672"/>
      <c r="I20" s="2672"/>
      <c r="J20" s="2672"/>
      <c r="K20" s="2671"/>
      <c r="L20" s="2671"/>
      <c r="M20" s="2670" t="str">
        <f>'[2]数据-基础表'!C14</f>
        <v>4#厂房</v>
      </c>
      <c r="N20" s="2670">
        <f>'数据-基础表'!G14</f>
        <v>20755.060000000001</v>
      </c>
      <c r="O20" s="3469">
        <f>O19</f>
        <v>0.99</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B20*N16</f>
        <v>2.61</v>
      </c>
      <c r="C21" s="2672"/>
      <c r="D21" s="2675"/>
      <c r="E21" s="2672"/>
      <c r="F21" s="2672"/>
      <c r="G21" s="2672"/>
      <c r="H21" s="2672"/>
      <c r="I21" s="2672"/>
      <c r="J21" s="2672"/>
      <c r="K21" s="2671"/>
      <c r="L21" s="2671"/>
      <c r="M21" s="2670" t="str">
        <f>'[2]数据-基础表'!C15</f>
        <v>5#厂房</v>
      </c>
      <c r="N21" s="2670">
        <f>'数据-基础表'!G15</f>
        <v>20471.73</v>
      </c>
      <c r="O21" s="3469">
        <f>O19</f>
        <v>0.99</v>
      </c>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3</v>
      </c>
      <c r="C22" s="2672"/>
      <c r="D22" s="2675"/>
      <c r="E22" s="2672"/>
      <c r="F22" s="2672"/>
      <c r="G22" s="2672"/>
      <c r="H22" s="2672"/>
      <c r="I22" s="2672"/>
      <c r="J22" s="2672"/>
      <c r="K22" s="2671"/>
      <c r="L22" s="2671"/>
      <c r="M22" s="2670" t="str">
        <f>'[2]数据-基础表'!C16</f>
        <v>地下车库及厂房</v>
      </c>
      <c r="N22" s="2670">
        <f>'数据-基础表'!G16</f>
        <v>26806.129999999997</v>
      </c>
      <c r="O22" s="3469">
        <f>O19</f>
        <v>0.99</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2.61</v>
      </c>
      <c r="C23" s="2672"/>
      <c r="D23" s="2675"/>
      <c r="E23" s="2672"/>
      <c r="F23" s="2672"/>
      <c r="G23" s="2672"/>
      <c r="H23" s="2672"/>
      <c r="I23" s="2672"/>
      <c r="J23" s="2672"/>
      <c r="K23" s="2671"/>
      <c r="L23" s="2671"/>
      <c r="M23" s="3470" t="s">
        <v>3450</v>
      </c>
      <c r="N23" s="1681">
        <f>SUM(N19:N22)</f>
        <v>88352.28</v>
      </c>
      <c r="O23" s="3469">
        <f>O19</f>
        <v>0.99</v>
      </c>
      <c r="P23" s="2670">
        <f>O23*N23</f>
        <v>87468.757199999993</v>
      </c>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0.39000000000000012</v>
      </c>
      <c r="C24" s="2672"/>
      <c r="D24" s="2675"/>
      <c r="E24" s="2672"/>
      <c r="F24" s="2672"/>
      <c r="G24" s="2672"/>
      <c r="H24" s="2672"/>
      <c r="I24" s="2672"/>
      <c r="J24" s="2672"/>
      <c r="K24" s="2671"/>
      <c r="L24" s="2671"/>
      <c r="M24" s="2670" t="str">
        <f>'[2]数据-基础表'!C17</f>
        <v>8#面包车间</v>
      </c>
      <c r="N24" s="2670">
        <f>'[2]数据-基础表'!G17</f>
        <v>700.4</v>
      </c>
      <c r="O24" s="3469">
        <v>0</v>
      </c>
      <c r="P24" s="2670">
        <f t="shared" ref="P24:P27" si="12">O24*N24</f>
        <v>0</v>
      </c>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t="str">
        <f>'[2]数据-基础表'!C18</f>
        <v>9#生日蛋糕车间</v>
      </c>
      <c r="N25" s="2670">
        <f>'[2]数据-基础表'!G18</f>
        <v>760.73</v>
      </c>
      <c r="O25" s="3469">
        <f>O24</f>
        <v>0</v>
      </c>
      <c r="P25" s="2670">
        <f t="shared" si="12"/>
        <v>0</v>
      </c>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t="str">
        <f>'[2]数据-基础表'!C19</f>
        <v>12#水处理车间</v>
      </c>
      <c r="N26" s="2670">
        <f>'[2]数据-基础表'!G19</f>
        <v>208.39</v>
      </c>
      <c r="O26" s="3469">
        <f>O24</f>
        <v>0</v>
      </c>
      <c r="P26" s="2670">
        <f t="shared" si="12"/>
        <v>0</v>
      </c>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0"/>
      <c r="F27" s="2660"/>
      <c r="G27" s="2672"/>
      <c r="H27" s="2672"/>
      <c r="I27" s="2672"/>
      <c r="J27" s="2672"/>
      <c r="K27" s="2671"/>
      <c r="L27" s="2671"/>
      <c r="M27" s="2670" t="str">
        <f>'[2]数据-基础表'!C20</f>
        <v>地下车库2段</v>
      </c>
      <c r="N27" s="2670">
        <f>'[2]数据-基础表'!G20</f>
        <v>10538.68</v>
      </c>
      <c r="O27" s="3469">
        <f>O24</f>
        <v>0</v>
      </c>
      <c r="P27" s="2670">
        <f t="shared" si="12"/>
        <v>0</v>
      </c>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f>SUM(N23:N27)</f>
        <v>100560.47999999998</v>
      </c>
      <c r="O28" s="2670">
        <f>P28/N28</f>
        <v>0.86981244719595618</v>
      </c>
      <c r="P28" s="2670">
        <f>SUM(P23:P27)</f>
        <v>87468.757199999993</v>
      </c>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1927</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0.08</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0" t="s">
        <v>2286</v>
      </c>
      <c r="B1" s="3571"/>
      <c r="C1" s="3571"/>
      <c r="D1" s="3571"/>
      <c r="E1" s="3571"/>
      <c r="F1" s="3571"/>
      <c r="G1" s="357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33" sqref="K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96349.52999999997</v>
      </c>
      <c r="C1" s="2685"/>
      <c r="D1" s="2685"/>
      <c r="E1" s="2685"/>
      <c r="F1" s="2685"/>
      <c r="G1" s="2686"/>
      <c r="H1" s="2687"/>
      <c r="I1" s="2687"/>
      <c r="J1" s="2687"/>
      <c r="K1" s="2687"/>
    </row>
    <row r="2" spans="1:11" ht="16.5">
      <c r="A2" s="2511" t="s">
        <v>653</v>
      </c>
      <c r="B2" s="2511">
        <f>SUM(C14:C23)</f>
        <v>23899.599999999999</v>
      </c>
      <c r="C2" s="2685"/>
      <c r="D2" s="2685"/>
      <c r="E2" s="2685"/>
      <c r="F2" s="2685"/>
      <c r="G2" s="2686"/>
      <c r="H2" s="2687"/>
      <c r="I2" s="2687"/>
      <c r="J2" s="2687"/>
      <c r="K2" s="2687"/>
    </row>
    <row r="3" spans="1:11" ht="16.5">
      <c r="A3" s="2511" t="s">
        <v>662</v>
      </c>
      <c r="B3" s="2513">
        <f>项目基本情况!D3</f>
        <v>45818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103048</v>
      </c>
      <c r="C5" s="2511">
        <f ca="1">IF(B5=D14,结果表!H102,ROUND(B5*10000/$B$1,0))</f>
        <v>10695</v>
      </c>
      <c r="D5" s="2511">
        <f ca="1">ROUND(B5*10000/$B$2,0)</f>
        <v>43117</v>
      </c>
      <c r="E5" s="2685"/>
      <c r="F5" s="2686"/>
      <c r="G5" s="2686"/>
      <c r="H5" s="2687"/>
      <c r="I5" s="2687"/>
      <c r="J5" s="2687"/>
      <c r="K5" s="2687"/>
    </row>
    <row r="6" spans="1:11" ht="16.5">
      <c r="A6" s="2511" t="s">
        <v>656</v>
      </c>
      <c r="B6" s="2511">
        <f ca="1">SUM(G14:G23)</f>
        <v>103048</v>
      </c>
      <c r="C6" s="2511">
        <f ca="1">IF(B6=G14,结果表!H108,ROUND(B6*10000/$B$1,0))</f>
        <v>10695</v>
      </c>
      <c r="D6" s="2511">
        <f ca="1">ROUND(B6*10000/$B$2,0)</f>
        <v>43117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96349.52999999997</v>
      </c>
      <c r="C14" s="2517">
        <f>结果表!C118</f>
        <v>23899.599999999999</v>
      </c>
      <c r="D14" s="2517">
        <f ca="1">结果表!H118</f>
        <v>103048</v>
      </c>
      <c r="E14" s="2517">
        <f ca="1">ROUND(D14*10000/B14,0)</f>
        <v>10695</v>
      </c>
      <c r="F14" s="2517">
        <f ca="1">ROUND(D14*10000/C14,0)</f>
        <v>43117</v>
      </c>
      <c r="G14" s="2517">
        <f ca="1">D14</f>
        <v>103048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3445</v>
      </c>
      <c r="D4" s="1756" t="s">
        <v>3446</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5</v>
      </c>
      <c r="D14" s="3609">
        <v>5</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6" t="s">
        <v>2131</v>
      </c>
      <c r="F18" s="3597"/>
      <c r="G18" s="3597"/>
      <c r="H18" s="3597"/>
      <c r="I18" s="3597"/>
      <c r="K18" s="302" t="s">
        <v>1289</v>
      </c>
      <c r="L18" s="302">
        <f>IF(C1="",'数据-汇总表'!E3,SUMIF(项目类型,C1,'数据-汇总表'!E17:E26)+SUMIF(项目类型,C1,'数据-汇总表'!I17:I26))</f>
        <v>96349.52999999997</v>
      </c>
      <c r="M18" s="302">
        <f>IF(C1="",'数据-汇总表'!E3,SUMIF(项目类型,C1,'数据-汇总表'!E17:E26))</f>
        <v>96349.52999999997</v>
      </c>
    </row>
    <row r="19" spans="1:36" ht="15">
      <c r="A19" s="1761" t="s">
        <v>1290</v>
      </c>
      <c r="B19" s="1762" t="s">
        <v>1291</v>
      </c>
      <c r="C19" s="134">
        <f ca="1">SUMIF(INDIRECT("'"&amp;C4&amp;"'"&amp;"!A:A"),结果表!B19,INDIRECT("'"&amp;C4&amp;"'"&amp;"!B:B"))</f>
        <v>102048</v>
      </c>
      <c r="D19" s="135">
        <f ca="1">SUMIF(INDIRECT("'"&amp;D4&amp;"'"&amp;"!A:A"),结果表!B19,INDIRECT("'"&amp;D4&amp;"'"&amp;"!B:B"))</f>
        <v>104048</v>
      </c>
      <c r="E19" s="1761" t="s">
        <v>1292</v>
      </c>
      <c r="F19" s="1762" t="s">
        <v>1291</v>
      </c>
      <c r="G19" s="136">
        <f ca="1">ROUND(C19*$C$18+D19*$D$18,0)</f>
        <v>103048</v>
      </c>
      <c r="H19" s="1763" t="s">
        <v>1293</v>
      </c>
      <c r="I19" s="129"/>
      <c r="K19" s="302" t="s">
        <v>1294</v>
      </c>
      <c r="L19" s="302">
        <f>IF(C1="",'数据-汇总表'!D3,SUMIF(项目类型,C1,'数据-汇总表'!D17:D26)+SUMIF(项目类型,C1,'数据-汇总表'!H17:H27))</f>
        <v>23899.599999999999</v>
      </c>
      <c r="M19" s="302">
        <f>IF(C1="",'数据-汇总表'!D3,SUMIF(项目类型,C1,'数据-汇总表'!D17:D26))</f>
        <v>23899.599999999999</v>
      </c>
    </row>
    <row r="20" spans="1:36" ht="15">
      <c r="A20" s="1764"/>
      <c r="B20" s="1026" t="s">
        <v>1295</v>
      </c>
      <c r="C20" s="137">
        <f ca="1">SUMIF(INDIRECT("'"&amp;C4&amp;"'"&amp;"!A:A"),结果表!B20,INDIRECT("'"&amp;C4&amp;"'"&amp;"!B:B"))</f>
        <v>10591</v>
      </c>
      <c r="D20" s="138">
        <f ca="1">SUMIF(INDIRECT("'"&amp;D4&amp;"'"&amp;"!A:A"),结果表!B20,INDIRECT("'"&amp;D4&amp;"'"&amp;"!B:B"))</f>
        <v>10799</v>
      </c>
      <c r="E20" s="1764"/>
      <c r="F20" s="1026" t="s">
        <v>1295</v>
      </c>
      <c r="G20" s="139">
        <f ca="1">ROUND(C20*$C$18+D20*$D$18,0)</f>
        <v>10695</v>
      </c>
      <c r="H20" s="808" t="s">
        <v>1296</v>
      </c>
      <c r="I20" s="129"/>
    </row>
    <row r="21" spans="1:36" ht="15" customHeight="1" thickBot="1">
      <c r="A21" s="828"/>
      <c r="B21" s="1765" t="s">
        <v>1297</v>
      </c>
      <c r="C21" s="719">
        <f ca="1">ROUND(C19*10000/L19,0)</f>
        <v>42699</v>
      </c>
      <c r="D21" s="720">
        <f ca="1">ROUND(D19*10000/L19,0)</f>
        <v>43535</v>
      </c>
      <c r="E21" s="828"/>
      <c r="F21" s="1765" t="s">
        <v>1297</v>
      </c>
      <c r="G21" s="140">
        <f ca="1">ROUND(G19*10000/L19,0)</f>
        <v>43117</v>
      </c>
      <c r="H21" s="1766" t="s">
        <v>1296</v>
      </c>
      <c r="I21" s="129"/>
    </row>
    <row r="22" spans="1:36" ht="15" thickBot="1">
      <c r="A22" s="1688" t="s">
        <v>1298</v>
      </c>
      <c r="B22" s="1767"/>
      <c r="C22" s="1768"/>
      <c r="D22" s="721">
        <f ca="1">IF(C19&lt;D19,D19/C19-1,C19/D19-1)</f>
        <v>1.9598620257133881E-2</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103048</v>
      </c>
      <c r="D32" s="1775" t="s">
        <v>3447</v>
      </c>
      <c r="E32" s="129"/>
      <c r="F32" s="129"/>
      <c r="G32" s="129"/>
      <c r="H32" s="129"/>
      <c r="I32" s="129"/>
    </row>
    <row r="33" spans="1:15" ht="15">
      <c r="A33" s="786" t="s">
        <v>1306</v>
      </c>
      <c r="B33" s="1776"/>
      <c r="C33" s="1777" t="s">
        <v>3448</v>
      </c>
      <c r="D33" s="1778" t="s">
        <v>3445</v>
      </c>
      <c r="E33" s="1779" t="s">
        <v>1307</v>
      </c>
      <c r="F33" s="1780" t="str">
        <f>IF(D32="楼面单价","取值（单价）","取值（总价）")</f>
        <v>取值（总价）</v>
      </c>
      <c r="G33" s="129"/>
      <c r="H33" s="129"/>
      <c r="I33" s="129"/>
    </row>
    <row r="34" spans="1:15" ht="15">
      <c r="A34" s="1781"/>
      <c r="B34" s="1782" t="s">
        <v>1308</v>
      </c>
      <c r="C34" s="148">
        <f ca="1">IF(C33="自定义",F34,C32-C35)</f>
        <v>17518</v>
      </c>
      <c r="D34" s="861">
        <f ca="1">IF(C33="自定义",ROUND(C34/C32,3),IF(C33="收益比率",SUMIF(INDIRECT("'"&amp;D33&amp;"'"&amp;"!b:b"),"土地收益比率",INDIRECT("'"&amp;D33&amp;"'"&amp;"!c:c")),SUMIF(INDIRECT("'"&amp;D33&amp;"'"&amp;"!b:b"),"土地成本比率",INDIRECT("'"&amp;D33&amp;"'"&amp;"!c:c"))))</f>
        <v>0.17000000000000004</v>
      </c>
      <c r="E34" s="1783" t="s">
        <v>1309</v>
      </c>
      <c r="F34" s="1330"/>
      <c r="G34" s="129"/>
      <c r="H34" s="129"/>
      <c r="I34" s="129"/>
    </row>
    <row r="35" spans="1:15" ht="15.75" thickBot="1">
      <c r="A35" s="1784"/>
      <c r="B35" s="1785" t="s">
        <v>1310</v>
      </c>
      <c r="C35" s="1170">
        <f ca="1">IF(C33="自定义",F35,ROUND(C32*D35,0))</f>
        <v>85530</v>
      </c>
      <c r="D35" s="1171">
        <f ca="1">IF(C33="自定义",ROUND(C35/C32,3),IF(C33="收益比率",SUMIF(INDIRECT("'"&amp;D33&amp;"'"&amp;"!b:b"),"建筑物收益比率",INDIRECT("'"&amp;D33&amp;"'"&amp;"!c:c")),SUMIF(INDIRECT("'"&amp;D33&amp;"'"&amp;"!b:b"),"建筑物成本比率",INDIRECT("'"&amp;D33&amp;"'"&amp;"!c:c"))))</f>
        <v>0.83</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103048</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2">
        <v>1</v>
      </c>
      <c r="K46" s="3636" t="s">
        <v>1331</v>
      </c>
      <c r="L46" s="3636"/>
      <c r="M46" s="3656"/>
      <c r="N46" s="3656"/>
      <c r="O46" s="3656"/>
    </row>
    <row r="47" spans="1:15" ht="12" customHeight="1">
      <c r="A47" s="160" t="s">
        <v>1332</v>
      </c>
      <c r="B47" s="161"/>
      <c r="C47" s="162"/>
      <c r="D47" s="1087" t="s">
        <v>1333</v>
      </c>
      <c r="E47" s="302" t="s">
        <v>1334</v>
      </c>
      <c r="F47" s="163" t="s">
        <v>1335</v>
      </c>
      <c r="G47" s="2545" t="s">
        <v>1336</v>
      </c>
      <c r="H47" s="2546"/>
      <c r="I47" s="159"/>
      <c r="J47" s="2522">
        <v>2</v>
      </c>
      <c r="K47" s="3636" t="s">
        <v>1337</v>
      </c>
      <c r="L47" s="3636"/>
      <c r="M47" s="3657">
        <f>'数据-取费表'!B2</f>
        <v>45818</v>
      </c>
      <c r="N47" s="3657"/>
      <c r="O47" s="3657"/>
    </row>
    <row r="48" spans="1:15" ht="25.5">
      <c r="A48" s="3605" t="s">
        <v>1338</v>
      </c>
      <c r="B48" s="3588"/>
      <c r="C48" s="358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636" t="s">
        <v>1340</v>
      </c>
      <c r="L48" s="3636"/>
      <c r="M48" s="3658">
        <f ca="1">H101</f>
        <v>103048</v>
      </c>
      <c r="N48" s="3658"/>
      <c r="O48" s="3658"/>
    </row>
    <row r="49" spans="1:35" ht="25.5" customHeight="1">
      <c r="A49" s="2332" t="s">
        <v>1341</v>
      </c>
      <c r="B49" s="3572" t="s">
        <v>1342</v>
      </c>
      <c r="C49" s="3572"/>
      <c r="D49" s="1590">
        <v>0</v>
      </c>
      <c r="E49" s="324" t="s">
        <v>1343</v>
      </c>
      <c r="F49" s="2423" t="s">
        <v>28</v>
      </c>
      <c r="G49" s="3642"/>
      <c r="H49" s="2309" t="s">
        <v>2134</v>
      </c>
      <c r="I49" s="2310"/>
      <c r="J49" s="2522">
        <v>4</v>
      </c>
      <c r="K49" s="3636" t="str">
        <f>IF(项目基本情况!E8="房地产抵押价值","房地产抵押价值","抵押担保权已注销时的房地产抵押价值")</f>
        <v>房地产抵押价值</v>
      </c>
      <c r="L49" s="3636"/>
      <c r="M49" s="3658">
        <f ca="1">IF(项目基本情况!E8="房地产抵押价值",H107,H109)</f>
        <v>103048</v>
      </c>
      <c r="N49" s="3658"/>
      <c r="O49" s="3658"/>
    </row>
    <row r="50" spans="1:35" ht="25.5" customHeight="1">
      <c r="A50" s="2550"/>
      <c r="B50" s="3572" t="s">
        <v>1344</v>
      </c>
      <c r="C50" s="3572"/>
      <c r="D50" s="2551"/>
      <c r="E50" s="332"/>
      <c r="F50" s="2423"/>
      <c r="G50" s="3643"/>
      <c r="H50" s="2311" t="s">
        <v>2135</v>
      </c>
      <c r="I50" s="2310"/>
      <c r="J50" s="3655" t="s">
        <v>1345</v>
      </c>
      <c r="K50" s="3655"/>
      <c r="L50" s="3655"/>
      <c r="M50" s="3655"/>
      <c r="N50" s="3655"/>
      <c r="O50" s="3655"/>
    </row>
    <row r="51" spans="1:35" ht="20.45" customHeight="1">
      <c r="A51" s="2552"/>
      <c r="B51" s="3572" t="s">
        <v>1346</v>
      </c>
      <c r="C51" s="3572"/>
      <c r="D51" s="1087"/>
      <c r="E51" s="327"/>
      <c r="F51" s="2423"/>
      <c r="G51" s="3644"/>
      <c r="H51" s="2311" t="s">
        <v>2136</v>
      </c>
      <c r="I51" s="2310"/>
      <c r="J51" s="2523" t="s">
        <v>1347</v>
      </c>
      <c r="K51" s="3636" t="s">
        <v>1348</v>
      </c>
      <c r="L51" s="3636"/>
      <c r="M51" s="2523" t="s">
        <v>1349</v>
      </c>
      <c r="N51" s="2523" t="s">
        <v>1350</v>
      </c>
      <c r="O51" s="2523" t="s">
        <v>1351</v>
      </c>
    </row>
    <row r="52" spans="1:35" ht="24" customHeight="1">
      <c r="A52" s="2334" t="s">
        <v>1352</v>
      </c>
      <c r="B52" s="3572" t="s">
        <v>1353</v>
      </c>
      <c r="C52" s="3572"/>
      <c r="D52" s="1087">
        <f ca="1">ROUND(D45*'数据-取费表'!B41/(1+'数据-取费表'!C42),0)</f>
        <v>5398</v>
      </c>
      <c r="E52" s="2333" t="s">
        <v>1354</v>
      </c>
      <c r="F52" s="2553">
        <f>'数据-取费表'!B41</f>
        <v>5.5000000000000007E-2</v>
      </c>
      <c r="G52" s="2554"/>
      <c r="H52" s="2543"/>
      <c r="I52" s="1807"/>
      <c r="J52" s="2522">
        <v>1</v>
      </c>
      <c r="K52" s="3637" t="s">
        <v>1355</v>
      </c>
      <c r="L52" s="3637"/>
      <c r="M52" s="2524" t="b">
        <f>D48</f>
        <v>0</v>
      </c>
      <c r="N52" s="2522" t="str">
        <f>E48</f>
        <v>销售额×税（费）率</v>
      </c>
      <c r="O52" s="2525">
        <f>F48</f>
        <v>5.5000000000000007E-2</v>
      </c>
    </row>
    <row r="53" spans="1:35" ht="12" customHeight="1">
      <c r="A53" s="2334" t="s">
        <v>1356</v>
      </c>
      <c r="B53" s="3598" t="s">
        <v>2291</v>
      </c>
      <c r="C53" s="3599"/>
      <c r="D53" s="1087">
        <f ca="1">ROUND(D45*'数据-取费表'!B41/(1+'数据-取费表'!C42),0)</f>
        <v>5398</v>
      </c>
      <c r="E53" s="2333" t="s">
        <v>1354</v>
      </c>
      <c r="F53" s="2553">
        <f>'数据-取费表'!B41</f>
        <v>5.5000000000000007E-2</v>
      </c>
      <c r="G53" s="2554"/>
      <c r="H53" s="2543"/>
      <c r="I53" s="1807"/>
      <c r="J53" s="2522">
        <v>2</v>
      </c>
      <c r="K53" s="3637" t="s">
        <v>1357</v>
      </c>
      <c r="L53" s="3637"/>
      <c r="M53" s="2524">
        <f t="shared" ref="M53:O54" ca="1" si="0">D55</f>
        <v>52</v>
      </c>
      <c r="N53" s="2522" t="str">
        <f t="shared" si="0"/>
        <v>销售额×税（费）率</v>
      </c>
      <c r="O53" s="2525" t="str">
        <f t="shared" si="0"/>
        <v>免征</v>
      </c>
    </row>
    <row r="54" spans="1:35" ht="12" customHeight="1">
      <c r="A54" s="2334" t="s">
        <v>1358</v>
      </c>
      <c r="B54" s="3598" t="s">
        <v>2292</v>
      </c>
      <c r="C54" s="3599"/>
      <c r="D54" s="1087">
        <f ca="1">C68</f>
        <v>5398</v>
      </c>
      <c r="E54" s="327" t="s">
        <v>1359</v>
      </c>
      <c r="F54" s="2553">
        <f>'数据-取费表'!B41</f>
        <v>5.5000000000000007E-2</v>
      </c>
      <c r="G54" s="2554"/>
      <c r="H54" s="2555"/>
      <c r="I54" s="1807"/>
      <c r="J54" s="2522">
        <v>3</v>
      </c>
      <c r="K54" s="3637" t="s">
        <v>1360</v>
      </c>
      <c r="L54" s="3637"/>
      <c r="M54" s="2524">
        <f t="shared" ca="1" si="0"/>
        <v>58418</v>
      </c>
      <c r="N54" s="2522" t="str">
        <f t="shared" si="0"/>
        <v>增值额×税（费）率</v>
      </c>
      <c r="O54" s="2526" t="str">
        <f t="shared" si="0"/>
        <v>免征</v>
      </c>
    </row>
    <row r="55" spans="1:35" ht="24" customHeight="1">
      <c r="A55" s="3587" t="s">
        <v>1361</v>
      </c>
      <c r="B55" s="3588"/>
      <c r="C55" s="3588"/>
      <c r="D55" s="2323">
        <f ca="1">IF(H55="个人住宅",0,ROUND(D45*I55,0))</f>
        <v>52</v>
      </c>
      <c r="E55" s="2333" t="s">
        <v>1362</v>
      </c>
      <c r="F55" s="2553" t="str">
        <f>IF(H55="正常",I55,"免征")</f>
        <v>免征</v>
      </c>
      <c r="G55" s="2554"/>
      <c r="H55" s="2549"/>
      <c r="I55" s="165">
        <f>'数据-取费表'!B49</f>
        <v>5.0000000000000001E-4</v>
      </c>
      <c r="J55" s="2522">
        <f>IF(H59="非个人房产","",4)</f>
        <v>4</v>
      </c>
      <c r="K55" s="3637" t="str">
        <f>IF(H59="非个人房产","——","个人所得税")</f>
        <v>个人所得税</v>
      </c>
      <c r="L55" s="3637"/>
      <c r="M55" s="2527">
        <f ca="1">D59</f>
        <v>981</v>
      </c>
      <c r="N55" s="2039" t="str">
        <f>E59</f>
        <v>差额计税</v>
      </c>
      <c r="O55" s="2528">
        <f>F59</f>
        <v>0.01</v>
      </c>
    </row>
    <row r="56" spans="1:35" ht="24.75">
      <c r="A56" s="3587" t="s">
        <v>1363</v>
      </c>
      <c r="B56" s="3588"/>
      <c r="C56" s="3588"/>
      <c r="D56" s="2323">
        <f ca="1">IF(H56="个人住宅",D57,D58)</f>
        <v>58418</v>
      </c>
      <c r="E56" s="2333" t="s">
        <v>1364</v>
      </c>
      <c r="F56" s="2553" t="str">
        <f>IF(H56="正常",F58,"免征")</f>
        <v>免征</v>
      </c>
      <c r="G56" s="2556" t="s">
        <v>1365</v>
      </c>
      <c r="H56" s="2557"/>
      <c r="I56" s="1808"/>
      <c r="J56" s="2522" t="str">
        <f>IF(项目基本情况!K6="上海银行",IF(J55="",4,J55+1),"")</f>
        <v/>
      </c>
      <c r="K56" s="3660" t="str">
        <f>IF(项目基本情况!K6="上海银行","其他处置费用","")</f>
        <v/>
      </c>
      <c r="L56" s="3661"/>
      <c r="M56" s="2524" t="str">
        <f>IF(项目基本情况!K6="上海银行",M69,"")</f>
        <v/>
      </c>
      <c r="N56" s="3660" t="str">
        <f>IF(项目基本情况!K6="上海银行","包含处置中涉及的律师、诉讼、拍卖、评估等费用","")</f>
        <v/>
      </c>
      <c r="O56" s="3663"/>
    </row>
    <row r="57" spans="1:35" ht="12.75">
      <c r="A57" s="2334" t="s">
        <v>1341</v>
      </c>
      <c r="B57" s="3598" t="s">
        <v>1366</v>
      </c>
      <c r="C57" s="3599"/>
      <c r="D57" s="1590">
        <v>0</v>
      </c>
      <c r="E57" s="324" t="s">
        <v>1343</v>
      </c>
      <c r="F57" s="302"/>
      <c r="G57" s="2554"/>
      <c r="H57" s="2558"/>
      <c r="I57" s="1808"/>
      <c r="J57" s="3637">
        <f>IF(AND(J55="",J56=""),4,IF(项目基本情况!K6="上海银行",结果表!J56+1,结果表!J55+1))</f>
        <v>5</v>
      </c>
      <c r="K57" s="3637" t="s">
        <v>1367</v>
      </c>
      <c r="L57" s="2529" t="s">
        <v>1368</v>
      </c>
      <c r="M57" s="2530"/>
      <c r="N57" s="2531">
        <f ca="1">SUMIF(M52:M56,"&lt;9e307")</f>
        <v>59451</v>
      </c>
      <c r="O57" s="2532"/>
      <c r="P57" s="2689">
        <f ca="1">N57/M49</f>
        <v>0.57692531635742561</v>
      </c>
    </row>
    <row r="58" spans="1:35" ht="24.75">
      <c r="A58" s="2334" t="s">
        <v>1352</v>
      </c>
      <c r="B58" s="3598" t="s">
        <v>1369</v>
      </c>
      <c r="C58" s="3572"/>
      <c r="D58" s="2323">
        <f ca="1">IF(H58="转让取得",C81,C97)</f>
        <v>58418</v>
      </c>
      <c r="E58" s="2333" t="s">
        <v>1364</v>
      </c>
      <c r="F58" s="302" t="s">
        <v>28</v>
      </c>
      <c r="G58" s="2554"/>
      <c r="H58" s="2557"/>
      <c r="I58" s="1808"/>
      <c r="J58" s="3637"/>
      <c r="K58" s="3637"/>
      <c r="L58" s="2529" t="s">
        <v>1370</v>
      </c>
      <c r="M58" s="2533"/>
      <c r="N58" s="2534" t="str">
        <f ca="1">NUMBERSTRING(INT(N57*10000),2)&amp;"元整"</f>
        <v>伍亿玖仟肆佰伍拾壹万元整</v>
      </c>
      <c r="O58" s="2535"/>
    </row>
    <row r="59" spans="1:35" ht="24.75" thickBot="1">
      <c r="A59" s="3640" t="s">
        <v>1371</v>
      </c>
      <c r="B59" s="3641"/>
      <c r="C59" s="3641"/>
      <c r="D59" s="2559">
        <f ca="1">IF(H59="非个人房产","——",IF(H59="个人住宅（满五唯一有凭证）",0,IF(H59="个人其他（无凭证）",ROUND(D45*F59,0),ROUND(C67*F59,0))))</f>
        <v>981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8">
        <f>J57+1</f>
        <v>6</v>
      </c>
      <c r="K59" s="3637" t="s">
        <v>1372</v>
      </c>
      <c r="L59" s="2522" t="s">
        <v>1368</v>
      </c>
      <c r="M59" s="2536"/>
      <c r="N59" s="2537">
        <f ca="1">M49-N57</f>
        <v>43597</v>
      </c>
      <c r="O59" s="2538"/>
    </row>
    <row r="60" spans="1:35" ht="12" customHeight="1">
      <c r="A60" s="1809"/>
      <c r="B60" s="1747"/>
      <c r="C60" s="1747"/>
      <c r="D60" s="1747"/>
      <c r="E60" s="1578"/>
      <c r="F60" s="1808"/>
      <c r="G60" s="1808"/>
      <c r="H60" s="1810"/>
      <c r="I60" s="129"/>
      <c r="J60" s="3639"/>
      <c r="K60" s="3637"/>
      <c r="L60" s="2529" t="s">
        <v>1370</v>
      </c>
      <c r="M60" s="2533"/>
      <c r="N60" s="2534" t="str">
        <f ca="1">NUMBERSTRING(INT(N59*10000),2)&amp;"元整"</f>
        <v>肆亿叁仟伍佰玖拾柒万元整</v>
      </c>
      <c r="O60" s="2535"/>
    </row>
    <row r="61" spans="1:35" ht="13.5" thickBot="1">
      <c r="A61" s="3585" t="s">
        <v>1373</v>
      </c>
      <c r="B61" s="3585"/>
      <c r="C61" s="3585"/>
      <c r="D61" s="3585"/>
      <c r="E61" s="3585"/>
      <c r="F61" s="1808"/>
      <c r="G61" s="1808"/>
      <c r="H61" s="1810"/>
      <c r="I61" s="129"/>
      <c r="J61" s="2522">
        <f>J59+1</f>
        <v>7</v>
      </c>
      <c r="K61" s="3637" t="s">
        <v>1374</v>
      </c>
      <c r="L61" s="3637"/>
      <c r="M61" s="2539"/>
      <c r="N61" s="2540">
        <f ca="1">ROUND(N59*10000/'数据-汇总表'!E3,0)</f>
        <v>4525</v>
      </c>
      <c r="O61" s="2541"/>
    </row>
    <row r="62" spans="1:35" ht="12.75">
      <c r="A62" s="3603" t="s">
        <v>1375</v>
      </c>
      <c r="B62" s="3604"/>
      <c r="C62" s="2020"/>
      <c r="D62" s="2020" t="s">
        <v>1376</v>
      </c>
      <c r="E62" s="166" t="s">
        <v>1377</v>
      </c>
      <c r="F62" s="1808"/>
      <c r="G62" s="1808"/>
      <c r="H62" s="1810"/>
      <c r="I62" s="129"/>
    </row>
    <row r="63" spans="1:35" ht="12.75">
      <c r="A63" s="173" t="s">
        <v>330</v>
      </c>
      <c r="B63" s="167" t="s">
        <v>1378</v>
      </c>
      <c r="C63" s="2563">
        <f ca="1">ROUND((C64+C65)/(1+'数据-取费表'!C42),0)</f>
        <v>98141</v>
      </c>
      <c r="D63" s="167"/>
      <c r="E63" s="168"/>
      <c r="F63" s="1808"/>
      <c r="G63" s="1808"/>
      <c r="H63" s="1810"/>
      <c r="I63" s="129"/>
      <c r="J63" s="3662" t="s">
        <v>1379</v>
      </c>
      <c r="K63" s="1332" t="s">
        <v>1380</v>
      </c>
      <c r="L63" s="1332">
        <f ca="1">IF(M49&gt;10000,M49*0.5%,IF(AND(M49&gt;1000,M49&lt;=10000),M49*1%,IF(AND(M49&gt;100,M49&lt;=1000),M49*3%,IF(AND(M49&gt;10,M49&lt;=100),M49*5%,M49*8%))))</f>
        <v>515.24</v>
      </c>
      <c r="M63" s="302">
        <f ca="1">ROUND(L63,1)</f>
        <v>515.20000000000005</v>
      </c>
      <c r="N63" s="2542"/>
      <c r="Z63" s="1752"/>
      <c r="AI63" s="1753"/>
    </row>
    <row r="64" spans="1:35" ht="14.25" customHeight="1">
      <c r="A64" s="169" t="s">
        <v>325</v>
      </c>
      <c r="B64" s="170" t="s">
        <v>1381</v>
      </c>
      <c r="C64" s="2564">
        <f ca="1">D45</f>
        <v>103048</v>
      </c>
      <c r="D64" s="170" t="s">
        <v>26</v>
      </c>
      <c r="E64" s="172"/>
      <c r="F64" s="1808"/>
      <c r="G64" s="1808"/>
      <c r="H64" s="1810"/>
      <c r="I64" s="129"/>
      <c r="J64" s="3662"/>
      <c r="K64" s="1332" t="s">
        <v>1382</v>
      </c>
      <c r="L64" s="1332">
        <f ca="1">IF(M49&gt;2000,M49*0.5%,IF(AND(M49&gt;1000,M49&lt;=2000),M49*0.6%,IF(AND(M49&gt;500,M49&lt;=1000),M49*0.7%,IF(AND(M49&gt;200,M49&lt;=500),M49*0.8%,IF(AND(M49&gt;100,M49&lt;=200),M49*0.9%,IF(AND(M49&gt;50,M49&lt;=100),M49*1%,IF(AND(M49&gt;20,M49&lt;=50),M49*1.5%,IF(AND(M49&gt;10,M49&lt;=20),M49*2%,IF(AND(M49&gt;1,M49&lt;=10),M49*2.5%)))))))))</f>
        <v>515.24</v>
      </c>
      <c r="M64" s="302">
        <f t="shared" ref="M64:M65" ca="1" si="1">ROUND(L64,1)</f>
        <v>515.20000000000005</v>
      </c>
      <c r="N64" s="2543" t="s">
        <v>1383</v>
      </c>
      <c r="Z64" s="1752"/>
      <c r="AI64" s="1753"/>
    </row>
    <row r="65" spans="1:35" ht="14.25" customHeight="1">
      <c r="A65" s="169" t="s">
        <v>326</v>
      </c>
      <c r="B65" s="170" t="s">
        <v>1384</v>
      </c>
      <c r="C65" s="2565"/>
      <c r="D65" s="170"/>
      <c r="E65" s="172"/>
      <c r="F65" s="1808"/>
      <c r="G65" s="1808"/>
      <c r="H65" s="1810"/>
      <c r="I65" s="129"/>
      <c r="J65" s="3662"/>
      <c r="K65" s="1332" t="s">
        <v>1385</v>
      </c>
      <c r="L65" s="1332">
        <f ca="1">IF(M49&gt;1000,M49*0.1%,IF(AND(M49&gt;500,M49&lt;=1000),M49*0.5%,IF(AND(M49&gt;50,M49&lt;=500),M49*1%,IF(AND(M49&gt;1,M49&lt;=50),M49*1.5%))))</f>
        <v>103.048</v>
      </c>
      <c r="M65" s="302">
        <f t="shared" ca="1" si="1"/>
        <v>103</v>
      </c>
      <c r="N65" s="2543" t="s">
        <v>1383</v>
      </c>
      <c r="Z65" s="1752"/>
      <c r="AI65" s="1753"/>
    </row>
    <row r="66" spans="1:35" ht="14.25" customHeight="1">
      <c r="A66" s="173" t="s">
        <v>327</v>
      </c>
      <c r="B66" s="174" t="s">
        <v>1386</v>
      </c>
      <c r="C66" s="2566"/>
      <c r="D66" s="174" t="s">
        <v>26</v>
      </c>
      <c r="E66" s="1338" t="s">
        <v>671</v>
      </c>
      <c r="F66" s="1808"/>
      <c r="G66" s="1808"/>
      <c r="H66" s="1810"/>
      <c r="I66" s="129"/>
      <c r="J66" s="3662"/>
      <c r="K66" s="1332" t="s">
        <v>1387</v>
      </c>
      <c r="L66" s="1332">
        <f ca="1">M49*0.5%</f>
        <v>515.24</v>
      </c>
      <c r="M66" s="302">
        <f ca="1">IF(L66&gt;0.5,0.5,ROUND(L66,0))</f>
        <v>0.5</v>
      </c>
      <c r="N66" s="2543" t="s">
        <v>1388</v>
      </c>
      <c r="Z66" s="1752"/>
      <c r="AI66" s="1753"/>
    </row>
    <row r="67" spans="1:35" ht="14.25" customHeight="1">
      <c r="A67" s="173" t="s">
        <v>328</v>
      </c>
      <c r="B67" s="174" t="s">
        <v>1389</v>
      </c>
      <c r="C67" s="2567">
        <f ca="1">C63-C66</f>
        <v>98141</v>
      </c>
      <c r="D67" s="170" t="s">
        <v>26</v>
      </c>
      <c r="E67" s="172"/>
      <c r="F67" s="1808"/>
      <c r="G67" s="1808"/>
      <c r="H67" s="1810"/>
      <c r="I67" s="129"/>
      <c r="J67" s="3662"/>
      <c r="K67" s="1332" t="s">
        <v>1390</v>
      </c>
      <c r="L67" s="1332">
        <f ca="1">IF(M49&gt;=10000,(8.25+(M49-10000)*0.01%),IF(AND(M49&gt;=8000,M49&lt;10000),(7.85+(M49-8000)*0.02%),IF(AND(M49&gt;=5000,M49&lt;8000),(6.65+(M49-5000)*0.04%),IF(AND(M49&gt;=2000,M49&lt;5000),(4.25+(PM49-2000)*0.08%),IF(AND(M49&gt;=1000,M49&lt;2000),(2.75+(M49-1000)*0.15%),IF(AND(M49&gt;=100,M49&lt;1000),(0.5+(M49-100)*0.25%),IF(AND(M49&gt;0,M49&lt;100),M49*0.5%)))))))</f>
        <v>17.5548</v>
      </c>
      <c r="M67" s="302">
        <f ca="1">ROUND(L67*0.9,1)</f>
        <v>15.8</v>
      </c>
      <c r="N67" s="2542"/>
      <c r="Z67" s="1752"/>
      <c r="AI67" s="1753"/>
    </row>
    <row r="68" spans="1:35" ht="14.25" customHeight="1" thickBot="1">
      <c r="A68" s="176" t="s">
        <v>329</v>
      </c>
      <c r="B68" s="177" t="s">
        <v>1391</v>
      </c>
      <c r="C68" s="2568">
        <f ca="1">IF(C67&lt;=0,0,ROUND(C67*D68,0))</f>
        <v>5398</v>
      </c>
      <c r="D68" s="2569">
        <f>'数据-取费表'!B41</f>
        <v>5.5000000000000007E-2</v>
      </c>
      <c r="E68" s="178"/>
      <c r="F68" s="1808"/>
      <c r="G68" s="1808"/>
      <c r="H68" s="1810"/>
      <c r="I68" s="129"/>
      <c r="J68" s="3662"/>
      <c r="K68" s="1332" t="s">
        <v>1392</v>
      </c>
      <c r="L68" s="1332">
        <f ca="1">IF(M49&gt;10000,M49*0.5%,IF(AND(M49&gt;5000,M49&lt;=10000),M49*1%,IF(AND(M49&gt;1000,M49&lt;=5000),M49*2%,IF(AND(M49&gt;200,M49&lt;=1000),M49*3%,M49*5%))))</f>
        <v>515.24</v>
      </c>
      <c r="M68" s="302">
        <f ca="1">ROUND(L68,1)</f>
        <v>515.20000000000005</v>
      </c>
      <c r="N68" s="2542"/>
      <c r="Z68" s="1752"/>
      <c r="AI68" s="1753"/>
    </row>
    <row r="69" spans="1:35" s="1772" customFormat="1" ht="16.5" customHeight="1">
      <c r="A69" s="1811"/>
      <c r="B69" s="1812"/>
      <c r="C69" s="1813"/>
      <c r="D69" s="1814"/>
      <c r="E69" s="1815"/>
      <c r="F69" s="1578"/>
      <c r="G69" s="1578"/>
      <c r="H69" s="1577"/>
      <c r="I69" s="1747"/>
      <c r="J69" s="3662"/>
      <c r="K69" s="1332" t="s">
        <v>1393</v>
      </c>
      <c r="L69" s="1332"/>
      <c r="M69" s="302">
        <f ca="1">ROUND(SUM(M63:M68),0)</f>
        <v>1665</v>
      </c>
      <c r="N69" s="2544">
        <f ca="1">M69/M49</f>
        <v>1.615751882617809E-2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98141</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491</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491</v>
      </c>
      <c r="D78" s="2576">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97650</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198.87983706720976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58418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98141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491</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64" t="s">
        <v>2129</v>
      </c>
      <c r="H90" s="366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9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491</v>
      </c>
      <c r="D93" s="2576">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97650</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198.87983706720976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58418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4" t="str">
        <f>C4</f>
        <v>成本法</v>
      </c>
      <c r="D101" s="2585" t="str">
        <f>D4</f>
        <v>假设开发法</v>
      </c>
      <c r="E101" s="3659" t="s">
        <v>1431</v>
      </c>
      <c r="F101" s="3616"/>
      <c r="G101" s="1827" t="s">
        <v>1432</v>
      </c>
      <c r="H101" s="2594">
        <f ca="1">H118</f>
        <v>103048</v>
      </c>
      <c r="I101" s="129"/>
    </row>
    <row r="102" spans="1:35" ht="18.75" customHeight="1">
      <c r="A102" s="3618" t="s">
        <v>1433</v>
      </c>
      <c r="B102" s="2583" t="s">
        <v>1432</v>
      </c>
      <c r="C102" s="2584">
        <f ca="1">IF(D32="楼面单价",ROUND(C19,0),C19)</f>
        <v>102048</v>
      </c>
      <c r="D102" s="2585">
        <f ca="1">IF(D32="楼面单价",ROUND(D19,0),D19)</f>
        <v>104048</v>
      </c>
      <c r="E102" s="3659"/>
      <c r="F102" s="3616"/>
      <c r="G102" s="1827" t="s">
        <v>1434</v>
      </c>
      <c r="H102" s="2554">
        <f ca="1">I118</f>
        <v>10695</v>
      </c>
      <c r="I102" s="129"/>
    </row>
    <row r="103" spans="1:35" ht="42.75" customHeight="1">
      <c r="A103" s="3618"/>
      <c r="B103" s="2583" t="s">
        <v>1434</v>
      </c>
      <c r="C103" s="2586">
        <f ca="1">C20</f>
        <v>10591</v>
      </c>
      <c r="D103" s="2587">
        <f ca="1">D20</f>
        <v>10799</v>
      </c>
      <c r="E103" s="3653" t="s">
        <v>1435</v>
      </c>
      <c r="F103" s="3654"/>
      <c r="G103" s="1828" t="s">
        <v>1436</v>
      </c>
      <c r="H103" s="2594">
        <f>IF(D36="正常操作",H104+H105+H106,H105+H106)</f>
        <v>0</v>
      </c>
      <c r="I103" s="129"/>
    </row>
    <row r="104" spans="1:35" ht="18.75" customHeight="1">
      <c r="A104" s="3618" t="s">
        <v>1437</v>
      </c>
      <c r="B104" s="2588" t="s">
        <v>1432</v>
      </c>
      <c r="C104" s="2589">
        <f ca="1">H118</f>
        <v>103048</v>
      </c>
      <c r="D104" s="2590"/>
      <c r="E104" s="1674" t="s">
        <v>1438</v>
      </c>
      <c r="F104" s="1666"/>
      <c r="G104" s="1828" t="s">
        <v>1436</v>
      </c>
      <c r="H104" s="2595">
        <f>IF(D36="同一抵押权人同一抵押物续贷",C36&amp;"（续贷，未扣减，详见特别提示）",C36)</f>
        <v>0</v>
      </c>
      <c r="I104" s="129"/>
    </row>
    <row r="105" spans="1:35" ht="18.75" customHeight="1" thickBot="1">
      <c r="A105" s="3619"/>
      <c r="B105" s="2591" t="s">
        <v>1434</v>
      </c>
      <c r="C105" s="2592">
        <f ca="1">I118</f>
        <v>10695</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5" t="str">
        <f>IF(项目基本情况!E8="已注销","——","3.房地产抵押价值")</f>
        <v>3.房地产抵押价值</v>
      </c>
      <c r="F107" s="3616"/>
      <c r="G107" s="1827" t="s">
        <v>1432</v>
      </c>
      <c r="H107" s="2594">
        <f ca="1">IF(E107="——","——",H101-H103)</f>
        <v>103048</v>
      </c>
      <c r="I107" s="129"/>
    </row>
    <row r="108" spans="1:35" ht="18.75" customHeight="1">
      <c r="A108" s="129"/>
      <c r="B108" s="129"/>
      <c r="C108" s="129"/>
      <c r="D108" s="129"/>
      <c r="E108" s="3615"/>
      <c r="F108" s="3616"/>
      <c r="G108" s="1827" t="s">
        <v>1434</v>
      </c>
      <c r="H108" s="2554">
        <f ca="1">IF(H107=H101,H102,ROUND(H107*10000/'数据-汇总表'!E3,0))</f>
        <v>10695</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7" t="str">
        <f>IF(E109="——","——",H101-H105-H106)</f>
        <v>——</v>
      </c>
      <c r="I109" s="129"/>
    </row>
    <row r="110" spans="1:35" ht="18.75" customHeight="1">
      <c r="A110" s="129"/>
      <c r="B110" s="129"/>
      <c r="C110" s="129"/>
      <c r="D110" s="129"/>
      <c r="E110" s="3615"/>
      <c r="F110" s="3616"/>
      <c r="G110" s="1827" t="s">
        <v>1434</v>
      </c>
      <c r="H110" s="2554"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4" t="str">
        <f>IF(E111="——","——",N59)</f>
        <v>——</v>
      </c>
      <c r="I111" s="129"/>
    </row>
    <row r="112" spans="1:35" ht="18.75" customHeight="1" thickBot="1">
      <c r="A112" s="129"/>
      <c r="B112" s="129"/>
      <c r="C112" s="129"/>
      <c r="D112" s="129"/>
      <c r="E112" s="3648"/>
      <c r="F112" s="3649"/>
      <c r="G112" s="1830" t="s">
        <v>1434</v>
      </c>
      <c r="H112" s="2598"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8" t="s">
        <v>1449</v>
      </c>
      <c r="E117" s="2328" t="s">
        <v>1450</v>
      </c>
      <c r="F117" s="2328" t="s">
        <v>1449</v>
      </c>
      <c r="G117" s="2328" t="s">
        <v>1451</v>
      </c>
      <c r="H117" s="2328" t="s">
        <v>1449</v>
      </c>
      <c r="I117" s="2328" t="s">
        <v>1451</v>
      </c>
    </row>
    <row r="118" spans="1:27" ht="24.75" customHeight="1">
      <c r="A118" s="2599" t="str">
        <f>项目基本情况!S2</f>
        <v>房地产</v>
      </c>
      <c r="B118" s="2328">
        <f>M18</f>
        <v>96349.52999999997</v>
      </c>
      <c r="C118" s="2328">
        <f>M19</f>
        <v>23899.599999999999</v>
      </c>
      <c r="D118" s="2328">
        <f ca="1">ROUND(IF(D32="总价",C34,E118*B118/10000),0)</f>
        <v>17518</v>
      </c>
      <c r="E118" s="2328">
        <f ca="1">ROUND(IF(C33="自定义",IF(D32="楼面单价",C34,D118*10000/B118),I118-G118),0)</f>
        <v>1818</v>
      </c>
      <c r="F118" s="2328">
        <f ca="1">ROUND(IF(D32="总价",C35,G118*B118/10000),0)</f>
        <v>85530</v>
      </c>
      <c r="G118" s="2328">
        <f ca="1">ROUND(IF(D32="楼面单价",C35,F118*10000/B118),0)</f>
        <v>8877</v>
      </c>
      <c r="H118" s="2328">
        <f ca="1">ROUND(IF(D32="总价",C32,I118*B118/10000),0)</f>
        <v>103048</v>
      </c>
      <c r="I118" s="2328">
        <f ca="1">ROUND(IF(D32="楼面单价",C32,H118*10000/B118),0)</f>
        <v>10695</v>
      </c>
    </row>
    <row r="119" spans="1:27" ht="18.75" customHeight="1">
      <c r="A119" s="3586" t="s">
        <v>1452</v>
      </c>
      <c r="B119" s="3586"/>
      <c r="C119" s="3586"/>
      <c r="D119" s="3626" t="str">
        <f ca="1">NUMBERSTRING(INT(D118*10000),2)&amp;"元整"</f>
        <v>壹亿柒仟伍佰壹拾捌万元整</v>
      </c>
      <c r="E119" s="3628"/>
      <c r="F119" s="3626" t="str">
        <f ca="1">NUMBERSTRING(INT(F118*10000),2)&amp;"元整"</f>
        <v>捌亿伍仟伍佰叁拾万元整</v>
      </c>
      <c r="G119" s="3628"/>
      <c r="H119" s="3626" t="str">
        <f ca="1">NUMBERSTRING(INT(H118*10000),2)&amp;"元整"</f>
        <v>壹拾亿叁仟零肆拾捌万元整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103048</v>
      </c>
      <c r="E122" s="3651"/>
      <c r="F122" s="3651"/>
      <c r="G122" s="3651"/>
      <c r="H122" s="3651"/>
      <c r="I122" s="3652"/>
      <c r="AA122" s="725"/>
    </row>
    <row r="123" spans="1:27" ht="18.75" customHeight="1">
      <c r="A123" s="3586" t="s">
        <v>1452</v>
      </c>
      <c r="B123" s="3586"/>
      <c r="C123" s="3586"/>
      <c r="D123" s="3626" t="str">
        <f ca="1">NUMBERSTRING(INT(D122*10000),2)&amp;"元整"</f>
        <v>壹拾亿叁仟零肆拾捌万元整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G42" sqref="G42:G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102048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10591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12673</v>
      </c>
      <c r="D5" s="211" t="s">
        <v>1469</v>
      </c>
      <c r="E5" s="212" t="s">
        <v>1470</v>
      </c>
      <c r="F5" s="212" t="s">
        <v>1471</v>
      </c>
      <c r="G5" s="213"/>
    </row>
    <row r="6" spans="1:9" s="214" customFormat="1" ht="13.5" customHeight="1">
      <c r="A6" s="778" t="s">
        <v>1472</v>
      </c>
      <c r="B6" s="215" t="s">
        <v>1473</v>
      </c>
      <c r="C6" s="216">
        <f>基准地价修正!B2</f>
        <v>10428</v>
      </c>
      <c r="D6" s="217"/>
      <c r="E6" s="218"/>
      <c r="F6" s="218"/>
      <c r="G6" s="219"/>
    </row>
    <row r="7" spans="1:9" s="214" customFormat="1" ht="13.5" customHeight="1">
      <c r="A7" s="778" t="s">
        <v>1474</v>
      </c>
      <c r="B7" s="215" t="s">
        <v>1475</v>
      </c>
      <c r="C7" s="220">
        <f>ROUND(C6*F7,0)</f>
        <v>318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1927</v>
      </c>
      <c r="D8" s="222"/>
      <c r="E8" s="220"/>
      <c r="F8" s="221"/>
      <c r="G8" s="1856" t="s">
        <v>3442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3443</v>
      </c>
      <c r="H9" s="1137"/>
      <c r="I9" s="1858" t="s">
        <v>1479</v>
      </c>
    </row>
    <row r="10" spans="1:9" s="214" customFormat="1" ht="13.5" customHeight="1">
      <c r="A10" s="779" t="s">
        <v>356</v>
      </c>
      <c r="B10" s="224" t="s">
        <v>1480</v>
      </c>
      <c r="C10" s="225">
        <f ca="1">ROUND(D10*E10/10000,0)</f>
        <v>1927</v>
      </c>
      <c r="D10" s="845">
        <f ca="1">IF(B1="",'数据-汇总表'!E6,IF(INDIRECT("'数据-取费表'!c"&amp;$G$1)="住宅",INDIRECT("'数据-取费表'!s"&amp;$G$1),INDIRECT("'数据-取费表'!k"&amp;$G$1)+INDIRECT("'数据-取费表'!s"&amp;$G$1)))</f>
        <v>96349.52999999997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96349.52999999997</v>
      </c>
      <c r="E19" s="211">
        <f>'数据-取费表'!B31</f>
        <v>200</v>
      </c>
      <c r="F19" s="231"/>
      <c r="G19" s="1856" t="s">
        <v>3444</v>
      </c>
    </row>
    <row r="20" spans="1:7" s="214" customFormat="1" ht="13.5" customHeight="1">
      <c r="A20" s="255" t="s">
        <v>1493</v>
      </c>
      <c r="B20" s="210" t="s">
        <v>1494</v>
      </c>
      <c r="C20" s="232">
        <f ca="1">ROUND((C5+C19)*F20,0)</f>
        <v>380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1031</v>
      </c>
      <c r="D22" s="235">
        <f ca="1">C26</f>
        <v>1.1999999999999999E-3</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1016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1703</v>
      </c>
      <c r="D27" s="235">
        <f ca="1">C29</f>
        <v>3.8999999999999998E-3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1703</v>
      </c>
      <c r="D28" s="235"/>
      <c r="E28" s="236"/>
      <c r="F28" s="246"/>
      <c r="G28" s="247"/>
    </row>
    <row r="29" spans="1:7" s="214" customFormat="1" ht="13.5" customHeight="1">
      <c r="A29" s="780" t="s">
        <v>347</v>
      </c>
      <c r="B29" s="248" t="s">
        <v>1517</v>
      </c>
      <c r="C29" s="238">
        <f ca="1">ROUND(C21*F27*'数据-取费表'!B21/'数据-取费表'!B20,4)</f>
        <v>3.8999999999999998E-3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17301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63086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55324</v>
      </c>
      <c r="D34" s="217"/>
      <c r="E34" s="220"/>
      <c r="F34" s="257">
        <f ca="1">IF('数据-取费表'!B24=0,1,IF(B1="",'数据-取费表'!N16,INDIRECT("'数据-取费表'!n"&amp;$G$1)))</f>
        <v>0.87</v>
      </c>
      <c r="G34" s="219" t="s">
        <v>1526</v>
      </c>
    </row>
    <row r="35" spans="1:7" ht="13.5" customHeight="1">
      <c r="A35" s="780" t="s">
        <v>351</v>
      </c>
      <c r="B35" s="215" t="s">
        <v>1527</v>
      </c>
      <c r="C35" s="220">
        <f ca="1">ROUND(C34*F35,0)</f>
        <v>4426</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1676</v>
      </c>
      <c r="D37" s="217">
        <f ca="1">D19</f>
        <v>96349.52999999997</v>
      </c>
      <c r="E37" s="249">
        <f>'数据-取费表'!B35</f>
        <v>200</v>
      </c>
      <c r="F37" s="259"/>
      <c r="G37" s="261" t="s">
        <v>1532</v>
      </c>
    </row>
    <row r="38" spans="1:7" ht="13.5" customHeight="1">
      <c r="A38" s="780" t="s">
        <v>354</v>
      </c>
      <c r="B38" s="215" t="s">
        <v>1533</v>
      </c>
      <c r="C38" s="220">
        <f ca="1">ROUND(C34*F38,0)</f>
        <v>1660</v>
      </c>
      <c r="D38" s="220"/>
      <c r="E38" s="220"/>
      <c r="F38" s="259">
        <f>'数据-取费表'!B36</f>
        <v>0.03</v>
      </c>
      <c r="G38" s="219" t="s">
        <v>1528</v>
      </c>
    </row>
    <row r="39" spans="1:7" s="214" customFormat="1" ht="13.5" customHeight="1">
      <c r="A39" s="255" t="s">
        <v>1534</v>
      </c>
      <c r="B39" s="210" t="s">
        <v>1535</v>
      </c>
      <c r="C39" s="232">
        <f ca="1">ROUND(C33*F20,0)</f>
        <v>1893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2555</v>
      </c>
      <c r="D41" s="235">
        <f ca="1">C44</f>
        <v>1.1999999999999999E-3</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2481</v>
      </c>
      <c r="D42" s="238"/>
      <c r="E42" s="238"/>
      <c r="F42" s="239"/>
      <c r="G42" s="3666" t="s">
        <v>1544</v>
      </c>
    </row>
    <row r="43" spans="1:7" ht="13.5" customHeight="1">
      <c r="A43" s="780" t="s">
        <v>347</v>
      </c>
      <c r="B43" s="215" t="s">
        <v>1545</v>
      </c>
      <c r="C43" s="238">
        <f ca="1">ROUND(IF('数据-取费表'!B22&lt;=1,C39*F22*'数据-取费表'!B21/2,C39*(POWER((1+F22),'数据-取费表'!B21/2)-1)),0)</f>
        <v>74</v>
      </c>
      <c r="D43" s="238"/>
      <c r="E43" s="238"/>
      <c r="F43" s="239"/>
      <c r="G43" s="3667"/>
    </row>
    <row r="44" spans="1:7" ht="13.5" customHeight="1">
      <c r="A44" s="780" t="s">
        <v>348</v>
      </c>
      <c r="B44" s="215" t="s">
        <v>1546</v>
      </c>
      <c r="C44" s="238">
        <f ca="1">ROUND(IF('数据-取费表'!B22&lt;=1,C40*F22*'数据-取费表'!B21/2,C40*(POWER((1+F22),'数据-取费表'!B21/2)-1)),4)</f>
        <v>1.1999999999999999E-3</v>
      </c>
      <c r="D44" s="238"/>
      <c r="E44" s="238"/>
      <c r="F44" s="239"/>
      <c r="G44" s="3668"/>
    </row>
    <row r="45" spans="1:7" s="214" customFormat="1" ht="13.5" customHeight="1">
      <c r="A45" s="255" t="s">
        <v>1547</v>
      </c>
      <c r="B45" s="244" t="s">
        <v>1513</v>
      </c>
      <c r="C45" s="245">
        <f ca="1">C46</f>
        <v>9747</v>
      </c>
      <c r="D45" s="235">
        <f ca="1">C47</f>
        <v>4.4999999999999997E-3</v>
      </c>
      <c r="E45" s="236" t="s">
        <v>1539</v>
      </c>
      <c r="F45" s="246">
        <f ca="1">F27</f>
        <v>0.15</v>
      </c>
      <c r="G45" s="247" t="s">
        <v>1548</v>
      </c>
    </row>
    <row r="46" spans="1:7" s="214" customFormat="1" ht="13.5" customHeight="1">
      <c r="A46" s="780" t="s">
        <v>346</v>
      </c>
      <c r="B46" s="248" t="s">
        <v>1549</v>
      </c>
      <c r="C46" s="249">
        <f ca="1">ROUND((C33+C39)*F27,0)</f>
        <v>9747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84747</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84747</v>
      </c>
      <c r="D51" s="232"/>
      <c r="E51" s="232"/>
      <c r="F51" s="264"/>
      <c r="G51" s="234" t="s">
        <v>1560</v>
      </c>
    </row>
    <row r="52" spans="1:7" s="208" customFormat="1" ht="16.5" thickBot="1">
      <c r="A52" s="265" t="s">
        <v>1561</v>
      </c>
      <c r="B52" s="266"/>
      <c r="C52" s="267">
        <f ca="1">C31+C51</f>
        <v>102048</v>
      </c>
      <c r="D52" s="266"/>
      <c r="E52" s="266"/>
      <c r="F52" s="266"/>
      <c r="G52" s="268"/>
    </row>
    <row r="55" spans="1:7" ht="15">
      <c r="B55" s="270" t="s">
        <v>1562</v>
      </c>
      <c r="C55" s="271"/>
    </row>
    <row r="56" spans="1:7">
      <c r="B56" s="273" t="s">
        <v>802</v>
      </c>
      <c r="C56" s="275">
        <f ca="1">1-C57</f>
        <v>0.17000000000000004</v>
      </c>
    </row>
    <row r="57" spans="1:7">
      <c r="B57" s="273" t="s">
        <v>803</v>
      </c>
      <c r="C57" s="274">
        <f ca="1">ROUND(C51/C52,3)</f>
        <v>0.83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Y67" sqref="Y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103328.87579999999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10724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19269906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19269906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19269906</v>
      </c>
      <c r="D10" s="845">
        <f ca="1">IF(B1="",'数据-汇总表'!E6,IF(INDIRECT("'数据-取费表'!c"&amp;$G$1)="住宅",INDIRECT("'数据-取费表'!s"&amp;$G$1),INDIRECT("'数据-取费表'!k"&amp;$G$1)+INDIRECT("'数据-取费表'!s"&amp;$G$1)))</f>
        <v>96349.52999999997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19269906</v>
      </c>
      <c r="D19" s="849">
        <f ca="1">D9+D10</f>
        <v>96349.52999999997</v>
      </c>
      <c r="E19" s="211">
        <f>'数据-取费表'!B31</f>
        <v>200</v>
      </c>
      <c r="F19" s="231"/>
      <c r="G19" s="1856"/>
    </row>
    <row r="20" spans="1:7" s="214" customFormat="1" ht="13.5" customHeight="1">
      <c r="A20" s="255" t="s">
        <v>1574</v>
      </c>
      <c r="B20" s="210" t="s">
        <v>1575</v>
      </c>
      <c r="C20" s="232">
        <f ca="1">ROUND((C5+C19)*F20,0)</f>
        <v>1156194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3626099</v>
      </c>
      <c r="D22" s="235">
        <f ca="1">C26</f>
        <v>1.4E-3</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1786841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1786841</v>
      </c>
      <c r="D24" s="238"/>
      <c r="E24" s="238"/>
      <c r="F24" s="239"/>
      <c r="G24" s="240" t="s">
        <v>1586</v>
      </c>
    </row>
    <row r="25" spans="1:7" s="214" customFormat="1" ht="24">
      <c r="A25" s="780" t="s">
        <v>1476</v>
      </c>
      <c r="B25" s="215" t="s">
        <v>1587</v>
      </c>
      <c r="C25" s="1128">
        <f ca="1">ROUND(IF('数据-取费表'!B22&lt;=1,C20*F22*'数据-取费表'!B22/2,C20*(POWER((1+F22),'数据-取费表'!B22/2)-1)),0)</f>
        <v>52417</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5954401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5954401</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54049036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725126563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635906898</v>
      </c>
      <c r="D34" s="217"/>
      <c r="E34" s="220"/>
      <c r="F34" s="257"/>
      <c r="G34" s="219"/>
    </row>
    <row r="35" spans="1:7" ht="13.5" customHeight="1">
      <c r="A35" s="780" t="s">
        <v>351</v>
      </c>
      <c r="B35" s="215" t="s">
        <v>1527</v>
      </c>
      <c r="C35" s="220">
        <f ca="1">ROUND(C34*F35,0)</f>
        <v>50872552</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19269906</v>
      </c>
      <c r="D37" s="217">
        <f ca="1">D19</f>
        <v>96349.52999999997</v>
      </c>
      <c r="E37" s="249">
        <f>'数据-取费表'!B35</f>
        <v>200</v>
      </c>
      <c r="F37" s="259"/>
      <c r="G37" s="261"/>
    </row>
    <row r="38" spans="1:7" ht="13.5" customHeight="1">
      <c r="A38" s="780" t="s">
        <v>354</v>
      </c>
      <c r="B38" s="215" t="s">
        <v>1533</v>
      </c>
      <c r="C38" s="220">
        <f ca="1">ROUND(C34*F38,0)</f>
        <v>19077207</v>
      </c>
      <c r="D38" s="220"/>
      <c r="E38" s="220"/>
      <c r="F38" s="259">
        <f>'数据-取费表'!B36</f>
        <v>0.03</v>
      </c>
      <c r="G38" s="219" t="s">
        <v>1528</v>
      </c>
    </row>
    <row r="39" spans="1:7" s="214" customFormat="1" ht="13.5" customHeight="1">
      <c r="A39" s="255" t="s">
        <v>1534</v>
      </c>
      <c r="B39" s="210" t="s">
        <v>1535</v>
      </c>
      <c r="C39" s="232">
        <f ca="1">ROUND(C33*F20,0)</f>
        <v>21753797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33860441</v>
      </c>
      <c r="D41" s="235">
        <f ca="1">C44</f>
        <v>1.4E-3</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32874215</v>
      </c>
      <c r="D42" s="238"/>
      <c r="E42" s="238"/>
      <c r="F42" s="239"/>
      <c r="G42" s="3666" t="s">
        <v>1591</v>
      </c>
    </row>
    <row r="43" spans="1:7" ht="13.5" customHeight="1">
      <c r="A43" s="780" t="s">
        <v>347</v>
      </c>
      <c r="B43" s="215" t="s">
        <v>1545</v>
      </c>
      <c r="C43" s="238">
        <f ca="1">ROUND(IF('数据-取费表'!B22&lt;=1,C39*F22*'数据-取费表'!B20/2,C39*(POWER((1+F22),'数据-取费表'!B20/2)-1)),0)</f>
        <v>986226</v>
      </c>
      <c r="D43" s="238"/>
      <c r="E43" s="238"/>
      <c r="F43" s="239"/>
      <c r="G43" s="3667"/>
    </row>
    <row r="44" spans="1:7" ht="13.5" customHeight="1">
      <c r="A44" s="780" t="s">
        <v>348</v>
      </c>
      <c r="B44" s="215" t="s">
        <v>1546</v>
      </c>
      <c r="C44" s="238">
        <f ca="1">ROUND(IF('数据-取费表'!B22&lt;=1,C40*F22*'数据-取费表'!B20/2,C40*(POWER((1+F22),'数据-取费表'!B20/2)-1)),4)</f>
        <v>1.4E-3</v>
      </c>
      <c r="D44" s="238"/>
      <c r="E44" s="238"/>
      <c r="F44" s="239"/>
      <c r="G44" s="3668"/>
    </row>
    <row r="45" spans="1:7" s="214" customFormat="1" ht="13.5" customHeight="1">
      <c r="A45" s="255" t="s">
        <v>1547</v>
      </c>
      <c r="B45" s="244" t="s">
        <v>1513</v>
      </c>
      <c r="C45" s="245">
        <f ca="1">C46</f>
        <v>112032054</v>
      </c>
      <c r="D45" s="235">
        <f ca="1">C47</f>
        <v>4.4999999999999997E-3</v>
      </c>
      <c r="E45" s="236" t="s">
        <v>1539</v>
      </c>
      <c r="F45" s="246">
        <f ca="1">F27</f>
        <v>0.15</v>
      </c>
      <c r="G45" s="247" t="s">
        <v>1548</v>
      </c>
    </row>
    <row r="46" spans="1:7" s="214" customFormat="1" ht="13.5" customHeight="1">
      <c r="A46" s="780" t="s">
        <v>346</v>
      </c>
      <c r="B46" s="248" t="s">
        <v>1549</v>
      </c>
      <c r="C46" s="249">
        <f ca="1">ROUND((C33+C39)*F27,0)</f>
        <v>112032054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979239722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979239722</v>
      </c>
      <c r="D51" s="232"/>
      <c r="E51" s="232"/>
      <c r="F51" s="264"/>
      <c r="G51" s="234" t="s">
        <v>1560</v>
      </c>
    </row>
    <row r="52" spans="1:7" s="208" customFormat="1" ht="16.5" thickBot="1">
      <c r="A52" s="265" t="s">
        <v>1561</v>
      </c>
      <c r="B52" s="266"/>
      <c r="C52" s="267">
        <f ca="1">C31+C51</f>
        <v>1033288758</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I44" sqref="I44:I4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104048</v>
      </c>
      <c r="C2" s="276" t="s">
        <v>1595</v>
      </c>
      <c r="D2" s="276"/>
      <c r="E2" s="2805"/>
      <c r="F2" s="2805"/>
      <c r="G2" s="2805"/>
      <c r="H2" s="2805"/>
      <c r="I2" s="2805"/>
      <c r="J2" s="2805"/>
      <c r="K2" s="2805"/>
    </row>
    <row r="3" spans="1:33" ht="18" customHeight="1" thickBot="1">
      <c r="A3" s="203" t="s">
        <v>1464</v>
      </c>
      <c r="B3" s="204">
        <f ca="1">ROUND(B2*10000/IF(C1="",'数据-汇总表'!E3,INDIRECT("'数据-取费表'!K"&amp;$K$1)),0)</f>
        <v>10799</v>
      </c>
      <c r="C3" s="276" t="s">
        <v>1596</v>
      </c>
      <c r="D3" s="276"/>
      <c r="E3" s="2805"/>
      <c r="F3" s="2805"/>
      <c r="G3" s="2805"/>
      <c r="H3" s="2805"/>
      <c r="I3" s="2805"/>
      <c r="J3" s="2805"/>
      <c r="K3" s="2805"/>
    </row>
    <row r="4" spans="1:33" s="785" customFormat="1" ht="16.5" customHeight="1">
      <c r="A4" s="782" t="s">
        <v>1597</v>
      </c>
      <c r="B4" s="783"/>
      <c r="C4" s="824">
        <f ca="1">SUM(C8:K8)</f>
        <v>128954</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20404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63199.47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128954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8267</v>
      </c>
      <c r="D11" s="802"/>
      <c r="E11" s="329"/>
      <c r="F11" s="812">
        <f ca="1">1-IF('数据-取费表'!B24=0,1,IF(C1="",'数据-取费表'!N16,INDIRECT("'数据-取费表'!n"&amp;$K$1)))</f>
        <v>0.13</v>
      </c>
      <c r="G11" s="5"/>
      <c r="H11" s="797"/>
      <c r="I11" s="797"/>
      <c r="J11" s="797"/>
      <c r="K11" s="798"/>
    </row>
    <row r="12" spans="1:33" s="803" customFormat="1" ht="13.5" customHeight="1">
      <c r="A12" s="800" t="s">
        <v>636</v>
      </c>
      <c r="B12" s="801" t="s">
        <v>1613</v>
      </c>
      <c r="C12" s="21">
        <f ca="1">ROUND(C11*F12,0)</f>
        <v>661</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251</v>
      </c>
      <c r="D14" s="846">
        <f ca="1">IF(C1="",'数据-汇总表'!E3,INDIRECT("'数据-取费表'!K"&amp;$K$1)+INDIRECT("'数据-取费表'!S"&amp;$K$1))</f>
        <v>96349.52999999997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248</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9427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96349.52999999997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1927</v>
      </c>
      <c r="D20" s="846">
        <f ca="1">IF(C1="",'数据-汇总表'!E6,IF(INDIRECT("'数据-取费表'!c"&amp;$K$1)="住宅",INDIRECT("'数据-取费表'!s"&amp;$K$1),INDIRECT("'数据-取费表'!k"&amp;$K$1)+INDIRECT("'数据-取费表'!s"&amp;$K$1)))</f>
        <v>96349.52999999997</v>
      </c>
      <c r="E20" s="21">
        <f>'数据-取费表'!B28</f>
        <v>200</v>
      </c>
      <c r="F20" s="804"/>
      <c r="G20" s="12"/>
      <c r="H20" s="809"/>
      <c r="I20" s="809"/>
      <c r="J20" s="809"/>
      <c r="K20" s="810"/>
    </row>
    <row r="21" spans="1:33" s="803" customFormat="1" ht="13.5" customHeight="1">
      <c r="A21" s="790" t="s">
        <v>357</v>
      </c>
      <c r="B21" s="813" t="s">
        <v>1628</v>
      </c>
      <c r="C21" s="814">
        <f ca="1">C16+C17+C18</f>
        <v>9427</v>
      </c>
      <c r="D21" s="815"/>
      <c r="E21" s="281"/>
      <c r="F21" s="281"/>
      <c r="G21" s="131" t="s">
        <v>1629</v>
      </c>
      <c r="H21" s="807"/>
      <c r="I21" s="807"/>
      <c r="J21" s="807"/>
      <c r="K21" s="808"/>
    </row>
    <row r="22" spans="1:33" s="803" customFormat="1" ht="13.5" customHeight="1">
      <c r="A22" s="790" t="s">
        <v>1601</v>
      </c>
      <c r="B22" s="813" t="s">
        <v>1630</v>
      </c>
      <c r="C22" s="814">
        <f ca="1">ROUND(C21*F22,0)</f>
        <v>283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503</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59</v>
      </c>
      <c r="D25" s="280">
        <f ca="1">C26</f>
        <v>1.1900000000000001E-2</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1.1900000000000001E-2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59</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1532</v>
      </c>
      <c r="D28" s="280">
        <f ca="1">C29</f>
        <v>2.01E-2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2.01E-2</v>
      </c>
      <c r="D29" s="284"/>
      <c r="E29" s="285"/>
      <c r="F29" s="290"/>
      <c r="G29" s="131" t="s">
        <v>1644</v>
      </c>
      <c r="H29" s="807"/>
      <c r="I29" s="807"/>
      <c r="J29" s="807"/>
      <c r="K29" s="808"/>
    </row>
    <row r="30" spans="1:33" s="291" customFormat="1" ht="13.5" customHeight="1">
      <c r="A30" s="800" t="s">
        <v>359</v>
      </c>
      <c r="B30" s="822" t="s">
        <v>1645</v>
      </c>
      <c r="C30" s="292">
        <f ca="1">ROUND((C21+C22+C23)*F28,0)</f>
        <v>1532</v>
      </c>
      <c r="D30" s="284"/>
      <c r="E30" s="285"/>
      <c r="F30" s="290"/>
      <c r="G30" s="131"/>
      <c r="H30" s="807"/>
      <c r="I30" s="807"/>
      <c r="J30" s="807"/>
      <c r="K30" s="808"/>
    </row>
    <row r="31" spans="1:33" s="803" customFormat="1" ht="13.5" customHeight="1" thickBot="1">
      <c r="A31" s="1866" t="s">
        <v>1646</v>
      </c>
      <c r="B31" s="833" t="s">
        <v>1647</v>
      </c>
      <c r="C31" s="834">
        <f ca="1">ROUND(C4*F31/(1+'数据-取费表'!C42),0)</f>
        <v>6755</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104048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3428</v>
      </c>
      <c r="E1" s="1363" t="s">
        <v>678</v>
      </c>
      <c r="F1" s="1062">
        <f ca="1">J53</f>
        <v>31.169999999999998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128954</v>
      </c>
      <c r="C2" s="1387" t="s">
        <v>805</v>
      </c>
      <c r="D2" s="1387"/>
      <c r="E2" s="1388"/>
      <c r="F2" s="1389"/>
      <c r="G2" s="2705"/>
      <c r="H2" s="2694"/>
      <c r="I2" s="2694"/>
      <c r="J2" s="2694"/>
      <c r="K2" s="2695"/>
      <c r="L2" s="2694"/>
      <c r="M2" s="2694"/>
    </row>
    <row r="3" spans="1:37" ht="18" customHeight="1" thickBot="1">
      <c r="A3" s="1390" t="s">
        <v>806</v>
      </c>
      <c r="B3" s="1391">
        <f ca="1">IF(ISERROR(B2*10000/F43),0,ROUND(B2*10000/F43,0))</f>
        <v>20404</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8731</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8720</v>
      </c>
      <c r="D6" s="155" t="s">
        <v>2109</v>
      </c>
      <c r="E6" s="302" t="s">
        <v>696</v>
      </c>
      <c r="F6" s="303">
        <f ca="1">INDIRECT("'数据-取费表'!u"&amp;$G$1)</f>
        <v>4.2</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63199.47</v>
      </c>
      <c r="G7" s="1384"/>
      <c r="H7" s="304"/>
      <c r="I7" s="3672"/>
      <c r="J7" s="306"/>
      <c r="K7" s="307"/>
      <c r="L7" s="302" t="s">
        <v>697</v>
      </c>
      <c r="M7" s="303">
        <f ca="1">F7</f>
        <v>63199.47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11</v>
      </c>
      <c r="D10" s="1366" t="s">
        <v>2117</v>
      </c>
      <c r="E10" s="313" t="s">
        <v>701</v>
      </c>
      <c r="F10" s="1116" t="s">
        <v>3429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97924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63591</v>
      </c>
      <c r="D14" s="1345" t="s">
        <v>708</v>
      </c>
      <c r="E14" s="1342"/>
      <c r="F14" s="319"/>
      <c r="G14" s="1384"/>
      <c r="H14" s="982" t="s">
        <v>398</v>
      </c>
      <c r="I14" s="302" t="s">
        <v>709</v>
      </c>
      <c r="J14" s="21">
        <f ca="1">C29</f>
        <v>97924</v>
      </c>
      <c r="K14" s="12"/>
      <c r="L14" s="807"/>
      <c r="M14" s="808"/>
    </row>
    <row r="15" spans="1:37" s="1397" customFormat="1" ht="18" customHeight="1" thickBot="1">
      <c r="A15" s="982" t="s">
        <v>399</v>
      </c>
      <c r="B15" s="302" t="s">
        <v>710</v>
      </c>
      <c r="C15" s="21">
        <f ca="1">ROUND(C14*F15,0)</f>
        <v>5087</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199</v>
      </c>
      <c r="K16" s="1087" t="s">
        <v>715</v>
      </c>
      <c r="L16" s="1088"/>
      <c r="M16" s="1072"/>
    </row>
    <row r="17" spans="1:37" s="1397" customFormat="1" ht="18" customHeight="1">
      <c r="A17" s="982" t="s">
        <v>681</v>
      </c>
      <c r="B17" s="302" t="s">
        <v>716</v>
      </c>
      <c r="C17" s="21">
        <f ca="1">ROUND(F17*(F43+INDIRECT("'数据-取费表'!S"&amp;$G$1))/10000,0)</f>
        <v>1927</v>
      </c>
      <c r="D17" s="302" t="s">
        <v>717</v>
      </c>
      <c r="E17" s="302" t="s">
        <v>718</v>
      </c>
      <c r="F17" s="23">
        <f>'数据-取费表'!B35</f>
        <v>200</v>
      </c>
      <c r="G17" s="1396"/>
      <c r="H17" s="982" t="s">
        <v>398</v>
      </c>
      <c r="I17" s="302" t="s">
        <v>719</v>
      </c>
      <c r="J17" s="2315">
        <f ca="1">ROUND(IF(AND(项目基本情况!B11="自然人",项目基本情况!B10="北京市"),J6*M17/(1+'数据-取费表'!C42),J18+J19+J20),2)</f>
        <v>3.58</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1908</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72513</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2175</v>
      </c>
      <c r="D20" s="323" t="s">
        <v>729</v>
      </c>
      <c r="E20" s="302" t="s">
        <v>712</v>
      </c>
      <c r="F20" s="322">
        <f>'数据-取费表'!B37</f>
        <v>0.03</v>
      </c>
      <c r="G20" s="1396"/>
      <c r="H20" s="982" t="s">
        <v>680</v>
      </c>
      <c r="I20" s="155" t="s">
        <v>730</v>
      </c>
      <c r="J20" s="22">
        <f ca="1">ROUND(M20*M21/10000,2)</f>
        <v>3.58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23899.599999999999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195.85</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3386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-199</v>
      </c>
      <c r="K25" s="1095" t="s">
        <v>753</v>
      </c>
      <c r="L25" s="1096"/>
      <c r="M25" s="1097"/>
    </row>
    <row r="26" spans="1:37">
      <c r="A26" s="982" t="s">
        <v>397</v>
      </c>
      <c r="B26" s="302" t="s">
        <v>754</v>
      </c>
      <c r="C26" s="21">
        <f ca="1">ROUND((C19+C20)*F26,0)</f>
        <v>11203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97924</v>
      </c>
      <c r="D29" s="1092"/>
      <c r="E29" s="1090"/>
      <c r="F29" s="1093"/>
      <c r="G29" s="1396"/>
      <c r="H29" s="334" t="s">
        <v>396</v>
      </c>
      <c r="I29" s="335" t="s">
        <v>768</v>
      </c>
      <c r="J29" s="336">
        <f ca="1">ROUND(J26/(1+F40)^F41,0)</f>
        <v>0</v>
      </c>
      <c r="K29" s="337" t="s">
        <v>769</v>
      </c>
      <c r="L29" s="338"/>
      <c r="M29" s="339">
        <f ca="1">INDIRECT("'数据-取费表'!k"&amp;$G$1)</f>
        <v>63199.47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1794</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1456.91</v>
      </c>
      <c r="D31" s="1345" t="s">
        <v>720</v>
      </c>
      <c r="E31" s="1344" t="s">
        <v>770</v>
      </c>
      <c r="F31" s="2314">
        <f ca="1">IF(项目基本情况!B11="企业","——",IF(M47="住宅",IF(F6*F7*F8/12/(1+'数据-取费表'!F30)&gt;100000,4%,2.5%),IF(F6*F7*F8/12/(1+'数据-取费表'!F30)&gt;100000,12%,7%)))</f>
        <v>0.12</v>
      </c>
      <c r="G31" s="1384"/>
      <c r="H31" s="2807" t="s">
        <v>2306</v>
      </c>
      <c r="I31" s="1398"/>
      <c r="J31" s="1399"/>
      <c r="K31" s="2474"/>
      <c r="L31" s="2697"/>
      <c r="M31" s="2698"/>
    </row>
    <row r="32" spans="1:37" ht="18" customHeight="1">
      <c r="A32" s="982" t="s">
        <v>397</v>
      </c>
      <c r="B32" s="302" t="s">
        <v>723</v>
      </c>
      <c r="C32" s="21">
        <f ca="1">IF(项目基本情况!B11="自然人","——",ROUND(C6*F32/(1+'数据-取费表'!C42),2))</f>
        <v>456.76</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996.57</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3.58</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23899.599999999999</v>
      </c>
      <c r="G35" s="1384"/>
      <c r="H35" s="2696"/>
      <c r="I35" s="1398"/>
      <c r="J35" s="1399"/>
      <c r="K35" s="2700"/>
      <c r="L35" s="2699"/>
      <c r="M35" s="2699"/>
    </row>
    <row r="36" spans="1:18" ht="18" customHeight="1">
      <c r="A36" s="1102" t="s">
        <v>402</v>
      </c>
      <c r="B36" s="302" t="s">
        <v>738</v>
      </c>
      <c r="C36" s="21">
        <f ca="1">ROUND(C29*F36,2)</f>
        <v>195.85</v>
      </c>
      <c r="D36" s="1344" t="s">
        <v>771</v>
      </c>
      <c r="E36" s="302" t="s">
        <v>712</v>
      </c>
      <c r="F36" s="328">
        <f ca="1">INDIRECT("'数据-取费表'!Ak"&amp;$G$1)</f>
        <v>2E-3</v>
      </c>
      <c r="G36" s="1384"/>
      <c r="H36" s="2699"/>
      <c r="I36" s="1398"/>
      <c r="J36" s="1399"/>
      <c r="K36" s="2543"/>
      <c r="L36" s="2699"/>
      <c r="M36" s="2699"/>
    </row>
    <row r="37" spans="1:18" ht="18" customHeight="1">
      <c r="A37" s="982" t="s">
        <v>437</v>
      </c>
      <c r="B37" s="302" t="s">
        <v>742</v>
      </c>
      <c r="C37" s="21">
        <f ca="1">ROUND(C13*F37,2)</f>
        <v>97.92</v>
      </c>
      <c r="D37" s="1344" t="s">
        <v>743</v>
      </c>
      <c r="E37" s="302" t="s">
        <v>744</v>
      </c>
      <c r="F37" s="330">
        <f ca="1">INDIRECT("'数据-取费表'!Al"&amp;$G$1)</f>
        <v>1E-3</v>
      </c>
      <c r="G37" s="1384"/>
      <c r="H37" s="2699">
        <f ca="1">C39/C6</f>
        <v>0.79552752293577977</v>
      </c>
      <c r="I37" s="1398"/>
      <c r="J37" s="1399"/>
      <c r="K37" s="2543"/>
      <c r="L37" s="2699"/>
      <c r="M37" s="2699"/>
    </row>
    <row r="38" spans="1:18" ht="18" customHeight="1" thickBot="1">
      <c r="A38" s="1089" t="s">
        <v>684</v>
      </c>
      <c r="B38" s="1090" t="s">
        <v>728</v>
      </c>
      <c r="C38" s="1091">
        <f ca="1">ROUND(C5*F38,2)</f>
        <v>43.66</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6937</v>
      </c>
      <c r="D39" s="1095" t="s">
        <v>773</v>
      </c>
      <c r="E39" s="1096"/>
      <c r="F39" s="1097"/>
      <c r="G39" s="1384"/>
      <c r="H39" s="2699"/>
      <c r="I39" s="1398"/>
      <c r="J39" s="1399"/>
      <c r="K39" s="2703"/>
      <c r="L39" s="2699"/>
      <c r="M39" s="2699"/>
    </row>
    <row r="40" spans="1:18" ht="18" customHeight="1">
      <c r="A40" s="299" t="s">
        <v>395</v>
      </c>
      <c r="B40" s="300" t="s">
        <v>774</v>
      </c>
      <c r="C40" s="301">
        <f ca="1">ROUND(C39*(1-((1+F42)/(1+F40))^F41)/(F40-F42),0)</f>
        <v>128954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31.169999999999998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20404</v>
      </c>
      <c r="D43" s="337" t="s">
        <v>777</v>
      </c>
      <c r="E43" s="338" t="s">
        <v>778</v>
      </c>
      <c r="F43" s="339">
        <f ca="1">INDIRECT("'数据-取费表'!k"&amp;$G$1)</f>
        <v>63199.47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-133351</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128954</v>
      </c>
      <c r="R47" s="1420" t="s">
        <v>818</v>
      </c>
    </row>
    <row r="48" spans="1:18" s="1384" customFormat="1" ht="28.5" thickBot="1">
      <c r="A48" s="1110" t="s">
        <v>438</v>
      </c>
      <c r="B48" s="300" t="s">
        <v>692</v>
      </c>
      <c r="C48" s="1359">
        <f ca="1">C49+C53+C55</f>
        <v>0</v>
      </c>
      <c r="D48" s="1112"/>
      <c r="E48" s="1113"/>
      <c r="F48" s="962"/>
      <c r="G48" s="722"/>
      <c r="H48" s="723"/>
      <c r="I48" s="1421" t="s">
        <v>819</v>
      </c>
      <c r="J48" s="1422" t="s">
        <v>3431</v>
      </c>
      <c r="K48" s="1423" t="s">
        <v>820</v>
      </c>
      <c r="L48" s="1424">
        <f ca="1">INDIRECT("'数据-取费表'!f"&amp;$G$1)</f>
        <v>31.56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2025</v>
      </c>
      <c r="K49" s="1423" t="s">
        <v>824</v>
      </c>
      <c r="L49" s="1427"/>
      <c r="O49" s="1428" t="s">
        <v>405</v>
      </c>
      <c r="P49" s="1419" t="s">
        <v>825</v>
      </c>
      <c r="Q49" s="1420">
        <f ca="1">C29</f>
        <v>97924</v>
      </c>
      <c r="R49" s="1420" t="s">
        <v>818</v>
      </c>
    </row>
    <row r="50" spans="1:18" s="1384" customFormat="1" ht="13.5" thickBot="1">
      <c r="A50" s="976"/>
      <c r="B50" s="979"/>
      <c r="C50" s="1118"/>
      <c r="D50" s="953"/>
      <c r="E50" s="1056" t="s">
        <v>697</v>
      </c>
      <c r="F50" s="1057">
        <f ca="1">F7</f>
        <v>63199.47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1558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31.169999999999998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31.169999999999998</v>
      </c>
      <c r="K53" s="3669" t="s">
        <v>837</v>
      </c>
      <c r="L53" s="3670"/>
      <c r="O53" s="1418" t="s">
        <v>409</v>
      </c>
      <c r="P53" s="1419" t="s">
        <v>838</v>
      </c>
      <c r="Q53" s="1420">
        <f ca="1">Q47+Q48</f>
        <v>128954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97924</v>
      </c>
      <c r="D56" s="1447"/>
      <c r="E56" s="1448"/>
      <c r="F56" s="1440"/>
      <c r="I56" s="1449" t="s">
        <v>842</v>
      </c>
      <c r="J56" s="1450" t="s">
        <v>3423</v>
      </c>
      <c r="K56" s="1421" t="s">
        <v>843</v>
      </c>
      <c r="L56" s="1424" t="str">
        <f ca="1">IF(L48&lt;J51,"——",L48-J53)</f>
        <v>——</v>
      </c>
      <c r="O56" s="1418" t="s">
        <v>403</v>
      </c>
      <c r="P56" s="1419" t="s">
        <v>817</v>
      </c>
      <c r="Q56" s="1420">
        <f ca="1">C40+J29</f>
        <v>128954</v>
      </c>
      <c r="R56" s="1420" t="s">
        <v>818</v>
      </c>
    </row>
    <row r="57" spans="1:18" s="1384" customFormat="1" ht="24.75" thickBot="1">
      <c r="A57" s="1451"/>
      <c r="B57" s="950" t="s">
        <v>767</v>
      </c>
      <c r="C57" s="238">
        <f ca="1">C29</f>
        <v>97924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4</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3.58</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128954</v>
      </c>
      <c r="R62" s="1420" t="s">
        <v>410</v>
      </c>
    </row>
    <row r="63" spans="1:18" s="1384" customFormat="1" ht="13.5" thickBot="1">
      <c r="A63" s="326"/>
      <c r="B63" s="956"/>
      <c r="C63" s="26"/>
      <c r="D63" s="966"/>
      <c r="E63" s="950" t="s">
        <v>788</v>
      </c>
      <c r="F63" s="303">
        <f t="shared" ca="1" si="0"/>
        <v>23899.599999999999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195.85</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97.92</v>
      </c>
      <c r="D65" s="964" t="s">
        <v>743</v>
      </c>
      <c r="E65" s="950" t="s">
        <v>744</v>
      </c>
      <c r="F65" s="330">
        <f t="shared" ca="1" si="0"/>
        <v>1E-3</v>
      </c>
      <c r="I65" s="1462" t="s">
        <v>867</v>
      </c>
      <c r="J65" s="1463">
        <v>40</v>
      </c>
      <c r="K65" s="1463">
        <v>30</v>
      </c>
      <c r="L65" s="1463">
        <v>50</v>
      </c>
      <c r="M65" s="1465">
        <v>0.02</v>
      </c>
      <c r="O65" s="1418" t="s">
        <v>403</v>
      </c>
      <c r="P65" s="1419" t="s">
        <v>868</v>
      </c>
      <c r="Q65" s="1420">
        <f ca="1">C40+J29</f>
        <v>128954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-298</v>
      </c>
      <c r="D67" s="963" t="s">
        <v>753</v>
      </c>
      <c r="E67" s="968"/>
      <c r="F67" s="969"/>
      <c r="O67" s="1428" t="s">
        <v>405</v>
      </c>
      <c r="P67" s="1419" t="s">
        <v>850</v>
      </c>
      <c r="Q67" s="1466">
        <f ca="1">L51</f>
        <v>1558</v>
      </c>
      <c r="R67" s="1420" t="s">
        <v>870</v>
      </c>
    </row>
    <row r="68" spans="1:18" s="1384" customFormat="1" ht="16.5" thickBot="1">
      <c r="A68" s="947" t="s">
        <v>395</v>
      </c>
      <c r="B68" s="948" t="s">
        <v>774</v>
      </c>
      <c r="C68" s="301">
        <f ca="1">ROUND(C67*(1-((1+F70)/(1+F68))^F69)/(F68-F70),0)</f>
        <v>-4397</v>
      </c>
      <c r="D68" s="965" t="s">
        <v>758</v>
      </c>
      <c r="E68" s="950" t="s">
        <v>759</v>
      </c>
      <c r="F68" s="312">
        <f ca="1">F40</f>
        <v>5.5E-2</v>
      </c>
      <c r="O68" s="1428" t="s">
        <v>406</v>
      </c>
      <c r="P68" s="1467" t="s">
        <v>871</v>
      </c>
      <c r="Q68" s="1420">
        <f ca="1">ROUND(Q69-Q70*Q71,0)</f>
        <v>82</v>
      </c>
      <c r="R68" s="1420" t="s">
        <v>414</v>
      </c>
    </row>
    <row r="69" spans="1:18" s="1384" customFormat="1" ht="13.5" thickBot="1">
      <c r="A69" s="951"/>
      <c r="B69" s="952"/>
      <c r="C69" s="306"/>
      <c r="D69" s="970" t="s">
        <v>762</v>
      </c>
      <c r="E69" s="950" t="s">
        <v>763</v>
      </c>
      <c r="F69" s="333">
        <f ca="1">F41</f>
        <v>31.169999999999998</v>
      </c>
      <c r="O69" s="1428" t="s">
        <v>411</v>
      </c>
      <c r="P69" s="1467" t="s">
        <v>872</v>
      </c>
      <c r="Q69" s="1420">
        <f ca="1">C39</f>
        <v>6937</v>
      </c>
      <c r="R69" s="1420" t="s">
        <v>818</v>
      </c>
    </row>
    <row r="70" spans="1:18" s="1384" customFormat="1" ht="13.5" thickBot="1">
      <c r="A70" s="954"/>
      <c r="B70" s="955"/>
      <c r="C70" s="310"/>
      <c r="D70" s="966"/>
      <c r="E70" s="950" t="s">
        <v>766</v>
      </c>
      <c r="F70" s="1054"/>
      <c r="O70" s="1428" t="s">
        <v>412</v>
      </c>
      <c r="P70" s="1467" t="s">
        <v>873</v>
      </c>
      <c r="Q70" s="1420">
        <f ca="1">C13</f>
        <v>97924</v>
      </c>
      <c r="R70" s="1420" t="s">
        <v>818</v>
      </c>
    </row>
    <row r="71" spans="1:18" s="1384" customFormat="1" ht="13.5" thickBot="1">
      <c r="A71" s="971" t="s">
        <v>396</v>
      </c>
      <c r="B71" s="972" t="s">
        <v>776</v>
      </c>
      <c r="C71" s="336">
        <f ca="1">ROUND(C68*10000/F71,0)</f>
        <v>-696</v>
      </c>
      <c r="D71" s="973" t="s">
        <v>777</v>
      </c>
      <c r="E71" s="974" t="s">
        <v>778</v>
      </c>
      <c r="F71" s="339">
        <f ca="1">F43</f>
        <v>63199.47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6855</v>
      </c>
      <c r="D75" s="1384"/>
      <c r="E75" s="1384"/>
      <c r="F75" s="1384"/>
      <c r="K75" s="1402"/>
      <c r="L75" s="1384"/>
      <c r="O75" s="1418" t="s">
        <v>409</v>
      </c>
      <c r="P75" s="1419" t="s">
        <v>838</v>
      </c>
      <c r="Q75" s="1420">
        <f ca="1">Q65+Q66</f>
        <v>128954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1.2000000000000011E-2</v>
      </c>
    </row>
    <row r="80" spans="1:18">
      <c r="B80" s="340" t="s">
        <v>800</v>
      </c>
      <c r="C80" s="274">
        <f ca="1">ROUND(C75/C39,3)</f>
        <v>0.98799999999999999</v>
      </c>
    </row>
    <row r="81" spans="2:3">
      <c r="B81" s="270" t="s">
        <v>801</v>
      </c>
      <c r="C81" s="238"/>
    </row>
    <row r="82" spans="2:3">
      <c r="B82" s="273" t="s">
        <v>802</v>
      </c>
      <c r="C82" s="275">
        <f ca="1">1-C83</f>
        <v>0.24099999999999999</v>
      </c>
    </row>
    <row r="83" spans="2:3">
      <c r="B83" s="273" t="s">
        <v>803</v>
      </c>
      <c r="C83" s="274">
        <f ca="1">ROUND(C13/C40,3)</f>
        <v>0.75900000000000001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Y67" sqref="Y6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2306</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#DIV/0!</v>
      </c>
      <c r="D45" s="3431"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Y67" sqref="Y67"/>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80" t="s">
        <v>2317</v>
      </c>
      <c r="K2" s="3681"/>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2" t="s">
        <v>2327</v>
      </c>
      <c r="K3" s="3683"/>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2" t="s">
        <v>2329</v>
      </c>
      <c r="K4" s="3683"/>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8" t="s">
        <v>2333</v>
      </c>
      <c r="B6" s="3689"/>
      <c r="C6" s="3690"/>
      <c r="D6" s="2869"/>
      <c r="E6" s="2870"/>
      <c r="F6" s="2871"/>
      <c r="G6" s="2872"/>
      <c r="H6" s="2847"/>
      <c r="I6" s="2848"/>
      <c r="J6" s="3674">
        <v>1</v>
      </c>
      <c r="K6" s="367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4"/>
      <c r="K7" s="3676"/>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91" t="s">
        <v>2347</v>
      </c>
      <c r="C8" s="3692"/>
      <c r="D8" s="2888" t="s">
        <v>2348</v>
      </c>
      <c r="E8" s="2889" t="s">
        <v>2349</v>
      </c>
      <c r="F8" s="2890" t="s">
        <v>2350</v>
      </c>
      <c r="G8" s="2891"/>
      <c r="H8" s="2847"/>
      <c r="I8" s="2848"/>
      <c r="J8" s="3674"/>
      <c r="K8" s="3676"/>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91" t="s">
        <v>2353</v>
      </c>
      <c r="C9" s="3692"/>
      <c r="D9" s="2888">
        <f>ROUND(D6*E9,0)</f>
        <v>0</v>
      </c>
      <c r="E9" s="2892"/>
      <c r="F9" s="2893" t="s">
        <v>2354</v>
      </c>
      <c r="G9" s="2872"/>
      <c r="H9" s="2847"/>
      <c r="I9" s="2848"/>
      <c r="J9" s="3674"/>
      <c r="K9" s="3676"/>
      <c r="L9" s="2882" t="s">
        <v>2355</v>
      </c>
      <c r="M9" s="2883"/>
      <c r="N9" s="2859"/>
      <c r="O9" s="2884"/>
      <c r="P9" s="2884"/>
      <c r="Q9" s="2885">
        <v>365</v>
      </c>
      <c r="R9" s="2886">
        <f t="shared" si="0"/>
        <v>0</v>
      </c>
      <c r="S9" s="2840"/>
      <c r="T9" s="2840"/>
      <c r="U9" s="2840"/>
      <c r="V9" s="2848"/>
    </row>
    <row r="10" spans="1:22" s="2852" customFormat="1" ht="13.15" customHeight="1">
      <c r="A10" s="2887">
        <v>2</v>
      </c>
      <c r="B10" s="3691" t="s">
        <v>2356</v>
      </c>
      <c r="C10" s="3692"/>
      <c r="D10" s="2888">
        <f>ROUND(D6*E10,0)</f>
        <v>0</v>
      </c>
      <c r="E10" s="2892"/>
      <c r="F10" s="2893" t="s">
        <v>2357</v>
      </c>
      <c r="G10" s="2872"/>
      <c r="H10" s="2847"/>
      <c r="I10" s="2848"/>
      <c r="J10" s="3674"/>
      <c r="K10" s="3676"/>
      <c r="L10" s="2882" t="s">
        <v>2358</v>
      </c>
      <c r="M10" s="2883"/>
      <c r="N10" s="2859"/>
      <c r="O10" s="2884"/>
      <c r="P10" s="2884"/>
      <c r="Q10" s="2885">
        <v>365</v>
      </c>
      <c r="R10" s="2886">
        <f t="shared" si="0"/>
        <v>0</v>
      </c>
      <c r="S10" s="2840"/>
      <c r="T10" s="2840"/>
      <c r="U10" s="2840"/>
      <c r="V10" s="2848"/>
    </row>
    <row r="11" spans="1:22" s="2852" customFormat="1" ht="13.15" customHeight="1">
      <c r="A11" s="2887">
        <v>3</v>
      </c>
      <c r="B11" s="3691" t="s">
        <v>2359</v>
      </c>
      <c r="C11" s="3692"/>
      <c r="D11" s="2888">
        <f>D12+D14+D15+D16</f>
        <v>0</v>
      </c>
      <c r="E11" s="2894" t="e">
        <f>D11/D6</f>
        <v>#DIV/0!</v>
      </c>
      <c r="F11" s="2890"/>
      <c r="G11" s="2891"/>
      <c r="H11" s="2847"/>
      <c r="I11" s="2848"/>
      <c r="J11" s="3674"/>
      <c r="K11" s="3676"/>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4" t="s">
        <v>2362</v>
      </c>
      <c r="C12" s="3685"/>
      <c r="D12" s="2896">
        <f>ROUND(D13*1.2%*(1-30%),0)</f>
        <v>0</v>
      </c>
      <c r="E12" s="2897">
        <v>1.2E-2</v>
      </c>
      <c r="F12" s="2890" t="s">
        <v>2363</v>
      </c>
      <c r="G12" s="2891"/>
      <c r="H12" s="2847"/>
      <c r="I12" s="2848"/>
      <c r="J12" s="3674"/>
      <c r="K12" s="3676"/>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4"/>
      <c r="K13" s="3676"/>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4" t="s">
        <v>2368</v>
      </c>
      <c r="C14" s="3685"/>
      <c r="D14" s="2896">
        <f>ROUND(E14*B5/10000,0)</f>
        <v>0</v>
      </c>
      <c r="E14" s="2885"/>
      <c r="F14" s="2890" t="s">
        <v>2369</v>
      </c>
      <c r="G14" s="2891"/>
      <c r="H14" s="2847"/>
      <c r="I14" s="2848"/>
      <c r="J14" s="3674"/>
      <c r="K14" s="367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4" t="s">
        <v>2372</v>
      </c>
      <c r="C15" s="3685"/>
      <c r="D15" s="2896">
        <f>ROUND(D6*E15,0)</f>
        <v>0</v>
      </c>
      <c r="E15" s="2897">
        <v>5.5E-2</v>
      </c>
      <c r="F15" s="2890" t="s">
        <v>2373</v>
      </c>
      <c r="G15" s="2872"/>
      <c r="H15" s="2847"/>
      <c r="I15" s="2848"/>
      <c r="J15" s="3674">
        <v>2</v>
      </c>
      <c r="K15" s="367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4" t="s">
        <v>2381</v>
      </c>
      <c r="C16" s="3685"/>
      <c r="D16" s="2907">
        <f>D6*E16</f>
        <v>0</v>
      </c>
      <c r="E16" s="2908"/>
      <c r="F16" s="2893" t="s">
        <v>2382</v>
      </c>
      <c r="G16" s="2872"/>
      <c r="H16" s="2847"/>
      <c r="I16" s="2848"/>
      <c r="J16" s="3674"/>
      <c r="K16" s="3676"/>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6" t="s">
        <v>2384</v>
      </c>
      <c r="C17" s="3687"/>
      <c r="D17" s="2910">
        <f>ROUND(D6*E17,0)</f>
        <v>0</v>
      </c>
      <c r="E17" s="2911"/>
      <c r="F17" s="2912" t="s">
        <v>2385</v>
      </c>
      <c r="G17" s="2872"/>
      <c r="H17" s="2847"/>
      <c r="I17" s="2848"/>
      <c r="J17" s="3674"/>
      <c r="K17" s="3676"/>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4"/>
      <c r="K18" s="3676"/>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4"/>
      <c r="K19" s="367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4">
        <v>3</v>
      </c>
      <c r="K20" s="367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4"/>
      <c r="K21" s="3676"/>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4"/>
      <c r="K22" s="3676"/>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4"/>
      <c r="K23" s="3676"/>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4"/>
      <c r="K24" s="367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80" t="s">
        <v>2317</v>
      </c>
      <c r="K32" s="3681"/>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2" t="s">
        <v>2327</v>
      </c>
      <c r="K33" s="3683"/>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2" t="s">
        <v>2329</v>
      </c>
      <c r="K34" s="368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4">
        <v>1</v>
      </c>
      <c r="K36" s="3675"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4"/>
      <c r="K37" s="3676"/>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4"/>
      <c r="K38" s="3676"/>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4"/>
      <c r="K39" s="3676"/>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4"/>
      <c r="K40" s="3677"/>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Y67" sqref="Y6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128954</v>
      </c>
      <c r="C2" s="1872" t="s">
        <v>1651</v>
      </c>
      <c r="D2" s="1873" t="s">
        <v>1652</v>
      </c>
      <c r="E2" s="2606">
        <f>SUM(E6:E13)</f>
        <v>96349.53</v>
      </c>
      <c r="F2" s="2706"/>
      <c r="G2" s="1489"/>
      <c r="H2" s="1489"/>
      <c r="I2" s="1489"/>
      <c r="J2" s="1489"/>
      <c r="K2" s="1489"/>
      <c r="L2" s="1489"/>
      <c r="M2" s="1489"/>
      <c r="N2" s="1489"/>
      <c r="O2" s="1489"/>
      <c r="P2" s="1489"/>
      <c r="Q2" s="1489"/>
      <c r="R2" s="1489"/>
      <c r="S2" s="1489"/>
    </row>
    <row r="3" spans="1:22" ht="15.75">
      <c r="A3" s="1870" t="s">
        <v>686</v>
      </c>
      <c r="B3" s="2600">
        <f ca="1">ROUND(B2*10000/E2,0)</f>
        <v>13384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93" t="s">
        <v>1654</v>
      </c>
      <c r="C5" s="3694"/>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128954</v>
      </c>
      <c r="C6" s="1872" t="s">
        <v>1651</v>
      </c>
      <c r="D6" s="2708"/>
      <c r="E6" s="2605">
        <f>IF(OR(A6=0,F6="否"),0,'数据-取费表'!K6+'数据-取费表'!S6)</f>
        <v>96349.53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Y67" sqref="Y6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96349.52999999997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4"/>
      <c r="M4" s="2715"/>
      <c r="N4" s="2715"/>
      <c r="O4" s="2715"/>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4"/>
      <c r="M5" s="2715"/>
      <c r="N5" s="2715"/>
      <c r="O5" s="2715"/>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4"/>
      <c r="M6" s="2715"/>
      <c r="N6" s="2715"/>
      <c r="O6" s="2715"/>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45818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Y67" sqref="Y6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96349.52999999997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45818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Y67" sqref="Y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96349.52999999997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ht="15">
      <c r="A5" s="358"/>
      <c r="B5" s="359"/>
      <c r="C5" s="3732" t="s">
        <v>1673</v>
      </c>
      <c r="D5" s="3733"/>
      <c r="E5" s="3739" t="s">
        <v>1674</v>
      </c>
      <c r="F5" s="3740"/>
      <c r="G5" s="3732" t="s">
        <v>1675</v>
      </c>
      <c r="H5" s="3733"/>
      <c r="I5" s="3732" t="s">
        <v>1676</v>
      </c>
      <c r="J5" s="3733"/>
      <c r="K5" s="559"/>
      <c r="L5" s="2714"/>
      <c r="M5" s="2715"/>
      <c r="N5" s="2715"/>
      <c r="O5" s="2715"/>
      <c r="P5" s="3749"/>
      <c r="Q5" s="3720"/>
      <c r="R5" s="3725"/>
      <c r="S5" s="3726"/>
      <c r="T5" s="3725"/>
      <c r="U5" s="3726"/>
      <c r="V5" s="3729"/>
      <c r="W5" s="3729"/>
      <c r="X5" s="1355"/>
      <c r="Y5" s="3725"/>
      <c r="Z5" s="3726"/>
      <c r="AA5" s="3711"/>
      <c r="AB5" s="3711"/>
      <c r="AC5" s="3745"/>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50"/>
      <c r="Q6" s="3722"/>
      <c r="R6" s="3725"/>
      <c r="S6" s="3726"/>
      <c r="T6" s="3727"/>
      <c r="U6" s="3728"/>
      <c r="V6" s="3729"/>
      <c r="W6" s="3729"/>
      <c r="X6" s="1355"/>
      <c r="Y6" s="3727"/>
      <c r="Z6" s="3728"/>
      <c r="AA6" s="3712"/>
      <c r="AB6" s="3712"/>
      <c r="AC6" s="3746"/>
    </row>
    <row r="7" spans="1:29" s="108" customFormat="1" ht="15.75" thickBot="1">
      <c r="A7" s="362" t="s">
        <v>1679</v>
      </c>
      <c r="B7" s="363"/>
      <c r="C7" s="364">
        <f>'数据-取费表'!B2</f>
        <v>45818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4"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96349.52999999997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45818</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估价对象为房地产，为所有。根据《国有土地使用证》[]，估价对象（分摊）出让国有建设用地使用权面积为23899.6平方米，建筑面积为96349.53平方米。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估价对象为房地产,属开发建设的，该项目尚在开发建设中。根据《国有土地使用证》[]，估价对象（分摊）出让国有建设用地使用权面积为23899.6平方米，规划建筑面积为96349.53平方米。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45818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45818</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45818</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698"/>
      <c r="Q10" s="1343" t="str">
        <f t="shared" si="6"/>
        <v>土地使用年限（年）</v>
      </c>
      <c r="R10" s="701" t="s">
        <v>14</v>
      </c>
      <c r="S10" s="702">
        <f t="shared" si="0"/>
        <v>116</v>
      </c>
      <c r="T10" s="701" t="s">
        <v>14</v>
      </c>
      <c r="U10" s="702">
        <f t="shared" si="1"/>
        <v>116</v>
      </c>
      <c r="V10" s="701" t="s">
        <v>14</v>
      </c>
      <c r="W10" s="702">
        <f t="shared" si="2"/>
        <v>116</v>
      </c>
      <c r="X10" s="703"/>
      <c r="Y10" s="3573"/>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6"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63199.47</v>
      </c>
      <c r="F56" s="886" t="e">
        <f t="shared" ref="F56:F64" si="15">ROUND(B56*E56/10000,0)</f>
        <v>#DIV/0!</v>
      </c>
      <c r="G56" s="3709"/>
      <c r="H56" s="369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63199.47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5"/>
      <c r="Y5" s="3725"/>
      <c r="Z5" s="3726"/>
      <c r="AA5" s="3711"/>
      <c r="AB5" s="3711"/>
      <c r="AC5" s="3711"/>
    </row>
    <row r="6" spans="1:29" ht="15.75" thickBot="1">
      <c r="A6" s="360"/>
      <c r="B6" s="361"/>
      <c r="C6" s="3761" t="s">
        <v>1919</v>
      </c>
      <c r="D6" s="3762"/>
      <c r="E6" s="3763" t="s">
        <v>1919</v>
      </c>
      <c r="F6" s="3764"/>
      <c r="G6" s="3761" t="s">
        <v>1919</v>
      </c>
      <c r="H6" s="3762"/>
      <c r="I6" s="3761" t="s">
        <v>1919</v>
      </c>
      <c r="J6" s="3762"/>
      <c r="K6" s="559" t="s">
        <v>1678</v>
      </c>
      <c r="L6" s="2714"/>
      <c r="M6" s="2715"/>
      <c r="N6" s="2715"/>
      <c r="O6" s="2715"/>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45818</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698"/>
      <c r="Q10" s="1343" t="str">
        <f t="shared" si="6"/>
        <v>土地使用年限（年）</v>
      </c>
      <c r="R10" s="701" t="s">
        <v>14</v>
      </c>
      <c r="S10" s="702">
        <f t="shared" si="0"/>
        <v>116</v>
      </c>
      <c r="T10" s="701" t="s">
        <v>14</v>
      </c>
      <c r="U10" s="702">
        <f t="shared" si="1"/>
        <v>116</v>
      </c>
      <c r="V10" s="701" t="s">
        <v>14</v>
      </c>
      <c r="W10" s="702">
        <f t="shared" si="2"/>
        <v>116</v>
      </c>
      <c r="X10" s="703"/>
      <c r="Y10" s="3573"/>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6"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8" t="str">
        <f>A42</f>
        <v>比较价值（元/平方米）</v>
      </c>
      <c r="Q42" s="3698"/>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5" t="str">
        <f>A43</f>
        <v>估价对象XX用房的比较价值（楼面单价，元/平方米）</v>
      </c>
      <c r="Q43" s="3696"/>
      <c r="R43" s="3759" t="e">
        <f>ROUND(IF(D42="简单平均",AVERAGE(R42:W42),R42*F42+T42*H42+V42*J42),0)</f>
        <v>#DIV/0!</v>
      </c>
      <c r="S43" s="3759"/>
      <c r="T43" s="3759"/>
      <c r="U43" s="3759"/>
      <c r="V43" s="3759"/>
      <c r="W43" s="375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63199.47</v>
      </c>
      <c r="F51" s="639" t="e">
        <f t="shared" ref="F51:F60" si="15">ROUND(B51*E51/10000,0)</f>
        <v>#DIV/0!</v>
      </c>
      <c r="G51" s="3709"/>
      <c r="H51" s="369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23899.599999999999</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10428</v>
      </c>
      <c r="C2" s="2144" t="s">
        <v>2074</v>
      </c>
      <c r="D2" s="2144" t="s">
        <v>2075</v>
      </c>
      <c r="E2" s="2611">
        <f ca="1">SUMIF(E6:E13,"&lt;&gt;#ref!",E6:E13)</f>
        <v>63199.47</v>
      </c>
      <c r="F2" s="2792"/>
      <c r="G2" s="2792"/>
      <c r="H2" s="2792"/>
      <c r="I2" s="2792"/>
      <c r="J2" s="2792"/>
      <c r="K2" s="2792"/>
      <c r="L2" s="2792"/>
      <c r="M2" s="2792"/>
      <c r="N2" s="2792"/>
      <c r="O2" s="2792"/>
      <c r="P2" s="2792"/>
    </row>
    <row r="3" spans="1:16" ht="15.75">
      <c r="A3" s="2144" t="s">
        <v>2076</v>
      </c>
      <c r="B3" s="2601">
        <f ca="1">ROUND(B2*10000/E2,0)</f>
        <v>1650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10428</v>
      </c>
      <c r="C6" s="2144" t="s">
        <v>2074</v>
      </c>
      <c r="D6" s="2792"/>
      <c r="E6" s="2611">
        <f ca="1">SUMIF(INDIRECT("'"&amp;A6&amp;"'"&amp;"!C:C"),"建筑面积",INDIRECT("'"&amp;A6&amp;"'"&amp;"!D:D"))</f>
        <v>63199.47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8" sqref="F8"/>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1926</v>
      </c>
      <c r="B1" s="197"/>
      <c r="C1" s="201" t="s">
        <v>1927</v>
      </c>
      <c r="D1" s="342">
        <f>SUM(D33:D34,D37:D42)</f>
        <v>63199.47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10428</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Ⅵ-空港B</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3397</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1650</v>
      </c>
      <c r="C3" s="1999" t="s">
        <v>1941</v>
      </c>
      <c r="D3" s="2000" t="s">
        <v>1942</v>
      </c>
      <c r="E3" s="3419" t="s">
        <v>2479</v>
      </c>
      <c r="F3" s="3824" t="s">
        <v>3473</v>
      </c>
      <c r="G3" s="752">
        <f>IF(F3="宗地容积率",'数据-汇总表'!I4,IF(F3="估价对象容积率",'数据-汇总表'!I6,'数据-汇总表'!I7))</f>
        <v>2.65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2678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2263</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2340</v>
      </c>
      <c r="D5" s="1339">
        <f>ROUND(C6*C17+C20,0)</f>
        <v>2340</v>
      </c>
      <c r="E5" s="1339"/>
      <c r="F5" s="2006"/>
      <c r="G5" s="2007"/>
      <c r="H5" s="2007"/>
      <c r="I5" s="2007"/>
      <c r="J5" s="2008"/>
      <c r="K5" s="2009"/>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1996</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2340</v>
      </c>
      <c r="D6" s="2016"/>
      <c r="E6" s="2017"/>
      <c r="F6" s="2017"/>
      <c r="G6" s="2018"/>
      <c r="H6" s="2018"/>
      <c r="I6" s="2018"/>
      <c r="J6" s="2019"/>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1918</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3237</v>
      </c>
      <c r="B7" s="2020" t="s">
        <v>1952</v>
      </c>
      <c r="C7" s="755" t="e">
        <f>IF(C8="不临65条商业街",1,ROUND(1+(1.6*E8+1.2*E9+0.8*E10+0.4*E11)*C9,4))</f>
        <v>#DIV/0!</v>
      </c>
      <c r="D7" s="2021" t="s">
        <v>1953</v>
      </c>
      <c r="E7" s="776"/>
      <c r="F7" s="2022"/>
      <c r="G7" s="2023"/>
      <c r="H7" s="2023"/>
      <c r="I7" s="2023"/>
      <c r="J7" s="2024"/>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2.65</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82" t="s">
        <v>3254</v>
      </c>
      <c r="B20" s="167" t="s">
        <v>1994</v>
      </c>
      <c r="C20" s="3324">
        <f>ROUND(IF(F21="与级别开发程度一致",0,(G21-E21)/C21),0)</f>
        <v>0</v>
      </c>
      <c r="D20" s="3340" t="s">
        <v>1998</v>
      </c>
      <c r="E20" s="3341"/>
      <c r="F20" s="3788" t="s">
        <v>1995</v>
      </c>
      <c r="G20" s="3789"/>
      <c r="H20" s="3325" t="s">
        <v>3432</v>
      </c>
      <c r="I20" s="3325" t="s">
        <v>3433</v>
      </c>
      <c r="J20" s="3326" t="s">
        <v>3434</v>
      </c>
      <c r="K20" s="2046" t="s">
        <v>3435</v>
      </c>
      <c r="L20" s="2046" t="s">
        <v>3436</v>
      </c>
      <c r="M20" s="2046" t="s">
        <v>3449</v>
      </c>
      <c r="N20" s="2046" t="s">
        <v>3437</v>
      </c>
      <c r="O20" s="2047" t="s">
        <v>3438</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83"/>
      <c r="B21" s="2163" t="s">
        <v>1997</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3474</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2002</v>
      </c>
      <c r="E23" s="761">
        <v>44197</v>
      </c>
      <c r="F23" s="2053" t="s">
        <v>2003</v>
      </c>
      <c r="G23" s="762">
        <f>'数据-取费表'!B2</f>
        <v>45818</v>
      </c>
      <c r="H23" s="3342" t="s">
        <v>3256</v>
      </c>
      <c r="I23" s="3343" t="str">
        <f>IF(H23="季度增幅（自定义）",SUMIF(N25:N28,E2,O25:O28),"")</f>
        <v/>
      </c>
      <c r="J23" s="3445" t="s">
        <v>3255</v>
      </c>
      <c r="K23" s="1125"/>
      <c r="L23" s="2054" t="s">
        <v>2004</v>
      </c>
      <c r="M23" s="1328">
        <f>ROUND(SUMIF(地价!B2:G2,E2,地价!B16:G16),0)</f>
        <v>318</v>
      </c>
      <c r="N23" s="2055"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0.86060000000000003</v>
      </c>
      <c r="D24" s="2059" t="s">
        <v>2007</v>
      </c>
      <c r="E24" s="1335">
        <f>存贷款利率!E28/100</f>
        <v>4.3499999999999997E-2</v>
      </c>
      <c r="F24" s="2059" t="s">
        <v>1999</v>
      </c>
      <c r="G24" s="768">
        <f>SUMIF(M30:Q30,E2,M33:Q33)</f>
        <v>0.05</v>
      </c>
      <c r="H24" s="2059" t="s">
        <v>2008</v>
      </c>
      <c r="I24" s="769">
        <f>SUMIF('数据-取费表'!C6:C15,E2,'数据-取费表'!F6:F15)/COUNTIF('数据-取费表'!C6:C15,E2)</f>
        <v>31.56</v>
      </c>
      <c r="J24" s="770">
        <f>IF(E2="住宅",70,IF(E2="商业",40,50))</f>
        <v>50</v>
      </c>
      <c r="K24" s="1125"/>
      <c r="L24" s="2060" t="s">
        <v>2009</v>
      </c>
      <c r="M24" s="1329">
        <f>ROUND(SUMPRODUCT((地价!A4:A16=YEAR(G23)&amp;"-"&amp;ROUNDUP(MONTH(G23)/3,0))*(地价!B2:G2=E2)*(地价!B4:G16)),0)</f>
        <v>0</v>
      </c>
      <c r="N24" s="2061" t="s">
        <v>2010</v>
      </c>
      <c r="O24" s="2062" t="s">
        <v>2011</v>
      </c>
      <c r="P24" s="2063"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0.72960000000000003</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3257</v>
      </c>
      <c r="D26" s="1352">
        <f>IF(E26=G26,F26,IF(G3&lt;10,ROUND(F26+(H26-F26)*(G3-E26)/(G26-E26),4),"——"))</f>
        <v>0.72960000000000003</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0.73540000000000005</v>
      </c>
      <c r="G26" s="752">
        <f>ROUNDUP(G3,1)</f>
        <v>2.7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0.7238</v>
      </c>
      <c r="I26" s="3344" t="s">
        <v>3258</v>
      </c>
      <c r="J26" s="772" t="str">
        <f>IF(G3&gt;=10,D115,"——")</f>
        <v>——</v>
      </c>
      <c r="K26" s="1125"/>
      <c r="L26" s="2787"/>
      <c r="M26" s="2787"/>
      <c r="N26" s="2068"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7"/>
      <c r="M27" s="1997"/>
      <c r="N27" s="2068"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1.0331999999999999</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2024</v>
      </c>
      <c r="C30" s="2320">
        <f>IF(B25="容积率修正",E33+SUM(E37:E42),SUM(V2:V16)+SUM(E37:E42))</f>
        <v>10428</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2025</v>
      </c>
      <c r="C31" s="766">
        <f>E34+SUM(I37:I42)</f>
        <v>0</v>
      </c>
      <c r="D31" s="2086"/>
      <c r="E31" s="2087"/>
      <c r="F31" s="2088"/>
      <c r="G31" s="2087"/>
      <c r="H31" s="2087"/>
      <c r="I31" s="2087"/>
      <c r="J31" s="2089"/>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2030</v>
      </c>
      <c r="C33" s="175">
        <f>ROUND(C5*C22*C23*C24*C25*C28,0)</f>
        <v>1650</v>
      </c>
      <c r="D33" s="2097">
        <f>'数据-汇总表'!F19</f>
        <v>63199.47</v>
      </c>
      <c r="E33" s="773">
        <f>ROUND(C33*D33/10000,0)</f>
        <v>10428</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248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6"/>
      <c r="B37" s="2112" t="s">
        <v>2036</v>
      </c>
      <c r="C37" s="175">
        <f>ROUND(D5*C22*C23*C24*C28*F37,0)</f>
        <v>1357</v>
      </c>
      <c r="D37" s="2097"/>
      <c r="E37" s="171">
        <f>ROUND(C37*D37/10000,0)</f>
        <v>0</v>
      </c>
      <c r="F37" s="171">
        <f>SUMIF(修正!A57:A68,G2,修正!B57:B68)</f>
        <v>0.6</v>
      </c>
      <c r="G37" s="171">
        <f>ROUND(IF(E2="工业",C37*$M$42,C37*$M$41),0)</f>
        <v>204</v>
      </c>
      <c r="H37" s="171">
        <f>D37</f>
        <v>0</v>
      </c>
      <c r="I37" s="171">
        <f>ROUND(G37*H37/10000,0)</f>
        <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7"/>
      <c r="B38" s="2040" t="s">
        <v>2037</v>
      </c>
      <c r="C38" s="175">
        <f>ROUND(D5*C22*C23*C24*C28*F38,0)</f>
        <v>679</v>
      </c>
      <c r="D38" s="2097"/>
      <c r="E38" s="171">
        <f t="shared" ref="E38:E42" si="4">ROUND(C38*D38/10000,0)</f>
        <v>0</v>
      </c>
      <c r="F38" s="171">
        <f>SUMIF(修正!A57:A68,G2,修正!C57:C68)</f>
        <v>0.3</v>
      </c>
      <c r="G38" s="171">
        <f>ROUND(IF(E2="工业",C38*$M$42,C38*$M$41),0)</f>
        <v>102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7"/>
      <c r="B39" s="2040" t="s">
        <v>3259</v>
      </c>
      <c r="C39" s="175">
        <f>ROUND(D5*C22*C23*C24*C28*F39,0)</f>
        <v>566</v>
      </c>
      <c r="D39" s="2097"/>
      <c r="E39" s="171">
        <f t="shared" si="4"/>
        <v>0</v>
      </c>
      <c r="F39" s="171">
        <f>SUMIF(修正!A57:A68,G2,修正!D57:D68)</f>
        <v>0.25</v>
      </c>
      <c r="G39" s="171">
        <f>ROUND(IF(E2="工业",C39*$M$42,C39*$M$41),0)</f>
        <v>85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566</v>
      </c>
      <c r="D40" s="2097"/>
      <c r="E40" s="171">
        <f t="shared" si="4"/>
        <v>0</v>
      </c>
      <c r="F40" s="175">
        <f>SUMIF(修正!A57:A68,G2,修正!E57:E68)</f>
        <v>0.25</v>
      </c>
      <c r="G40" s="171">
        <f>ROUND(IF(E2="工业",C40*$M$42,C40*$M$41),0)</f>
        <v>85</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3269</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3269</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3269</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5.5" hidden="1">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2"/>
      <c r="AG76" s="1121"/>
      <c r="AK76" s="2052"/>
    </row>
    <row r="77" spans="1:37" ht="25.5" hidden="1">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2"/>
      <c r="AG77" s="1121"/>
      <c r="AK77" s="2052"/>
    </row>
    <row r="78" spans="1:37" ht="24" hidden="1">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2"/>
      <c r="AG78" s="1121"/>
      <c r="AK78" s="2052"/>
    </row>
    <row r="79" spans="1:37" ht="25.5" hidden="1">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2"/>
      <c r="AG79" s="1121"/>
      <c r="AK79" s="2052"/>
    </row>
    <row r="80" spans="1:37" ht="24.75" hidden="1"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2"/>
      <c r="AG80" s="1121"/>
      <c r="AK80" s="2052"/>
    </row>
    <row r="81" spans="1:37" ht="15">
      <c r="A81" s="2125" t="s">
        <v>2069</v>
      </c>
      <c r="B81" s="2126">
        <f>1+E83</f>
        <v>1.0331999999999999</v>
      </c>
      <c r="C81" s="741"/>
      <c r="D81" s="741"/>
      <c r="E81" s="742"/>
      <c r="F81" s="2128"/>
      <c r="G81" s="3"/>
      <c r="H81" s="3"/>
      <c r="I81" s="3"/>
      <c r="J81" s="4"/>
      <c r="K81" s="4"/>
      <c r="L81" s="4"/>
      <c r="M81" s="4"/>
      <c r="N81" s="4"/>
      <c r="Z81" s="1998"/>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8"/>
      <c r="AA82" s="2052"/>
      <c r="AG82" s="1121"/>
      <c r="AK82" s="2052"/>
    </row>
    <row r="83" spans="1:37" ht="38.25">
      <c r="A83" s="2129" t="s">
        <v>2070</v>
      </c>
      <c r="B83" s="2133" t="str">
        <f>估价对象房地状况!G15</f>
        <v>估价对象位于XX开发区，园区建设成熟度XX，产业集聚程度XX</v>
      </c>
      <c r="C83" s="2043" t="s">
        <v>3441</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2"/>
      <c r="AG83" s="1121"/>
      <c r="AK83" s="2052"/>
    </row>
    <row r="84" spans="1:37" ht="38.25">
      <c r="A84" s="2129" t="s">
        <v>2053</v>
      </c>
      <c r="B84" s="2133" t="str">
        <f>估价对象房地状况!G16</f>
        <v>估价对象周边道路状况、公共交通通达情况、停车便捷程度，综合评价交通便捷度较好</v>
      </c>
      <c r="C84" s="2043" t="s">
        <v>3439</v>
      </c>
      <c r="D84" s="1065">
        <f t="shared" si="22"/>
        <v>7.4999999999999997E-3</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2"/>
      <c r="AG84" s="1121"/>
      <c r="AK84" s="2052"/>
    </row>
    <row r="85" spans="1:37" ht="36">
      <c r="A85" s="3368" t="s">
        <v>3270</v>
      </c>
      <c r="B85" s="2133">
        <f>估价对象房地状况!G17</f>
        <v>0</v>
      </c>
      <c r="C85" s="2043" t="s">
        <v>3439</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2"/>
      <c r="AG85" s="1121"/>
      <c r="AK85" s="2052"/>
    </row>
    <row r="86" spans="1:37" ht="14.25">
      <c r="A86" s="2129" t="s">
        <v>2067</v>
      </c>
      <c r="B86" s="2133">
        <f>估价对象房地状况!G22</f>
        <v>0</v>
      </c>
      <c r="C86" s="2043" t="s">
        <v>3440</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2"/>
      <c r="AG86" s="1121"/>
      <c r="AK86" s="2052"/>
    </row>
    <row r="87" spans="1:37" ht="25.5">
      <c r="A87" s="2129" t="s">
        <v>2059</v>
      </c>
      <c r="B87" s="1326" t="str">
        <f>估价对象房地状况!G19</f>
        <v>估价对象所在区域公共配套设施齐备情况</v>
      </c>
      <c r="C87" s="2043" t="s">
        <v>3439</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29" t="s">
        <v>2060</v>
      </c>
      <c r="B88" s="1326" t="str">
        <f>估价对象房地状况!G20</f>
        <v>估价对象所在区域基础设施水平</v>
      </c>
      <c r="C88" s="2043" t="s">
        <v>3441</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29" t="s">
        <v>2057</v>
      </c>
      <c r="B89" s="2135" t="s">
        <v>2071</v>
      </c>
      <c r="C89" s="2043" t="s">
        <v>3439</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7" t="s">
        <v>2072</v>
      </c>
      <c r="B90" s="2142" t="str">
        <f>估价对象房地状况!G18</f>
        <v>该园区内是否有污染型企业，绿化情况，卫生条件，整体环境状况判断</v>
      </c>
      <c r="C90" s="2043" t="s">
        <v>3439</v>
      </c>
      <c r="D90" s="1065">
        <f t="shared" si="22"/>
        <v>1.1999999999999999E-3</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4" t="s">
        <v>3294</v>
      </c>
      <c r="B103" s="3784"/>
      <c r="C103" s="3784"/>
      <c r="D103" s="3784"/>
      <c r="E103" s="3784"/>
      <c r="F103" s="3784"/>
      <c r="G103" s="3784"/>
      <c r="H103" s="3784"/>
      <c r="I103" s="3784"/>
      <c r="J103" s="3784"/>
      <c r="K103" s="3389"/>
      <c r="L103" s="3389"/>
      <c r="M103" s="3389"/>
      <c r="N103" s="3389"/>
    </row>
    <row r="104" spans="1:14">
      <c r="A104" s="3785" t="s">
        <v>3295</v>
      </c>
      <c r="B104" s="3785" t="s">
        <v>3296</v>
      </c>
      <c r="C104" s="3390" t="s">
        <v>3297</v>
      </c>
      <c r="D104" s="3391"/>
      <c r="E104" s="3391"/>
      <c r="F104" s="3391"/>
      <c r="G104" s="3391"/>
      <c r="H104" s="3391"/>
      <c r="I104" s="3391"/>
      <c r="J104" s="3392"/>
      <c r="K104" s="3393"/>
      <c r="L104" s="3393"/>
      <c r="M104" s="3393"/>
      <c r="N104" s="3393"/>
    </row>
    <row r="105" spans="1:14">
      <c r="A105" s="3785"/>
      <c r="B105" s="378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2"/>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3"/>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4" t="s">
        <v>3311</v>
      </c>
      <c r="B113" s="3774"/>
      <c r="C113" s="3774"/>
      <c r="D113" s="3774"/>
      <c r="E113" s="3774"/>
      <c r="F113" s="3774"/>
      <c r="G113" s="3774"/>
      <c r="H113" s="3774"/>
      <c r="I113" s="3774"/>
      <c r="J113" s="377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2.65</v>
      </c>
      <c r="C116" s="3399" t="s">
        <v>3313</v>
      </c>
      <c r="D116" s="3400">
        <f>SUMPRODUCT((A118:A122=F116)*(B117:M117=H116)*B118:M122)</f>
        <v>0.61350000000000005</v>
      </c>
      <c r="E116" s="2000" t="s">
        <v>3314</v>
      </c>
      <c r="F116" s="3401" t="str">
        <f>E2</f>
        <v>工业</v>
      </c>
      <c r="G116" s="2000" t="s">
        <v>3315</v>
      </c>
      <c r="H116" s="3401" t="str">
        <f>G2</f>
        <v>六级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0.9677</v>
      </c>
      <c r="C118" s="3387">
        <f>B118</f>
        <v>0.9677</v>
      </c>
      <c r="D118" s="3387">
        <f>ROUND(0.949-0.014*B116,4)</f>
        <v>0.91190000000000004</v>
      </c>
      <c r="E118" s="3387">
        <f>D118</f>
        <v>0.91190000000000004</v>
      </c>
      <c r="F118" s="3387">
        <f>E118</f>
        <v>0.91190000000000004</v>
      </c>
      <c r="G118" s="3387">
        <f>F118</f>
        <v>0.91190000000000004</v>
      </c>
      <c r="H118" s="3387">
        <f>G118</f>
        <v>0.91190000000000004</v>
      </c>
      <c r="I118" s="3387">
        <f>ROUND(0.8486-0.018*B116,4)</f>
        <v>0.80089999999999995</v>
      </c>
      <c r="J118" s="3387">
        <f t="shared" ref="J118:M122" si="36">I118</f>
        <v>0.80089999999999995</v>
      </c>
      <c r="K118" s="3387">
        <f t="shared" si="36"/>
        <v>0.80089999999999995</v>
      </c>
      <c r="L118" s="3387">
        <f t="shared" si="36"/>
        <v>0.80089999999999995</v>
      </c>
      <c r="M118" s="3410">
        <f t="shared" si="36"/>
        <v>0.80089999999999995</v>
      </c>
      <c r="N118" s="3397"/>
    </row>
    <row r="119" spans="1:14">
      <c r="A119" s="3409" t="s">
        <v>3329</v>
      </c>
      <c r="B119" s="3387">
        <f>ROUND(0.993-0.0112*B116,4)</f>
        <v>0.96330000000000005</v>
      </c>
      <c r="C119" s="3387">
        <f>B119</f>
        <v>0.96330000000000005</v>
      </c>
      <c r="D119" s="3387">
        <f>ROUND(0.9415-0.0142*B116,4)</f>
        <v>0.90390000000000004</v>
      </c>
      <c r="E119" s="3387">
        <f t="shared" ref="E119:H120" si="37">D119</f>
        <v>0.90390000000000004</v>
      </c>
      <c r="F119" s="3387">
        <f t="shared" si="37"/>
        <v>0.90390000000000004</v>
      </c>
      <c r="G119" s="3387">
        <f t="shared" si="37"/>
        <v>0.90390000000000004</v>
      </c>
      <c r="H119" s="3387">
        <f t="shared" si="37"/>
        <v>0.90390000000000004</v>
      </c>
      <c r="I119" s="3387">
        <f>ROUND(0.838-0.0182*B116,4)</f>
        <v>0.78979999999999995</v>
      </c>
      <c r="J119" s="3387">
        <f t="shared" si="36"/>
        <v>0.78979999999999995</v>
      </c>
      <c r="K119" s="3387">
        <f t="shared" si="36"/>
        <v>0.78979999999999995</v>
      </c>
      <c r="L119" s="3387">
        <f t="shared" si="36"/>
        <v>0.78979999999999995</v>
      </c>
      <c r="M119" s="3410">
        <f t="shared" si="36"/>
        <v>0.78979999999999995</v>
      </c>
      <c r="N119" s="3397"/>
    </row>
    <row r="120" spans="1:14">
      <c r="A120" s="3409" t="s">
        <v>3330</v>
      </c>
      <c r="B120" s="3387">
        <f>ROUND(0.9448-0.0115*B116,4)</f>
        <v>0.9143</v>
      </c>
      <c r="C120" s="3387">
        <f>B120</f>
        <v>0.9143</v>
      </c>
      <c r="D120" s="3387">
        <f>ROUND(0.937-0.0145*B116,4)</f>
        <v>0.89859999999999995</v>
      </c>
      <c r="E120" s="3387">
        <f t="shared" si="37"/>
        <v>0.89859999999999995</v>
      </c>
      <c r="F120" s="3387">
        <f t="shared" si="37"/>
        <v>0.89859999999999995</v>
      </c>
      <c r="G120" s="3387">
        <f t="shared" si="37"/>
        <v>0.89859999999999995</v>
      </c>
      <c r="H120" s="3387">
        <f t="shared" si="37"/>
        <v>0.89859999999999995</v>
      </c>
      <c r="I120" s="3387">
        <f>ROUND(0.7965-0.0185*B116,4)</f>
        <v>0.74750000000000005</v>
      </c>
      <c r="J120" s="3387">
        <f t="shared" si="36"/>
        <v>0.74750000000000005</v>
      </c>
      <c r="K120" s="3387">
        <f t="shared" si="36"/>
        <v>0.74750000000000005</v>
      </c>
      <c r="L120" s="3387">
        <f t="shared" si="36"/>
        <v>0.74750000000000005</v>
      </c>
      <c r="M120" s="3410">
        <f t="shared" si="36"/>
        <v>0.74750000000000005</v>
      </c>
      <c r="N120" s="3397"/>
    </row>
    <row r="121" spans="1:14" ht="13.5" thickBot="1">
      <c r="A121" s="3411" t="s">
        <v>3331</v>
      </c>
      <c r="B121" s="3412">
        <f>ROUND(0.7836-0.012*B116,4)</f>
        <v>0.75180000000000002</v>
      </c>
      <c r="C121" s="3412">
        <f>B121</f>
        <v>0.75180000000000002</v>
      </c>
      <c r="D121" s="3412">
        <f>ROUND(0.753-0.015*B116,4)</f>
        <v>0.71330000000000005</v>
      </c>
      <c r="E121" s="3412">
        <f>D121</f>
        <v>0.71330000000000005</v>
      </c>
      <c r="F121" s="3412">
        <f>E121</f>
        <v>0.71330000000000005</v>
      </c>
      <c r="G121" s="3412">
        <f>ROUND(0.6612-0.018*B116,4)</f>
        <v>0.61350000000000005</v>
      </c>
      <c r="H121" s="3412">
        <f>G121</f>
        <v>0.61350000000000005</v>
      </c>
      <c r="I121" s="3412">
        <f>ROUND(0.5905-0.019*B116,4)</f>
        <v>0.54020000000000001</v>
      </c>
      <c r="J121" s="3412">
        <f t="shared" si="36"/>
        <v>0.54020000000000001</v>
      </c>
      <c r="K121" s="3412">
        <f t="shared" si="36"/>
        <v>0.54020000000000001</v>
      </c>
      <c r="L121" s="3412">
        <f t="shared" si="36"/>
        <v>0.54020000000000001</v>
      </c>
      <c r="M121" s="3413">
        <f t="shared" si="36"/>
        <v>0.54020000000000001</v>
      </c>
      <c r="N121" s="3397"/>
    </row>
    <row r="122" spans="1:14">
      <c r="A122" s="3414" t="s">
        <v>2612</v>
      </c>
      <c r="B122" s="3387">
        <f>ROUND(0.9404-0.0106*B116,4)</f>
        <v>0.9123</v>
      </c>
      <c r="C122" s="3387">
        <f>B122</f>
        <v>0.9123</v>
      </c>
      <c r="D122" s="3387">
        <f>ROUND(0.8955-0.0135*B116,4)</f>
        <v>0.85970000000000002</v>
      </c>
      <c r="E122" s="3387">
        <f t="shared" ref="E122:H122" si="38">D122</f>
        <v>0.85970000000000002</v>
      </c>
      <c r="F122" s="3387">
        <f t="shared" si="38"/>
        <v>0.85970000000000002</v>
      </c>
      <c r="G122" s="3387">
        <f t="shared" si="38"/>
        <v>0.85970000000000002</v>
      </c>
      <c r="H122" s="3387">
        <f t="shared" si="38"/>
        <v>0.85970000000000002</v>
      </c>
      <c r="I122" s="3387">
        <f>ROUND(0.7632-0.0166*B116,4)</f>
        <v>0.71919999999999995</v>
      </c>
      <c r="J122" s="3387">
        <f t="shared" si="36"/>
        <v>0.71919999999999995</v>
      </c>
      <c r="K122" s="3387">
        <f t="shared" si="36"/>
        <v>0.71919999999999995</v>
      </c>
      <c r="L122" s="3387">
        <f t="shared" si="36"/>
        <v>0.71919999999999995</v>
      </c>
      <c r="M122" s="3410">
        <f t="shared" si="36"/>
        <v>0.71919999999999995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3"/>
  <sheetViews>
    <sheetView workbookViewId="0">
      <selection activeCell="G19" sqref="G19"/>
    </sheetView>
  </sheetViews>
  <sheetFormatPr defaultRowHeight="13.5"/>
  <cols>
    <col min="2" max="2" width="17.875" customWidth="1"/>
    <col min="4" max="4" width="12" customWidth="1"/>
    <col min="5" max="5" width="10.5" bestFit="1" customWidth="1"/>
  </cols>
  <sheetData>
    <row r="1" spans="1:12">
      <c r="C1" s="3471" t="s">
        <v>3451</v>
      </c>
      <c r="D1" s="3471" t="s">
        <v>3452</v>
      </c>
      <c r="E1" s="3471" t="s">
        <v>3453</v>
      </c>
    </row>
    <row r="2" spans="1:12">
      <c r="A2" s="3790" t="s">
        <v>3470</v>
      </c>
      <c r="B2" t="str">
        <f>'[2]数据-基础表'!C13</f>
        <v>3#厂房</v>
      </c>
      <c r="C2">
        <f>'数据-基础表'!I13</f>
        <v>20303.16</v>
      </c>
    </row>
    <row r="3" spans="1:12">
      <c r="A3" s="3791"/>
      <c r="B3" t="str">
        <f>'[2]数据-基础表'!C14</f>
        <v>4#厂房</v>
      </c>
      <c r="C3">
        <f>'数据-基础表'!I14</f>
        <v>20755.060000000001</v>
      </c>
    </row>
    <row r="4" spans="1:12">
      <c r="A4" s="3791"/>
      <c r="B4" t="str">
        <f>'[2]数据-基础表'!C15</f>
        <v>5#厂房</v>
      </c>
      <c r="C4">
        <f>'数据-基础表'!I15</f>
        <v>20471.73</v>
      </c>
    </row>
    <row r="5" spans="1:12">
      <c r="A5" s="3791"/>
      <c r="B5" t="str">
        <f>'[2]数据-基础表'!C16</f>
        <v>地下车库及厂房</v>
      </c>
      <c r="E5">
        <f>'数据-基础表'!G16</f>
        <v>26806.129999999997</v>
      </c>
    </row>
    <row r="6" spans="1:12">
      <c r="A6" s="3790" t="s">
        <v>3469</v>
      </c>
      <c r="B6" t="str">
        <f>'[2]数据-基础表'!C17</f>
        <v>8#面包车间</v>
      </c>
      <c r="D6">
        <f>'数据-基础表'!I17</f>
        <v>700.4</v>
      </c>
    </row>
    <row r="7" spans="1:12">
      <c r="A7" s="3791"/>
      <c r="B7" t="str">
        <f>'[2]数据-基础表'!C18</f>
        <v>9#生日蛋糕车间</v>
      </c>
      <c r="D7">
        <f>'数据-基础表'!I18</f>
        <v>760.73</v>
      </c>
    </row>
    <row r="8" spans="1:12">
      <c r="A8" s="3791"/>
      <c r="B8" t="str">
        <f>'[2]数据-基础表'!C19</f>
        <v>12#水处理车间</v>
      </c>
      <c r="D8">
        <f>'数据-基础表'!I19</f>
        <v>208.39</v>
      </c>
    </row>
    <row r="9" spans="1:12">
      <c r="A9" s="3791"/>
      <c r="B9" t="str">
        <f>'[2]数据-基础表'!C20</f>
        <v>地下车库2段</v>
      </c>
      <c r="E9">
        <f>'数据-基础表'!G20</f>
        <v>10538.68</v>
      </c>
    </row>
    <row r="12" spans="1:12">
      <c r="B12" s="3471" t="s">
        <v>3451</v>
      </c>
      <c r="C12">
        <f>C33</f>
        <v>84141.329999999987</v>
      </c>
      <c r="D12">
        <f>D33</f>
        <v>6793</v>
      </c>
      <c r="E12">
        <f>D12*C12</f>
        <v>571572054.68999994</v>
      </c>
      <c r="I12" s="3471" t="s">
        <v>3467</v>
      </c>
      <c r="J12">
        <f>C2+C3+C4-J13</f>
        <v>55529.95</v>
      </c>
      <c r="K12">
        <v>4</v>
      </c>
      <c r="L12">
        <f>K12*J12</f>
        <v>222119.8</v>
      </c>
    </row>
    <row r="13" spans="1:12">
      <c r="B13" s="3471" t="s">
        <v>3469</v>
      </c>
      <c r="C13">
        <f>H33</f>
        <v>12208.2</v>
      </c>
      <c r="D13">
        <f>I33</f>
        <v>5063</v>
      </c>
      <c r="E13">
        <f>D13*C13</f>
        <v>61810116.600000001</v>
      </c>
      <c r="I13" s="3471" t="s">
        <v>3468</v>
      </c>
      <c r="J13">
        <v>6000</v>
      </c>
      <c r="K13">
        <v>6</v>
      </c>
      <c r="L13">
        <f t="shared" ref="L13:L14" si="0">K13*J13</f>
        <v>36000</v>
      </c>
    </row>
    <row r="14" spans="1:12">
      <c r="C14">
        <f>SUM(C12:C13)</f>
        <v>96349.529999999984</v>
      </c>
      <c r="D14">
        <f>E14/C14</f>
        <v>6573.7961699449916</v>
      </c>
      <c r="E14">
        <f>SUM(E12:E13)</f>
        <v>633382171.28999996</v>
      </c>
      <c r="I14" s="3471" t="s">
        <v>3469</v>
      </c>
      <c r="J14">
        <f>D6+D7+D8</f>
        <v>1669.52</v>
      </c>
      <c r="K14">
        <v>2.5</v>
      </c>
      <c r="L14">
        <f t="shared" si="0"/>
        <v>4173.8</v>
      </c>
    </row>
    <row r="15" spans="1:12">
      <c r="I15" s="3471"/>
      <c r="J15">
        <f>SUM(J12:J14)</f>
        <v>63199.469999999994</v>
      </c>
      <c r="K15">
        <f>L15/J15</f>
        <v>4.1502499941850779</v>
      </c>
      <c r="L15">
        <f>L12+L13+L14</f>
        <v>262293.59999999998</v>
      </c>
    </row>
    <row r="17" spans="2:10">
      <c r="B17" s="3471" t="s">
        <v>3454</v>
      </c>
      <c r="C17">
        <f>15003.25-4092.31</f>
        <v>10910.94</v>
      </c>
      <c r="D17">
        <f>D18/J15/365</f>
        <v>5.3909664773093273E-2</v>
      </c>
    </row>
    <row r="18" spans="2:10">
      <c r="C18">
        <f>C17/C19</f>
        <v>207.2629530268442</v>
      </c>
      <c r="D18">
        <f>C18*500*12</f>
        <v>1243577.7181610651</v>
      </c>
    </row>
    <row r="19" spans="2:10">
      <c r="C19">
        <f>15003.25/285</f>
        <v>52.642982456140352</v>
      </c>
    </row>
    <row r="22" spans="2:10">
      <c r="B22" s="1475" t="s">
        <v>3455</v>
      </c>
      <c r="C22" s="3472"/>
      <c r="D22" s="3472"/>
      <c r="E22" s="3472"/>
    </row>
    <row r="23" spans="2:10">
      <c r="B23" s="3473"/>
      <c r="C23" s="3474" t="s">
        <v>3456</v>
      </c>
      <c r="D23" s="3474" t="s">
        <v>3457</v>
      </c>
      <c r="E23" s="3474" t="s">
        <v>3458</v>
      </c>
      <c r="G23" s="3473"/>
      <c r="H23" s="3474" t="s">
        <v>3456</v>
      </c>
      <c r="I23" s="3474" t="s">
        <v>3457</v>
      </c>
      <c r="J23" s="3474" t="s">
        <v>3458</v>
      </c>
    </row>
    <row r="24" spans="2:10">
      <c r="B24" s="3475" t="s">
        <v>3459</v>
      </c>
      <c r="C24" s="3476">
        <f>C25</f>
        <v>84141.329999999987</v>
      </c>
      <c r="D24" s="3476">
        <f>ROUND(E24*10000/C24,0)</f>
        <v>6569</v>
      </c>
      <c r="E24" s="3476">
        <f>E25+E28+E29+E30</f>
        <v>55269</v>
      </c>
      <c r="G24" s="3475" t="s">
        <v>3459</v>
      </c>
      <c r="H24" s="3476">
        <f>H25</f>
        <v>12208.2</v>
      </c>
      <c r="I24" s="3476">
        <f>ROUND(J24*10000/H24,0)</f>
        <v>5063</v>
      </c>
      <c r="J24" s="3476">
        <f>J25+J28+J29+J30</f>
        <v>6181</v>
      </c>
    </row>
    <row r="25" spans="2:10">
      <c r="B25" s="3475" t="s">
        <v>3460</v>
      </c>
      <c r="C25" s="3476">
        <f>C26+C27</f>
        <v>84141.329999999987</v>
      </c>
      <c r="D25" s="3476">
        <f>ROUND(E25/C25*10000,0)</f>
        <v>3769</v>
      </c>
      <c r="E25" s="3476">
        <f>E26+E27</f>
        <v>31710</v>
      </c>
      <c r="G25" s="3475" t="s">
        <v>3460</v>
      </c>
      <c r="H25" s="3476">
        <f>H26+H27</f>
        <v>12208.2</v>
      </c>
      <c r="I25" s="3476">
        <f>ROUND(J25/H25*10000,0)</f>
        <v>3363</v>
      </c>
      <c r="J25" s="3476">
        <f>J26+J27</f>
        <v>4106</v>
      </c>
    </row>
    <row r="26" spans="2:10">
      <c r="B26" s="3474" t="s">
        <v>3424</v>
      </c>
      <c r="C26" s="3477">
        <f>C2+C3+C4</f>
        <v>61529.95</v>
      </c>
      <c r="D26" s="3473">
        <v>3500</v>
      </c>
      <c r="E26" s="3473">
        <f>ROUND(D26*C26/10000,0)</f>
        <v>21535</v>
      </c>
      <c r="G26" s="3474" t="s">
        <v>3424</v>
      </c>
      <c r="H26" s="3477">
        <f>D6+D7+D8</f>
        <v>1669.52</v>
      </c>
      <c r="I26" s="3473">
        <v>2500</v>
      </c>
      <c r="J26" s="3473">
        <f>ROUND(I26*H26/10000,0)</f>
        <v>417</v>
      </c>
    </row>
    <row r="27" spans="2:10">
      <c r="B27" s="3474" t="s">
        <v>3461</v>
      </c>
      <c r="C27" s="3473">
        <f>'数据-基础表'!AC16</f>
        <v>22611.379999999997</v>
      </c>
      <c r="D27" s="3473">
        <v>4500</v>
      </c>
      <c r="E27" s="3473">
        <f t="shared" ref="E27:E31" si="1">ROUND(D27*C27/10000,0)</f>
        <v>10175</v>
      </c>
      <c r="G27" s="3474" t="s">
        <v>3461</v>
      </c>
      <c r="H27" s="3473">
        <f>E9</f>
        <v>10538.68</v>
      </c>
      <c r="I27" s="3473">
        <v>3500</v>
      </c>
      <c r="J27" s="3473">
        <f t="shared" ref="J27:J31" si="2">ROUND(I27*H27/10000,0)</f>
        <v>3689</v>
      </c>
    </row>
    <row r="28" spans="2:10">
      <c r="B28" s="3475" t="s">
        <v>3462</v>
      </c>
      <c r="C28" s="3476">
        <f>C25</f>
        <v>84141.329999999987</v>
      </c>
      <c r="D28" s="3476">
        <v>500</v>
      </c>
      <c r="E28" s="3473">
        <f t="shared" si="1"/>
        <v>4207</v>
      </c>
      <c r="G28" s="3475" t="s">
        <v>3462</v>
      </c>
      <c r="H28" s="3476">
        <f>H25</f>
        <v>12208.2</v>
      </c>
      <c r="I28" s="3476">
        <v>500</v>
      </c>
      <c r="J28" s="3473">
        <f t="shared" si="2"/>
        <v>610</v>
      </c>
    </row>
    <row r="29" spans="2:10">
      <c r="B29" s="3475" t="s">
        <v>3463</v>
      </c>
      <c r="C29" s="3476">
        <f>C28</f>
        <v>84141.329999999987</v>
      </c>
      <c r="D29" s="3476">
        <v>300</v>
      </c>
      <c r="E29" s="3473">
        <f t="shared" si="1"/>
        <v>2524</v>
      </c>
      <c r="G29" s="3475" t="s">
        <v>3463</v>
      </c>
      <c r="H29" s="3476">
        <f>H28</f>
        <v>12208.2</v>
      </c>
      <c r="I29" s="3476">
        <v>0</v>
      </c>
      <c r="J29" s="3473">
        <f t="shared" si="2"/>
        <v>0</v>
      </c>
    </row>
    <row r="30" spans="2:10">
      <c r="B30" s="3475" t="s">
        <v>3464</v>
      </c>
      <c r="C30" s="3476">
        <f>C29</f>
        <v>84141.329999999987</v>
      </c>
      <c r="D30" s="3476">
        <v>2000</v>
      </c>
      <c r="E30" s="3473">
        <f t="shared" si="1"/>
        <v>16828</v>
      </c>
      <c r="G30" s="3475" t="s">
        <v>3464</v>
      </c>
      <c r="H30" s="3476">
        <f>H29</f>
        <v>12208.2</v>
      </c>
      <c r="I30" s="3476">
        <v>1200</v>
      </c>
      <c r="J30" s="3473">
        <f t="shared" si="2"/>
        <v>1465</v>
      </c>
    </row>
    <row r="31" spans="2:10">
      <c r="B31" s="3475" t="s">
        <v>3465</v>
      </c>
      <c r="C31" s="3478">
        <f>'数据-基础表'!AT16</f>
        <v>4194.75</v>
      </c>
      <c r="D31" s="3479">
        <f>D27</f>
        <v>4500</v>
      </c>
      <c r="E31" s="3473">
        <f t="shared" si="1"/>
        <v>1888</v>
      </c>
      <c r="G31" s="3475" t="s">
        <v>3465</v>
      </c>
      <c r="H31" s="3478"/>
      <c r="I31" s="3479"/>
      <c r="J31" s="3473">
        <f t="shared" si="2"/>
        <v>0</v>
      </c>
    </row>
    <row r="32" spans="2:10">
      <c r="B32" s="3475"/>
      <c r="C32" s="3480"/>
      <c r="D32" s="3473"/>
      <c r="E32" s="3473"/>
      <c r="G32" s="3475"/>
      <c r="H32" s="3480"/>
      <c r="I32" s="3473"/>
      <c r="J32" s="3473"/>
    </row>
    <row r="33" spans="2:10">
      <c r="B33" s="3474" t="s">
        <v>3466</v>
      </c>
      <c r="C33" s="3473">
        <f>C25</f>
        <v>84141.329999999987</v>
      </c>
      <c r="D33" s="3473">
        <f>ROUND(E33/C33*10000,0)</f>
        <v>6793</v>
      </c>
      <c r="E33" s="3473">
        <f>E32+E31+E24</f>
        <v>57157</v>
      </c>
      <c r="G33" s="3474" t="s">
        <v>3466</v>
      </c>
      <c r="H33" s="3473">
        <f>H25</f>
        <v>12208.2</v>
      </c>
      <c r="I33" s="3473">
        <f>ROUND(J33/H33*10000,0)</f>
        <v>5063</v>
      </c>
      <c r="J33" s="3473">
        <f>J32+J31+J24</f>
        <v>6181</v>
      </c>
    </row>
  </sheetData>
  <mergeCells count="2">
    <mergeCell ref="A2:A5"/>
    <mergeCell ref="A6:A9"/>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1" t="s">
        <v>2607</v>
      </c>
      <c r="B20" s="3796" t="s">
        <v>2628</v>
      </c>
      <c r="C20" s="3102" t="s">
        <v>2439</v>
      </c>
      <c r="D20" s="3103"/>
      <c r="E20" s="3104">
        <v>1</v>
      </c>
      <c r="F20" s="3105" t="s">
        <v>2440</v>
      </c>
      <c r="G20" s="3105"/>
    </row>
    <row r="21" spans="1:13" ht="19.5" customHeight="1">
      <c r="A21" s="3802"/>
      <c r="B21" s="3795"/>
      <c r="C21" s="3106" t="s">
        <v>2441</v>
      </c>
      <c r="D21" s="3107"/>
      <c r="E21" s="3108">
        <v>1</v>
      </c>
      <c r="F21" s="3105" t="s">
        <v>2442</v>
      </c>
      <c r="G21" s="3105"/>
    </row>
    <row r="22" spans="1:13" ht="19.5" customHeight="1">
      <c r="A22" s="3802"/>
      <c r="B22" s="3795"/>
      <c r="C22" s="3106" t="s">
        <v>2443</v>
      </c>
      <c r="D22" s="3107"/>
      <c r="E22" s="3108">
        <v>0.9</v>
      </c>
      <c r="F22" s="3105" t="s">
        <v>2444</v>
      </c>
      <c r="G22" s="3105"/>
    </row>
    <row r="23" spans="1:13" ht="19.5" customHeight="1">
      <c r="A23" s="3802"/>
      <c r="B23" s="3795"/>
      <c r="C23" s="3106" t="s">
        <v>2445</v>
      </c>
      <c r="D23" s="3107"/>
      <c r="E23" s="3108">
        <v>0.9</v>
      </c>
      <c r="F23" s="3105" t="s">
        <v>2446</v>
      </c>
      <c r="G23" s="3105"/>
    </row>
    <row r="24" spans="1:13" ht="19.5" customHeight="1">
      <c r="A24" s="3802"/>
      <c r="B24" s="3795"/>
      <c r="C24" s="3106" t="s">
        <v>2447</v>
      </c>
      <c r="D24" s="3107"/>
      <c r="E24" s="3108">
        <v>0.8</v>
      </c>
      <c r="F24" s="3105" t="s">
        <v>2448</v>
      </c>
      <c r="G24" s="3105"/>
    </row>
    <row r="25" spans="1:13" ht="19.5" customHeight="1" thickBot="1">
      <c r="A25" s="3803"/>
      <c r="B25" s="379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8" t="s">
        <v>2631</v>
      </c>
      <c r="B27" s="3796" t="s">
        <v>2612</v>
      </c>
      <c r="C27" s="3102" t="s">
        <v>2452</v>
      </c>
      <c r="D27" s="3103"/>
      <c r="E27" s="3104">
        <v>1</v>
      </c>
      <c r="F27" s="3105" t="s">
        <v>2453</v>
      </c>
      <c r="G27" s="3105"/>
    </row>
    <row r="28" spans="1:13" ht="19.5" customHeight="1">
      <c r="A28" s="3799"/>
      <c r="B28" s="3795"/>
      <c r="C28" s="3106" t="s">
        <v>2454</v>
      </c>
      <c r="D28" s="3107"/>
      <c r="E28" s="3108">
        <v>1</v>
      </c>
      <c r="F28" s="3105" t="s">
        <v>2455</v>
      </c>
      <c r="G28" s="3105"/>
    </row>
    <row r="29" spans="1:13" ht="19.5" customHeight="1">
      <c r="A29" s="3799"/>
      <c r="B29" s="3795"/>
      <c r="C29" s="3106" t="s">
        <v>2456</v>
      </c>
      <c r="D29" s="3107"/>
      <c r="E29" s="3108">
        <v>0.8</v>
      </c>
      <c r="F29" s="3105" t="s">
        <v>2457</v>
      </c>
      <c r="G29" s="3105"/>
    </row>
    <row r="30" spans="1:13" ht="19.5" customHeight="1">
      <c r="A30" s="3799"/>
      <c r="B30" s="3795"/>
      <c r="C30" s="3106" t="s">
        <v>2458</v>
      </c>
      <c r="D30" s="3107"/>
      <c r="E30" s="3108">
        <v>0.8</v>
      </c>
      <c r="F30" s="3105" t="s">
        <v>2459</v>
      </c>
      <c r="G30" s="3105"/>
    </row>
    <row r="31" spans="1:13" ht="19.5" customHeight="1">
      <c r="A31" s="3799"/>
      <c r="B31" s="3795"/>
      <c r="C31" s="3106" t="s">
        <v>2460</v>
      </c>
      <c r="D31" s="3107"/>
      <c r="E31" s="3108">
        <v>0.8</v>
      </c>
      <c r="F31" s="3105" t="s">
        <v>2461</v>
      </c>
      <c r="G31" s="3105"/>
    </row>
    <row r="32" spans="1:13" ht="19.5" customHeight="1">
      <c r="A32" s="3799"/>
      <c r="B32" s="3795"/>
      <c r="C32" s="3106" t="s">
        <v>2462</v>
      </c>
      <c r="D32" s="3107"/>
      <c r="E32" s="3108">
        <v>0.7</v>
      </c>
      <c r="F32" s="3105" t="s">
        <v>2463</v>
      </c>
      <c r="G32" s="3105"/>
    </row>
    <row r="33" spans="1:7" ht="19.5" customHeight="1">
      <c r="A33" s="3799"/>
      <c r="B33" s="3795"/>
      <c r="C33" s="3106" t="s">
        <v>2464</v>
      </c>
      <c r="D33" s="3107"/>
      <c r="E33" s="3108">
        <v>0.8</v>
      </c>
      <c r="F33" s="3105" t="s">
        <v>2465</v>
      </c>
      <c r="G33" s="3105"/>
    </row>
    <row r="34" spans="1:7" ht="19.5" customHeight="1">
      <c r="A34" s="3799"/>
      <c r="B34" s="3795"/>
      <c r="C34" s="3106" t="s">
        <v>2466</v>
      </c>
      <c r="D34" s="3107"/>
      <c r="E34" s="3108">
        <v>0.6</v>
      </c>
      <c r="F34" s="3105" t="s">
        <v>2467</v>
      </c>
      <c r="G34" s="3105"/>
    </row>
    <row r="35" spans="1:7" ht="19.5" customHeight="1">
      <c r="A35" s="3799"/>
      <c r="B35" s="3795"/>
      <c r="C35" s="3106" t="s">
        <v>2468</v>
      </c>
      <c r="D35" s="3107"/>
      <c r="E35" s="3108">
        <v>0.2</v>
      </c>
      <c r="F35" s="3105" t="s">
        <v>2469</v>
      </c>
      <c r="G35" s="3105"/>
    </row>
    <row r="36" spans="1:7" ht="19.5" customHeight="1">
      <c r="A36" s="3799"/>
      <c r="B36" s="3795"/>
      <c r="C36" s="3106" t="s">
        <v>2470</v>
      </c>
      <c r="D36" s="3107"/>
      <c r="E36" s="3108">
        <v>0.2</v>
      </c>
      <c r="F36" s="3105" t="s">
        <v>2471</v>
      </c>
      <c r="G36" s="3105"/>
    </row>
    <row r="37" spans="1:7" ht="19.5" customHeight="1">
      <c r="A37" s="3799"/>
      <c r="B37" s="3793" t="s">
        <v>2632</v>
      </c>
      <c r="C37" s="3106" t="s">
        <v>2472</v>
      </c>
      <c r="D37" s="3107"/>
      <c r="E37" s="3108">
        <v>0.6</v>
      </c>
      <c r="F37" s="3105" t="s">
        <v>2473</v>
      </c>
      <c r="G37" s="3105"/>
    </row>
    <row r="38" spans="1:7" ht="19.5" customHeight="1">
      <c r="A38" s="3799"/>
      <c r="B38" s="3795"/>
      <c r="C38" s="3106" t="s">
        <v>2474</v>
      </c>
      <c r="D38" s="3107"/>
      <c r="E38" s="3108">
        <v>0.6</v>
      </c>
      <c r="F38" s="3105" t="s">
        <v>2475</v>
      </c>
      <c r="G38" s="3105"/>
    </row>
    <row r="39" spans="1:7" ht="19.5" customHeight="1" thickBot="1">
      <c r="A39" s="3800"/>
      <c r="B39" s="379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1" t="s">
        <v>2610</v>
      </c>
      <c r="B41" s="3796" t="s">
        <v>2634</v>
      </c>
      <c r="C41" s="3102" t="s">
        <v>2479</v>
      </c>
      <c r="D41" s="3103"/>
      <c r="E41" s="3104">
        <v>1</v>
      </c>
      <c r="F41" s="3105" t="s">
        <v>2480</v>
      </c>
      <c r="G41" s="3105"/>
    </row>
    <row r="42" spans="1:7" ht="19.5" customHeight="1">
      <c r="A42" s="3802"/>
      <c r="B42" s="3795"/>
      <c r="C42" s="3106" t="s">
        <v>2481</v>
      </c>
      <c r="D42" s="3107"/>
      <c r="E42" s="3108">
        <v>1</v>
      </c>
      <c r="F42" s="3105" t="s">
        <v>2482</v>
      </c>
      <c r="G42" s="3105"/>
    </row>
    <row r="43" spans="1:7" ht="19.5" customHeight="1">
      <c r="A43" s="3802"/>
      <c r="B43" s="3794"/>
      <c r="C43" s="3106" t="s">
        <v>2483</v>
      </c>
      <c r="D43" s="3107"/>
      <c r="E43" s="3108">
        <v>1.5</v>
      </c>
      <c r="F43" s="3105" t="s">
        <v>2484</v>
      </c>
      <c r="G43" s="3105"/>
    </row>
    <row r="44" spans="1:7" ht="19.5" customHeight="1">
      <c r="A44" s="3802"/>
      <c r="B44" s="3117" t="s">
        <v>2635</v>
      </c>
      <c r="C44" s="3106" t="s">
        <v>2636</v>
      </c>
      <c r="D44" s="3107"/>
      <c r="E44" s="3108">
        <v>2</v>
      </c>
      <c r="F44" s="3105" t="s">
        <v>2485</v>
      </c>
      <c r="G44" s="3105"/>
    </row>
    <row r="45" spans="1:7" ht="19.5" customHeight="1">
      <c r="A45" s="3802"/>
      <c r="B45" s="3793" t="s">
        <v>2637</v>
      </c>
      <c r="C45" s="3106" t="s">
        <v>2486</v>
      </c>
      <c r="D45" s="3107"/>
      <c r="E45" s="3108">
        <v>1</v>
      </c>
      <c r="F45" s="3105" t="s">
        <v>2487</v>
      </c>
      <c r="G45" s="3105"/>
    </row>
    <row r="46" spans="1:7" ht="19.5" customHeight="1">
      <c r="A46" s="3802"/>
      <c r="B46" s="3795"/>
      <c r="C46" s="3106" t="s">
        <v>2488</v>
      </c>
      <c r="D46" s="3107"/>
      <c r="E46" s="3108">
        <v>1</v>
      </c>
      <c r="F46" s="3105" t="s">
        <v>2489</v>
      </c>
      <c r="G46" s="3105"/>
    </row>
    <row r="47" spans="1:7" ht="19.5" customHeight="1">
      <c r="A47" s="3802"/>
      <c r="B47" s="3795"/>
      <c r="C47" s="3106" t="s">
        <v>2490</v>
      </c>
      <c r="D47" s="3107"/>
      <c r="E47" s="3108">
        <v>1</v>
      </c>
      <c r="F47" s="3105" t="s">
        <v>2491</v>
      </c>
      <c r="G47" s="3105"/>
    </row>
    <row r="48" spans="1:7" ht="19.5" customHeight="1">
      <c r="A48" s="3802"/>
      <c r="B48" s="3795"/>
      <c r="C48" s="3106" t="s">
        <v>2492</v>
      </c>
      <c r="D48" s="3107"/>
      <c r="E48" s="3108">
        <v>1</v>
      </c>
      <c r="F48" s="3105" t="s">
        <v>2493</v>
      </c>
      <c r="G48" s="3105"/>
    </row>
    <row r="49" spans="1:7" ht="19.5" customHeight="1">
      <c r="A49" s="3802"/>
      <c r="B49" s="3795"/>
      <c r="C49" s="3106" t="s">
        <v>2494</v>
      </c>
      <c r="D49" s="3107"/>
      <c r="E49" s="3108">
        <v>1</v>
      </c>
      <c r="F49" s="3105" t="s">
        <v>2495</v>
      </c>
      <c r="G49" s="3105"/>
    </row>
    <row r="50" spans="1:7" ht="19.5" customHeight="1">
      <c r="A50" s="3802"/>
      <c r="B50" s="3795"/>
      <c r="C50" s="3106" t="s">
        <v>2496</v>
      </c>
      <c r="D50" s="3107"/>
      <c r="E50" s="3108">
        <v>1</v>
      </c>
      <c r="F50" s="3105" t="s">
        <v>2497</v>
      </c>
      <c r="G50" s="3105"/>
    </row>
    <row r="51" spans="1:7" ht="19.5" customHeight="1" thickBot="1">
      <c r="A51" s="3803"/>
      <c r="B51" s="379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3" t="s">
        <v>2651</v>
      </c>
      <c r="C73" s="3091" t="s">
        <v>2652</v>
      </c>
      <c r="D73" s="3091" t="s">
        <v>2653</v>
      </c>
      <c r="E73" s="3117">
        <v>0.2</v>
      </c>
      <c r="F73" s="3117">
        <v>25</v>
      </c>
    </row>
    <row r="74" spans="1:7" ht="24">
      <c r="A74" s="3117">
        <v>2</v>
      </c>
      <c r="B74" s="3795"/>
      <c r="C74" s="3091" t="s">
        <v>2654</v>
      </c>
      <c r="D74" s="3091" t="s">
        <v>2655</v>
      </c>
      <c r="E74" s="3117">
        <v>0.2</v>
      </c>
      <c r="F74" s="3117">
        <v>25</v>
      </c>
    </row>
    <row r="75" spans="1:7" ht="24">
      <c r="A75" s="3117">
        <v>3</v>
      </c>
      <c r="B75" s="3795"/>
      <c r="C75" s="3091" t="s">
        <v>2656</v>
      </c>
      <c r="D75" s="3091" t="s">
        <v>2657</v>
      </c>
      <c r="E75" s="3117">
        <v>0.2</v>
      </c>
      <c r="F75" s="3117">
        <v>25</v>
      </c>
    </row>
    <row r="76" spans="1:7" ht="13.5">
      <c r="A76" s="3117">
        <v>4</v>
      </c>
      <c r="B76" s="3795"/>
      <c r="C76" s="3091" t="s">
        <v>2658</v>
      </c>
      <c r="D76" s="3091" t="s">
        <v>2659</v>
      </c>
      <c r="E76" s="3117">
        <v>0.15</v>
      </c>
      <c r="F76" s="3117">
        <v>20</v>
      </c>
    </row>
    <row r="77" spans="1:7" ht="24">
      <c r="A77" s="3117">
        <v>5</v>
      </c>
      <c r="B77" s="3795"/>
      <c r="C77" s="3091" t="s">
        <v>2660</v>
      </c>
      <c r="D77" s="3091" t="s">
        <v>2661</v>
      </c>
      <c r="E77" s="3117">
        <v>0.15</v>
      </c>
      <c r="F77" s="3117">
        <v>20</v>
      </c>
    </row>
    <row r="78" spans="1:7" ht="24">
      <c r="A78" s="3117">
        <v>6</v>
      </c>
      <c r="B78" s="3795"/>
      <c r="C78" s="3091" t="s">
        <v>2662</v>
      </c>
      <c r="D78" s="3091" t="s">
        <v>2663</v>
      </c>
      <c r="E78" s="3117">
        <v>0.15</v>
      </c>
      <c r="F78" s="3117">
        <v>20</v>
      </c>
    </row>
    <row r="79" spans="1:7" ht="24">
      <c r="A79" s="3117">
        <v>7</v>
      </c>
      <c r="B79" s="3795"/>
      <c r="C79" s="3091" t="s">
        <v>2664</v>
      </c>
      <c r="D79" s="3091" t="s">
        <v>2665</v>
      </c>
      <c r="E79" s="3117">
        <v>0.15</v>
      </c>
      <c r="F79" s="3117">
        <v>20</v>
      </c>
    </row>
    <row r="80" spans="1:7" ht="24">
      <c r="A80" s="3117">
        <v>8</v>
      </c>
      <c r="B80" s="3795"/>
      <c r="C80" s="3091" t="s">
        <v>2666</v>
      </c>
      <c r="D80" s="3091" t="s">
        <v>2667</v>
      </c>
      <c r="E80" s="3117">
        <v>0.1</v>
      </c>
      <c r="F80" s="3117">
        <v>15</v>
      </c>
    </row>
    <row r="81" spans="1:6" ht="24">
      <c r="A81" s="3117">
        <v>9</v>
      </c>
      <c r="B81" s="3795"/>
      <c r="C81" s="3091" t="s">
        <v>2668</v>
      </c>
      <c r="D81" s="3091" t="s">
        <v>2669</v>
      </c>
      <c r="E81" s="3117">
        <v>0.1</v>
      </c>
      <c r="F81" s="3117">
        <v>15</v>
      </c>
    </row>
    <row r="82" spans="1:6" ht="24">
      <c r="A82" s="3117">
        <v>10</v>
      </c>
      <c r="B82" s="3795"/>
      <c r="C82" s="3091" t="s">
        <v>2670</v>
      </c>
      <c r="D82" s="3091" t="s">
        <v>2671</v>
      </c>
      <c r="E82" s="3117">
        <v>0.1</v>
      </c>
      <c r="F82" s="3117">
        <v>15</v>
      </c>
    </row>
    <row r="83" spans="1:6" ht="24">
      <c r="A83" s="3117">
        <v>11</v>
      </c>
      <c r="B83" s="3795"/>
      <c r="C83" s="3091" t="s">
        <v>2672</v>
      </c>
      <c r="D83" s="3091" t="s">
        <v>2673</v>
      </c>
      <c r="E83" s="3117">
        <v>0.1</v>
      </c>
      <c r="F83" s="3117">
        <v>15</v>
      </c>
    </row>
    <row r="84" spans="1:6" ht="24">
      <c r="A84" s="3117">
        <v>12</v>
      </c>
      <c r="B84" s="3795"/>
      <c r="C84" s="3091" t="s">
        <v>2674</v>
      </c>
      <c r="D84" s="3091" t="s">
        <v>2675</v>
      </c>
      <c r="E84" s="3117">
        <v>0.1</v>
      </c>
      <c r="F84" s="3117">
        <v>15</v>
      </c>
    </row>
    <row r="85" spans="1:6" ht="13.5">
      <c r="A85" s="3117">
        <v>13</v>
      </c>
      <c r="B85" s="3795"/>
      <c r="C85" s="3091" t="s">
        <v>2676</v>
      </c>
      <c r="D85" s="3091" t="s">
        <v>2677</v>
      </c>
      <c r="E85" s="3117">
        <v>0.1</v>
      </c>
      <c r="F85" s="3117">
        <v>15</v>
      </c>
    </row>
    <row r="86" spans="1:6" ht="13.5">
      <c r="A86" s="3117">
        <v>14</v>
      </c>
      <c r="B86" s="3795"/>
      <c r="C86" s="3091" t="s">
        <v>2678</v>
      </c>
      <c r="D86" s="3091" t="s">
        <v>2679</v>
      </c>
      <c r="E86" s="3117">
        <v>0.1</v>
      </c>
      <c r="F86" s="3117">
        <v>15</v>
      </c>
    </row>
    <row r="87" spans="1:6" ht="13.5">
      <c r="A87" s="3117">
        <v>15</v>
      </c>
      <c r="B87" s="3795"/>
      <c r="C87" s="3091" t="s">
        <v>2680</v>
      </c>
      <c r="D87" s="3091" t="s">
        <v>2681</v>
      </c>
      <c r="E87" s="3117">
        <v>0.1</v>
      </c>
      <c r="F87" s="3117">
        <v>15</v>
      </c>
    </row>
    <row r="88" spans="1:6" ht="24">
      <c r="A88" s="3117">
        <v>16</v>
      </c>
      <c r="B88" s="3795"/>
      <c r="C88" s="3091" t="s">
        <v>2682</v>
      </c>
      <c r="D88" s="3091" t="s">
        <v>2683</v>
      </c>
      <c r="E88" s="3117">
        <v>0.1</v>
      </c>
      <c r="F88" s="3117">
        <v>15</v>
      </c>
    </row>
    <row r="89" spans="1:6" ht="24">
      <c r="A89" s="3117">
        <v>17</v>
      </c>
      <c r="B89" s="3794"/>
      <c r="C89" s="3091" t="s">
        <v>2684</v>
      </c>
      <c r="D89" s="3091" t="s">
        <v>2685</v>
      </c>
      <c r="E89" s="3117">
        <v>0.1</v>
      </c>
      <c r="F89" s="3117">
        <v>15</v>
      </c>
    </row>
    <row r="90" spans="1:6" ht="13.5">
      <c r="A90" s="3117">
        <v>18</v>
      </c>
      <c r="B90" s="3793" t="s">
        <v>2686</v>
      </c>
      <c r="C90" s="3091" t="s">
        <v>2687</v>
      </c>
      <c r="D90" s="3091" t="s">
        <v>2688</v>
      </c>
      <c r="E90" s="3117">
        <v>0.2</v>
      </c>
      <c r="F90" s="3117">
        <v>25</v>
      </c>
    </row>
    <row r="91" spans="1:6" ht="24">
      <c r="A91" s="3117">
        <v>19</v>
      </c>
      <c r="B91" s="3795"/>
      <c r="C91" s="3091" t="s">
        <v>2689</v>
      </c>
      <c r="D91" s="3091" t="s">
        <v>2690</v>
      </c>
      <c r="E91" s="3117">
        <v>0.2</v>
      </c>
      <c r="F91" s="3117">
        <v>25</v>
      </c>
    </row>
    <row r="92" spans="1:6" ht="13.5">
      <c r="A92" s="3117">
        <v>20</v>
      </c>
      <c r="B92" s="3795"/>
      <c r="C92" s="3091" t="s">
        <v>2691</v>
      </c>
      <c r="D92" s="3091" t="s">
        <v>2692</v>
      </c>
      <c r="E92" s="3117">
        <v>0.15</v>
      </c>
      <c r="F92" s="3117">
        <v>20</v>
      </c>
    </row>
    <row r="93" spans="1:6" ht="13.5">
      <c r="A93" s="3117">
        <v>21</v>
      </c>
      <c r="B93" s="3795"/>
      <c r="C93" s="3091" t="s">
        <v>2693</v>
      </c>
      <c r="D93" s="3091" t="s">
        <v>2694</v>
      </c>
      <c r="E93" s="3117">
        <v>0.15</v>
      </c>
      <c r="F93" s="3117">
        <v>20</v>
      </c>
    </row>
    <row r="94" spans="1:6" ht="13.5">
      <c r="A94" s="3117">
        <v>22</v>
      </c>
      <c r="B94" s="3795"/>
      <c r="C94" s="3091" t="s">
        <v>2695</v>
      </c>
      <c r="D94" s="3091" t="s">
        <v>2696</v>
      </c>
      <c r="E94" s="3117">
        <v>0.15</v>
      </c>
      <c r="F94" s="3117">
        <v>20</v>
      </c>
    </row>
    <row r="95" spans="1:6" ht="36">
      <c r="A95" s="3117">
        <v>23</v>
      </c>
      <c r="B95" s="3795"/>
      <c r="C95" s="3091" t="s">
        <v>2697</v>
      </c>
      <c r="D95" s="3091" t="s">
        <v>2698</v>
      </c>
      <c r="E95" s="3117">
        <v>0.15</v>
      </c>
      <c r="F95" s="3117">
        <v>20</v>
      </c>
    </row>
    <row r="96" spans="1:6" ht="13.5">
      <c r="A96" s="3117">
        <v>24</v>
      </c>
      <c r="B96" s="3795"/>
      <c r="C96" s="3091" t="s">
        <v>2699</v>
      </c>
      <c r="D96" s="3091" t="s">
        <v>2700</v>
      </c>
      <c r="E96" s="3117">
        <v>0.1</v>
      </c>
      <c r="F96" s="3117">
        <v>15</v>
      </c>
    </row>
    <row r="97" spans="1:6" ht="13.5">
      <c r="A97" s="3117">
        <v>25</v>
      </c>
      <c r="B97" s="3795"/>
      <c r="C97" s="3091" t="s">
        <v>2701</v>
      </c>
      <c r="D97" s="3091" t="s">
        <v>2702</v>
      </c>
      <c r="E97" s="3117">
        <v>0.1</v>
      </c>
      <c r="F97" s="3117">
        <v>15</v>
      </c>
    </row>
    <row r="98" spans="1:6" ht="24">
      <c r="A98" s="3117">
        <v>26</v>
      </c>
      <c r="B98" s="3795"/>
      <c r="C98" s="3091" t="s">
        <v>2703</v>
      </c>
      <c r="D98" s="3091" t="s">
        <v>2704</v>
      </c>
      <c r="E98" s="3117">
        <v>0.1</v>
      </c>
      <c r="F98" s="3117">
        <v>15</v>
      </c>
    </row>
    <row r="99" spans="1:6" ht="24">
      <c r="A99" s="3117">
        <v>27</v>
      </c>
      <c r="B99" s="3795"/>
      <c r="C99" s="3091" t="s">
        <v>2705</v>
      </c>
      <c r="D99" s="3091" t="s">
        <v>2706</v>
      </c>
      <c r="E99" s="3117">
        <v>0.1</v>
      </c>
      <c r="F99" s="3117">
        <v>15</v>
      </c>
    </row>
    <row r="100" spans="1:6" ht="13.5">
      <c r="A100" s="3117">
        <v>28</v>
      </c>
      <c r="B100" s="3795"/>
      <c r="C100" s="3091" t="s">
        <v>2707</v>
      </c>
      <c r="D100" s="3091" t="s">
        <v>2708</v>
      </c>
      <c r="E100" s="3117">
        <v>0.1</v>
      </c>
      <c r="F100" s="3117">
        <v>15</v>
      </c>
    </row>
    <row r="101" spans="1:6" ht="13.5">
      <c r="A101" s="3117">
        <v>29</v>
      </c>
      <c r="B101" s="3795"/>
      <c r="C101" s="3091" t="s">
        <v>2709</v>
      </c>
      <c r="D101" s="3091" t="s">
        <v>2710</v>
      </c>
      <c r="E101" s="3117">
        <v>0.1</v>
      </c>
      <c r="F101" s="3117">
        <v>15</v>
      </c>
    </row>
    <row r="102" spans="1:6" ht="13.5">
      <c r="A102" s="3117">
        <v>30</v>
      </c>
      <c r="B102" s="3795"/>
      <c r="C102" s="3091" t="s">
        <v>2711</v>
      </c>
      <c r="D102" s="3091" t="s">
        <v>2712</v>
      </c>
      <c r="E102" s="3117">
        <v>0.1</v>
      </c>
      <c r="F102" s="3117">
        <v>15</v>
      </c>
    </row>
    <row r="103" spans="1:6" ht="24">
      <c r="A103" s="3117">
        <v>31</v>
      </c>
      <c r="B103" s="3795"/>
      <c r="C103" s="3091" t="s">
        <v>2713</v>
      </c>
      <c r="D103" s="3091" t="s">
        <v>2714</v>
      </c>
      <c r="E103" s="3117">
        <v>0.1</v>
      </c>
      <c r="F103" s="3117">
        <v>15</v>
      </c>
    </row>
    <row r="104" spans="1:6" ht="24">
      <c r="A104" s="3117">
        <v>32</v>
      </c>
      <c r="B104" s="3795"/>
      <c r="C104" s="3091" t="s">
        <v>2715</v>
      </c>
      <c r="D104" s="3091" t="s">
        <v>2716</v>
      </c>
      <c r="E104" s="3117">
        <v>0.1</v>
      </c>
      <c r="F104" s="3117">
        <v>15</v>
      </c>
    </row>
    <row r="105" spans="1:6" ht="24">
      <c r="A105" s="3117">
        <v>33</v>
      </c>
      <c r="B105" s="3795"/>
      <c r="C105" s="3091" t="s">
        <v>2717</v>
      </c>
      <c r="D105" s="3091" t="s">
        <v>2718</v>
      </c>
      <c r="E105" s="3117">
        <v>0.1</v>
      </c>
      <c r="F105" s="3117">
        <v>15</v>
      </c>
    </row>
    <row r="106" spans="1:6" ht="24">
      <c r="A106" s="3117">
        <v>34</v>
      </c>
      <c r="B106" s="3794"/>
      <c r="C106" s="3091" t="s">
        <v>2719</v>
      </c>
      <c r="D106" s="3091" t="s">
        <v>2720</v>
      </c>
      <c r="E106" s="3117">
        <v>0.1</v>
      </c>
      <c r="F106" s="3117">
        <v>15</v>
      </c>
    </row>
    <row r="107" spans="1:6" ht="24">
      <c r="A107" s="3117">
        <v>35</v>
      </c>
      <c r="B107" s="3793" t="s">
        <v>2721</v>
      </c>
      <c r="C107" s="3117" t="s">
        <v>2722</v>
      </c>
      <c r="D107" s="3091" t="s">
        <v>2723</v>
      </c>
      <c r="E107" s="3117">
        <v>0.15</v>
      </c>
      <c r="F107" s="3117">
        <v>20</v>
      </c>
    </row>
    <row r="108" spans="1:6" ht="13.5">
      <c r="A108" s="3117">
        <v>36</v>
      </c>
      <c r="B108" s="3795"/>
      <c r="C108" s="3117" t="s">
        <v>2724</v>
      </c>
      <c r="D108" s="3091" t="s">
        <v>2725</v>
      </c>
      <c r="E108" s="3117">
        <v>0.15</v>
      </c>
      <c r="F108" s="3117">
        <v>20</v>
      </c>
    </row>
    <row r="109" spans="1:6" ht="13.5">
      <c r="A109" s="3117">
        <v>37</v>
      </c>
      <c r="B109" s="3795"/>
      <c r="C109" s="3117" t="s">
        <v>2726</v>
      </c>
      <c r="D109" s="3091" t="s">
        <v>2727</v>
      </c>
      <c r="E109" s="3117">
        <v>0.15</v>
      </c>
      <c r="F109" s="3117">
        <v>20</v>
      </c>
    </row>
    <row r="110" spans="1:6" ht="13.5">
      <c r="A110" s="3117">
        <v>38</v>
      </c>
      <c r="B110" s="3795"/>
      <c r="C110" s="3117" t="s">
        <v>2728</v>
      </c>
      <c r="D110" s="3091" t="s">
        <v>2729</v>
      </c>
      <c r="E110" s="3117">
        <v>0.1</v>
      </c>
      <c r="F110" s="3117">
        <v>15</v>
      </c>
    </row>
    <row r="111" spans="1:6" ht="24">
      <c r="A111" s="3117">
        <v>39</v>
      </c>
      <c r="B111" s="3795"/>
      <c r="C111" s="3117" t="s">
        <v>2730</v>
      </c>
      <c r="D111" s="3091" t="s">
        <v>2731</v>
      </c>
      <c r="E111" s="3117">
        <v>0.1</v>
      </c>
      <c r="F111" s="3117">
        <v>15</v>
      </c>
    </row>
    <row r="112" spans="1:6" ht="24">
      <c r="A112" s="3117">
        <v>40</v>
      </c>
      <c r="B112" s="3794"/>
      <c r="C112" s="3117" t="s">
        <v>2732</v>
      </c>
      <c r="D112" s="3091" t="s">
        <v>2733</v>
      </c>
      <c r="E112" s="3117">
        <v>0.1</v>
      </c>
      <c r="F112" s="3117">
        <v>15</v>
      </c>
    </row>
    <row r="113" spans="1:6" ht="13.5">
      <c r="A113" s="3117">
        <v>41</v>
      </c>
      <c r="B113" s="3792" t="s">
        <v>2734</v>
      </c>
      <c r="C113" s="3117" t="s">
        <v>2735</v>
      </c>
      <c r="D113" s="3091" t="s">
        <v>2736</v>
      </c>
      <c r="E113" s="3117">
        <v>0.1</v>
      </c>
      <c r="F113" s="3117">
        <v>15</v>
      </c>
    </row>
    <row r="114" spans="1:6" ht="13.5">
      <c r="A114" s="3117">
        <v>42</v>
      </c>
      <c r="B114" s="3792"/>
      <c r="C114" s="3117" t="s">
        <v>2737</v>
      </c>
      <c r="D114" s="3091" t="s">
        <v>2738</v>
      </c>
      <c r="E114" s="3117">
        <v>0.1</v>
      </c>
      <c r="F114" s="3117">
        <v>15</v>
      </c>
    </row>
    <row r="115" spans="1:6" ht="24">
      <c r="A115" s="3117">
        <v>43</v>
      </c>
      <c r="B115" s="3792"/>
      <c r="C115" s="3117" t="s">
        <v>2739</v>
      </c>
      <c r="D115" s="3091" t="s">
        <v>2740</v>
      </c>
      <c r="E115" s="3117">
        <v>0.1</v>
      </c>
      <c r="F115" s="3117">
        <v>15</v>
      </c>
    </row>
    <row r="116" spans="1:6" ht="13.5">
      <c r="A116" s="3117">
        <v>44</v>
      </c>
      <c r="B116" s="3793" t="s">
        <v>2741</v>
      </c>
      <c r="C116" s="3117" t="s">
        <v>2742</v>
      </c>
      <c r="D116" s="3091" t="s">
        <v>2743</v>
      </c>
      <c r="E116" s="3117">
        <v>0.1</v>
      </c>
      <c r="F116" s="3117">
        <v>15</v>
      </c>
    </row>
    <row r="117" spans="1:6" ht="24">
      <c r="A117" s="3117">
        <v>45</v>
      </c>
      <c r="B117" s="3794"/>
      <c r="C117" s="3091" t="s">
        <v>2744</v>
      </c>
      <c r="D117" s="3091" t="s">
        <v>2745</v>
      </c>
      <c r="E117" s="3117">
        <v>0.1</v>
      </c>
      <c r="F117" s="3117">
        <v>15</v>
      </c>
    </row>
    <row r="118" spans="1:6" ht="24">
      <c r="A118" s="3117">
        <v>46</v>
      </c>
      <c r="B118" s="3793" t="s">
        <v>2746</v>
      </c>
      <c r="C118" s="3117" t="s">
        <v>2747</v>
      </c>
      <c r="D118" s="3091" t="s">
        <v>2748</v>
      </c>
      <c r="E118" s="3117">
        <v>0.1</v>
      </c>
      <c r="F118" s="3117">
        <v>15</v>
      </c>
    </row>
    <row r="119" spans="1:6" ht="24">
      <c r="A119" s="3117">
        <v>47</v>
      </c>
      <c r="B119" s="3794"/>
      <c r="C119" s="3117" t="s">
        <v>2749</v>
      </c>
      <c r="D119" s="3091" t="s">
        <v>2750</v>
      </c>
      <c r="E119" s="3117">
        <v>0.1</v>
      </c>
      <c r="F119" s="3117">
        <v>15</v>
      </c>
    </row>
    <row r="120" spans="1:6" ht="13.5">
      <c r="A120" s="3117">
        <v>48</v>
      </c>
      <c r="B120" s="3793" t="s">
        <v>2751</v>
      </c>
      <c r="C120" s="3117" t="s">
        <v>2752</v>
      </c>
      <c r="D120" s="3091" t="s">
        <v>2753</v>
      </c>
      <c r="E120" s="3117">
        <v>0.1</v>
      </c>
      <c r="F120" s="3117">
        <v>15</v>
      </c>
    </row>
    <row r="121" spans="1:6" ht="13.5">
      <c r="A121" s="3117">
        <v>49</v>
      </c>
      <c r="B121" s="3794"/>
      <c r="C121" s="3117" t="s">
        <v>2754</v>
      </c>
      <c r="D121" s="3091" t="s">
        <v>2755</v>
      </c>
      <c r="E121" s="3117">
        <v>0.1</v>
      </c>
      <c r="F121" s="3117">
        <v>15</v>
      </c>
    </row>
    <row r="122" spans="1:6" ht="24">
      <c r="A122" s="3117">
        <v>50</v>
      </c>
      <c r="B122" s="3792" t="s">
        <v>2756</v>
      </c>
      <c r="C122" s="3117" t="s">
        <v>2757</v>
      </c>
      <c r="D122" s="3091" t="s">
        <v>2758</v>
      </c>
      <c r="E122" s="3117">
        <v>0.1</v>
      </c>
      <c r="F122" s="3117">
        <v>15</v>
      </c>
    </row>
    <row r="123" spans="1:6" ht="24">
      <c r="A123" s="3117">
        <v>51</v>
      </c>
      <c r="B123" s="3792"/>
      <c r="C123" s="3117" t="s">
        <v>2759</v>
      </c>
      <c r="D123" s="3091" t="s">
        <v>2760</v>
      </c>
      <c r="E123" s="3117">
        <v>0.1</v>
      </c>
      <c r="F123" s="3117">
        <v>15</v>
      </c>
    </row>
    <row r="124" spans="1:6" ht="24">
      <c r="A124" s="3117">
        <v>52</v>
      </c>
      <c r="B124" s="3792" t="s">
        <v>2761</v>
      </c>
      <c r="C124" s="3117" t="s">
        <v>2762</v>
      </c>
      <c r="D124" s="3091" t="s">
        <v>2763</v>
      </c>
      <c r="E124" s="3117">
        <v>0.1</v>
      </c>
      <c r="F124" s="3117">
        <v>15</v>
      </c>
    </row>
    <row r="125" spans="1:6" ht="24">
      <c r="A125" s="3117">
        <v>53</v>
      </c>
      <c r="B125" s="379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2" t="s">
        <v>2769</v>
      </c>
      <c r="C127" s="3117" t="s">
        <v>2770</v>
      </c>
      <c r="D127" s="3091" t="s">
        <v>2771</v>
      </c>
      <c r="E127" s="3117">
        <v>0.1</v>
      </c>
      <c r="F127" s="3117">
        <v>15</v>
      </c>
    </row>
    <row r="128" spans="1:6" ht="13.5">
      <c r="A128" s="3117">
        <v>56</v>
      </c>
      <c r="B128" s="3792"/>
      <c r="C128" s="3117" t="s">
        <v>2772</v>
      </c>
      <c r="D128" s="3091" t="s">
        <v>2773</v>
      </c>
      <c r="E128" s="3117">
        <v>0.1</v>
      </c>
      <c r="F128" s="3117">
        <v>15</v>
      </c>
    </row>
    <row r="129" spans="1:6" ht="24">
      <c r="A129" s="3117">
        <v>57</v>
      </c>
      <c r="B129" s="3792"/>
      <c r="C129" s="3117" t="s">
        <v>2774</v>
      </c>
      <c r="D129" s="3091" t="s">
        <v>2775</v>
      </c>
      <c r="E129" s="3117">
        <v>0.1</v>
      </c>
      <c r="F129" s="3117">
        <v>15</v>
      </c>
    </row>
    <row r="130" spans="1:6" ht="24">
      <c r="A130" s="3117">
        <v>58</v>
      </c>
      <c r="B130" s="3792" t="s">
        <v>2776</v>
      </c>
      <c r="C130" s="3117" t="s">
        <v>2777</v>
      </c>
      <c r="D130" s="3091" t="s">
        <v>2778</v>
      </c>
      <c r="E130" s="3117">
        <v>0.1</v>
      </c>
      <c r="F130" s="3117">
        <v>15</v>
      </c>
    </row>
    <row r="131" spans="1:6" ht="13.5">
      <c r="A131" s="3117">
        <v>59</v>
      </c>
      <c r="B131" s="3792"/>
      <c r="C131" s="3117" t="s">
        <v>2779</v>
      </c>
      <c r="D131" s="3091" t="s">
        <v>2780</v>
      </c>
      <c r="E131" s="3117">
        <v>0.1</v>
      </c>
      <c r="F131" s="3117">
        <v>15</v>
      </c>
    </row>
    <row r="132" spans="1:6" ht="13.5">
      <c r="A132" s="3117">
        <v>60</v>
      </c>
      <c r="B132" s="3793" t="s">
        <v>2781</v>
      </c>
      <c r="C132" s="3117" t="s">
        <v>2782</v>
      </c>
      <c r="D132" s="3091" t="s">
        <v>2783</v>
      </c>
      <c r="E132" s="3117">
        <v>0.1</v>
      </c>
      <c r="F132" s="3117">
        <v>15</v>
      </c>
    </row>
    <row r="133" spans="1:6" ht="13.5">
      <c r="A133" s="3117">
        <v>61</v>
      </c>
      <c r="B133" s="379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2" t="s">
        <v>2789</v>
      </c>
      <c r="C135" s="3117" t="s">
        <v>2790</v>
      </c>
      <c r="D135" s="3091" t="s">
        <v>2791</v>
      </c>
      <c r="E135" s="3117">
        <v>0.1</v>
      </c>
      <c r="F135" s="3117">
        <v>15</v>
      </c>
    </row>
    <row r="136" spans="1:6" ht="13.5">
      <c r="A136" s="3117">
        <v>64</v>
      </c>
      <c r="B136" s="379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0.99160000000000004</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0.94320000000000004</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103048</v>
      </c>
      <c r="E5" s="1491"/>
    </row>
    <row r="6" spans="1:5" ht="15.75">
      <c r="A6" s="1491"/>
      <c r="B6" s="3485"/>
      <c r="C6" s="1494" t="s">
        <v>911</v>
      </c>
      <c r="D6" s="850" t="str">
        <f ca="1">NUMBERSTRING(INT(D5*10000),2)&amp;"元整"</f>
        <v>壹拾亿叁仟零肆拾捌万元整</v>
      </c>
      <c r="E6" s="1491"/>
    </row>
    <row r="7" spans="1:5" ht="15.75">
      <c r="A7" s="1491"/>
      <c r="B7" s="3490"/>
      <c r="C7" s="1495" t="s">
        <v>912</v>
      </c>
      <c r="D7" s="851">
        <f ca="1">结果表!H102</f>
        <v>10695</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103048</v>
      </c>
      <c r="E13" s="1491"/>
    </row>
    <row r="14" spans="1:5" ht="15.75">
      <c r="A14" s="1491"/>
      <c r="B14" s="3485"/>
      <c r="C14" s="1494" t="s">
        <v>911</v>
      </c>
      <c r="D14" s="850" t="str">
        <f ca="1">NUMBERSTRING(INT(D13*10000),2)&amp;"元整"</f>
        <v>壹拾亿叁仟零肆拾捌万元整</v>
      </c>
      <c r="E14" s="1491"/>
    </row>
    <row r="15" spans="1:5" ht="15">
      <c r="A15" s="1491"/>
      <c r="B15" s="3490"/>
      <c r="C15" s="1495" t="s">
        <v>921</v>
      </c>
      <c r="D15" s="859">
        <f ca="1">结果表!H108</f>
        <v>10695</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115514</v>
      </c>
      <c r="C2" s="2" t="s">
        <v>106</v>
      </c>
      <c r="D2" s="199"/>
      <c r="E2" s="199"/>
      <c r="F2" s="199"/>
      <c r="G2" s="199"/>
    </row>
    <row r="3" spans="1:7" s="200" customFormat="1" ht="18" customHeight="1" thickBot="1">
      <c r="A3" s="203" t="s">
        <v>58</v>
      </c>
      <c r="B3" s="204">
        <f ca="1">ROUND(B2*10000/'数据-汇总表'!E3,0)</f>
        <v>11989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1927</v>
      </c>
      <c r="D10" s="845">
        <f>'数据-汇总表'!E6</f>
        <v>96349.52999999997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1927</v>
      </c>
      <c r="D19" s="849">
        <f>'数据-汇总表'!E3</f>
        <v>96349.52999999997</v>
      </c>
      <c r="E19" s="211">
        <f>'数据-取费表'!B31</f>
        <v>200</v>
      </c>
      <c r="F19" s="231"/>
      <c r="G19" s="1" t="s">
        <v>436</v>
      </c>
    </row>
    <row r="20" spans="1:7" s="214" customFormat="1" ht="13.5" customHeight="1">
      <c r="A20" s="777" t="s">
        <v>419</v>
      </c>
      <c r="B20" s="210" t="s">
        <v>77</v>
      </c>
      <c r="C20" s="232">
        <f>ROUND((C5+C19)*F20,0)</f>
        <v>676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1835</v>
      </c>
      <c r="D22" s="235">
        <f ca="1">C26</f>
        <v>1.1999999999999999E-3</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155</v>
      </c>
      <c r="D24" s="238"/>
      <c r="E24" s="238"/>
      <c r="F24" s="239"/>
      <c r="G24" s="240" t="s">
        <v>82</v>
      </c>
    </row>
    <row r="25" spans="1:7" s="214" customFormat="1" ht="24">
      <c r="A25" s="780" t="s">
        <v>348</v>
      </c>
      <c r="B25" s="215" t="s">
        <v>420</v>
      </c>
      <c r="C25" s="1105">
        <f ca="1">ROUND(IF('数据-取费表'!B22&lt;=1,C20*F22*'数据-取费表'!B23/2,C20*(POWER((1+F22),'数据-取费表'!B23/2)-1)),0)</f>
        <v>27</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3029</v>
      </c>
      <c r="D27" s="235">
        <f>C29</f>
        <v>3.8999999999999998E-3</v>
      </c>
      <c r="E27" s="236" t="s">
        <v>99</v>
      </c>
      <c r="F27" s="246">
        <f>'数据-取费表'!Q16</f>
        <v>0.15</v>
      </c>
      <c r="G27" s="247" t="s">
        <v>431</v>
      </c>
    </row>
    <row r="28" spans="1:7" s="214" customFormat="1" ht="13.5" customHeight="1">
      <c r="A28" s="780" t="s">
        <v>349</v>
      </c>
      <c r="B28" s="248" t="s">
        <v>424</v>
      </c>
      <c r="C28" s="249">
        <f>ROUND((C5+C19+C20)*F27*'数据-取费表'!B21/'数据-取费表'!B20,0)</f>
        <v>3029</v>
      </c>
      <c r="D28" s="235"/>
      <c r="E28" s="236"/>
      <c r="F28" s="246"/>
      <c r="G28" s="247"/>
    </row>
    <row r="29" spans="1:7" s="214" customFormat="1" ht="13.5" customHeight="1">
      <c r="A29" s="780" t="s">
        <v>347</v>
      </c>
      <c r="B29" s="248" t="s">
        <v>425</v>
      </c>
      <c r="C29" s="238">
        <f>ROUND(C21*F27*'数据-取费表'!B21/'数据-取费表'!B20,4)</f>
        <v>3.8999999999999998E-3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63086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55324</v>
      </c>
      <c r="D34" s="217"/>
      <c r="E34" s="220"/>
      <c r="F34" s="257">
        <f>IF('数据-取费表'!B24=0,1,'数据-取费表'!N16)</f>
        <v>0.87</v>
      </c>
      <c r="G34" s="219" t="s">
        <v>89</v>
      </c>
    </row>
    <row r="35" spans="1:7" ht="13.5" customHeight="1">
      <c r="A35" s="780" t="s">
        <v>351</v>
      </c>
      <c r="B35" s="215" t="s">
        <v>33</v>
      </c>
      <c r="C35" s="220">
        <f>ROUND(C34*F35,0)</f>
        <v>4426</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1676</v>
      </c>
      <c r="D37" s="217">
        <f>'数据-汇总表'!E3</f>
        <v>96349.52999999997</v>
      </c>
      <c r="E37" s="249">
        <f>'数据-取费表'!B35</f>
        <v>200</v>
      </c>
      <c r="F37" s="259"/>
      <c r="G37" s="261" t="s">
        <v>92</v>
      </c>
    </row>
    <row r="38" spans="1:7" ht="13.5" customHeight="1">
      <c r="A38" s="780" t="s">
        <v>354</v>
      </c>
      <c r="B38" s="215" t="s">
        <v>36</v>
      </c>
      <c r="C38" s="220">
        <f>ROUND(C34*F38,0)</f>
        <v>1660</v>
      </c>
      <c r="D38" s="220"/>
      <c r="E38" s="220"/>
      <c r="F38" s="259">
        <f>'数据-取费表'!B36</f>
        <v>0.03</v>
      </c>
      <c r="G38" s="219" t="s">
        <v>90</v>
      </c>
    </row>
    <row r="39" spans="1:7" s="214" customFormat="1" ht="13.5" customHeight="1">
      <c r="A39" s="777" t="s">
        <v>338</v>
      </c>
      <c r="B39" s="210" t="s">
        <v>77</v>
      </c>
      <c r="C39" s="232">
        <f>ROUND(C33*F20,0)</f>
        <v>1893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2555</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2481</v>
      </c>
      <c r="D42" s="238"/>
      <c r="E42" s="238"/>
      <c r="F42" s="239"/>
      <c r="G42" s="3666" t="s">
        <v>94</v>
      </c>
    </row>
    <row r="43" spans="1:7" ht="13.5" customHeight="1">
      <c r="A43" s="780" t="s">
        <v>347</v>
      </c>
      <c r="B43" s="215" t="s">
        <v>426</v>
      </c>
      <c r="C43" s="238">
        <f ca="1">ROUND(IF('数据-取费表'!B22&lt;=1,C39*F22*'数据-取费表'!B21/2,C39*(POWER((1+F22),'数据-取费表'!B21/2)-1)),0)</f>
        <v>74</v>
      </c>
      <c r="D43" s="238"/>
      <c r="E43" s="238"/>
      <c r="F43" s="239"/>
      <c r="G43" s="3667"/>
    </row>
    <row r="44" spans="1:7" ht="13.5" customHeight="1">
      <c r="A44" s="780" t="s">
        <v>348</v>
      </c>
      <c r="B44" s="215" t="s">
        <v>428</v>
      </c>
      <c r="C44" s="238">
        <f ca="1">ROUND(IF('数据-取费表'!B22&lt;=1,C40*F22*'数据-取费表'!B21/2,C40*(POWER((1+F22),'数据-取费表'!B21/2)-1)),4)</f>
        <v>1.1999999999999999E-3</v>
      </c>
      <c r="D44" s="238"/>
      <c r="E44" s="238"/>
      <c r="F44" s="239"/>
      <c r="G44" s="3668"/>
    </row>
    <row r="45" spans="1:7" s="214" customFormat="1" ht="13.5" customHeight="1">
      <c r="A45" s="777" t="s">
        <v>341</v>
      </c>
      <c r="B45" s="244" t="s">
        <v>85</v>
      </c>
      <c r="C45" s="245">
        <f>C46</f>
        <v>9747</v>
      </c>
      <c r="D45" s="235">
        <f>C47</f>
        <v>4.4999999999999997E-3</v>
      </c>
      <c r="E45" s="236" t="s">
        <v>102</v>
      </c>
      <c r="F45" s="246"/>
      <c r="G45" s="247" t="s">
        <v>434</v>
      </c>
    </row>
    <row r="46" spans="1:7" s="214" customFormat="1" ht="13.5" customHeight="1">
      <c r="A46" s="780" t="s">
        <v>349</v>
      </c>
      <c r="B46" s="248" t="s">
        <v>427</v>
      </c>
      <c r="C46" s="249">
        <f>ROUND((C33+C39)*F27,0)</f>
        <v>9747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84745</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84745</v>
      </c>
      <c r="D51" s="232"/>
      <c r="E51" s="232"/>
      <c r="F51" s="264"/>
      <c r="G51" s="234" t="s">
        <v>37</v>
      </c>
    </row>
    <row r="52" spans="1:7" s="208" customFormat="1" ht="16.5" thickBot="1">
      <c r="A52" s="265" t="s">
        <v>38</v>
      </c>
      <c r="B52" s="266"/>
      <c r="C52" s="267">
        <f ca="1">C31+C51</f>
        <v>115514</v>
      </c>
      <c r="D52" s="266"/>
      <c r="E52" s="266"/>
      <c r="F52" s="266"/>
      <c r="G52" s="268"/>
    </row>
    <row r="55" spans="1:7" ht="15">
      <c r="B55" s="270" t="s">
        <v>39</v>
      </c>
      <c r="C55" s="271"/>
    </row>
    <row r="56" spans="1:7">
      <c r="B56" s="273" t="s">
        <v>40</v>
      </c>
      <c r="C56" s="274">
        <f ca="1">ROUND(C51/C52,3)</f>
        <v>0.73399999999999999</v>
      </c>
    </row>
    <row r="57" spans="1:7">
      <c r="B57" s="273" t="s">
        <v>41</v>
      </c>
      <c r="C57" s="275">
        <f ca="1">1-C56</f>
        <v>0.26600000000000001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3220">
        <f>基准地价修正!G23</f>
        <v>45818</v>
      </c>
      <c r="B1" s="3209" t="s">
        <v>3378</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45818</v>
      </c>
      <c r="D1" s="1302" t="s">
        <v>603</v>
      </c>
      <c r="E1" s="1297">
        <f>'数据-取费表'!B22</f>
        <v>3</v>
      </c>
      <c r="F1" s="1302" t="s">
        <v>604</v>
      </c>
      <c r="G1" s="1298">
        <f ca="1">INDIRECT("d"&amp;$K$1)/100</f>
        <v>0.03</v>
      </c>
      <c r="H1" s="1302" t="s">
        <v>634</v>
      </c>
      <c r="I1" s="1298">
        <f ca="1">F4/100</f>
        <v>1.4999999999999999E-2</v>
      </c>
      <c r="J1" s="1303">
        <f>IF(C1&gt;C13,0,MATCH(C1,C$13:C$115,-1))+IF(SUMIF(C13:C115,C1,D13:D115)=0,13,12)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房地产</v>
      </c>
      <c r="B4" s="854">
        <f>项目基本情况!C17</f>
        <v>96349.52999999997</v>
      </c>
      <c r="C4" s="854">
        <f>项目基本情况!C18</f>
        <v>23899.599999999999</v>
      </c>
      <c r="D4" s="854">
        <f ca="1">结果表!D118</f>
        <v>17518</v>
      </c>
      <c r="E4" s="854">
        <f ca="1">结果表!E118</f>
        <v>1818</v>
      </c>
      <c r="F4" s="854">
        <f ca="1">结果表!F118</f>
        <v>85530</v>
      </c>
      <c r="G4" s="854">
        <f ca="1">结果表!G118</f>
        <v>8877</v>
      </c>
      <c r="H4" s="854">
        <f ca="1">结果表!H118</f>
        <v>103048</v>
      </c>
      <c r="I4" s="854">
        <f ca="1">结果表!I118</f>
        <v>10695</v>
      </c>
    </row>
    <row r="5" spans="1:9" ht="30" customHeight="1">
      <c r="A5" s="3497" t="s">
        <v>927</v>
      </c>
      <c r="B5" s="3497"/>
      <c r="C5" s="3497"/>
      <c r="D5" s="3497" t="str">
        <f ca="1">结果表!D119</f>
        <v>壹亿柒仟伍佰壹拾捌万元整</v>
      </c>
      <c r="E5" s="3497"/>
      <c r="F5" s="3497" t="str">
        <f ca="1">结果表!F119</f>
        <v>捌亿伍仟伍佰叁拾万元整</v>
      </c>
      <c r="G5" s="3497"/>
      <c r="H5" s="3497" t="str">
        <f ca="1">结果表!H119</f>
        <v>壹拾亿叁仟零肆拾捌万元整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103048</v>
      </c>
      <c r="E8" s="3496"/>
      <c r="F8" s="3496"/>
      <c r="G8" s="3496"/>
      <c r="H8" s="3496"/>
      <c r="I8" s="3496"/>
    </row>
    <row r="9" spans="1:9" ht="15">
      <c r="A9" s="3497" t="s">
        <v>927</v>
      </c>
      <c r="B9" s="3497"/>
      <c r="C9" s="3497"/>
      <c r="D9" s="3497" t="str">
        <f ca="1">结果表!D123</f>
        <v>壹拾亿叁仟零肆拾捌万元整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45819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t="str">
        <f ca="1">IF(C10&lt;B2,"已过期",1120100036)</f>
        <v>已过期</v>
      </c>
      <c r="C10" s="2349">
        <v>45752</v>
      </c>
      <c r="D10" s="2345" t="str">
        <f t="shared" ca="1" si="0"/>
        <v>崔锴（注册号：已过期）</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2437</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2"/>
      <c r="E18" s="3522" t="s">
        <v>2162</v>
      </c>
      <c r="F18" s="3521"/>
      <c r="G18" s="352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2025-06-11T02:24:12Z</dcterms:modified>
</cp:coreProperties>
</file>