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30-呼家楼土地\"/>
    </mc:Choice>
  </mc:AlternateContent>
  <xr:revisionPtr revIDLastSave="0" documentId="13_ncr:1_{4995F4D1-17FB-4125-B662-91BEBD1C4BD3}" xr6:coauthVersionLast="47" xr6:coauthVersionMax="47" xr10:uidLastSave="{00000000-0000-0000-0000-000000000000}"/>
  <bookViews>
    <workbookView xWindow="-108" yWindow="-108" windowWidth="23256" windowHeight="12576"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4" i="21" l="1"/>
  <c r="E127" i="21"/>
  <c r="D127" i="21"/>
  <c r="N14" i="1" l="1"/>
  <c r="B27" i="9" l="1"/>
  <c r="C40" i="9"/>
  <c r="K20" i="35" l="1"/>
  <c r="D104" i="21" l="1"/>
  <c r="E104" i="21" s="1"/>
  <c r="F104" i="21" s="1"/>
  <c r="K15" i="21"/>
  <c r="K17" i="21"/>
  <c r="K14" i="35" s="1"/>
  <c r="K19" i="21"/>
  <c r="K16" i="35" s="1"/>
  <c r="D91" i="21" l="1"/>
  <c r="E91" i="21" s="1"/>
  <c r="D119" i="39" l="1"/>
  <c r="E119" i="39" s="1"/>
  <c r="F119" i="39" s="1"/>
  <c r="G119" i="39" s="1"/>
  <c r="E7" i="39" l="1"/>
  <c r="I48" i="39"/>
  <c r="G48" i="39"/>
  <c r="E48" i="39"/>
  <c r="I40" i="39"/>
  <c r="G40" i="39"/>
  <c r="E40" i="39"/>
  <c r="C40" i="39" l="1"/>
  <c r="I9" i="39"/>
  <c r="G9" i="39"/>
  <c r="E9" i="39"/>
  <c r="I7" i="39"/>
  <c r="G7" i="39"/>
  <c r="G126" i="39"/>
  <c r="F126" i="39"/>
  <c r="E126" i="39"/>
  <c r="D126" i="39"/>
  <c r="C126" i="39"/>
  <c r="G122" i="39"/>
  <c r="F122" i="39"/>
  <c r="E122" i="39"/>
  <c r="D122" i="39"/>
  <c r="C122" i="39"/>
  <c r="F15" i="84" l="1"/>
  <c r="C33" i="21" s="1"/>
  <c r="D35" i="84"/>
  <c r="D50" i="84"/>
  <c r="E50" i="84" s="1"/>
  <c r="C33" i="84"/>
  <c r="C41" i="9" s="1"/>
  <c r="E41" i="9" s="1"/>
  <c r="D17" i="84"/>
  <c r="E17" i="84" s="1"/>
  <c r="L14" i="1" l="1"/>
  <c r="G20" i="6"/>
  <c r="B40" i="9" s="1"/>
  <c r="E40" i="9" s="1"/>
  <c r="C38" i="9" s="1"/>
  <c r="F19" i="6"/>
  <c r="D3" i="4"/>
  <c r="D15" i="77"/>
  <c r="I75" i="77"/>
  <c r="I74" i="77"/>
  <c r="I76" i="77" s="1"/>
  <c r="A77" i="77"/>
  <c r="A80" i="77" s="1"/>
  <c r="A73" i="77"/>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N35" i="79"/>
  <c r="U58" i="79"/>
  <c r="AI58" i="79" s="1"/>
  <c r="AD59" i="79"/>
  <c r="S24" i="79"/>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8" i="71" s="1"/>
  <c r="O39" i="71"/>
  <c r="N39" i="71"/>
  <c r="X39" i="71" s="1"/>
  <c r="Q38" i="71"/>
  <c r="P38" i="71"/>
  <c r="O38" i="71"/>
  <c r="Y38" i="71" s="1"/>
  <c r="Z38" i="71" s="1"/>
  <c r="N38" i="71"/>
  <c r="F38" i="71"/>
  <c r="F39" i="71" s="1"/>
  <c r="Q37" i="71"/>
  <c r="P37" i="71"/>
  <c r="E38" i="71" s="1"/>
  <c r="E39" i="71" s="1"/>
  <c r="O37" i="71"/>
  <c r="C38" i="71" s="1"/>
  <c r="D38"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P29" i="71"/>
  <c r="O29" i="71"/>
  <c r="N29" i="71"/>
  <c r="D29" i="71"/>
  <c r="O28" i="71"/>
  <c r="N28" i="71"/>
  <c r="B30" i="71"/>
  <c r="B31" i="71" s="1"/>
  <c r="E30" i="71"/>
  <c r="AA37" i="71"/>
  <c r="C28" i="71"/>
  <c r="T28" i="71" s="1"/>
  <c r="P28" i="71"/>
  <c r="E28" i="71" s="1"/>
  <c r="E67" i="71"/>
  <c r="Q28" i="71"/>
  <c r="F28" i="71" s="1"/>
  <c r="F27" i="71" s="1"/>
  <c r="F26" i="71" s="1"/>
  <c r="T68" i="71"/>
  <c r="O68" i="71"/>
  <c r="D68" i="71"/>
  <c r="C67" i="71"/>
  <c r="D67" i="71" s="1"/>
  <c r="C71" i="71"/>
  <c r="D71" i="71" s="1"/>
  <c r="E71" i="71"/>
  <c r="E70" i="71" s="1"/>
  <c r="D72" i="71"/>
  <c r="D76" i="71"/>
  <c r="E79" i="71"/>
  <c r="E78" i="71"/>
  <c r="D80" i="71"/>
  <c r="C83" i="71"/>
  <c r="D83" i="71" s="1"/>
  <c r="C66" i="71"/>
  <c r="O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H1" i="69"/>
  <c r="U21" i="37"/>
  <c r="S21" i="37"/>
  <c r="J21" i="37"/>
  <c r="W21" i="37" s="1"/>
  <c r="J21" i="34"/>
  <c r="W21" i="34" s="1"/>
  <c r="J21" i="33"/>
  <c r="W21" i="33" s="1"/>
  <c r="H21" i="21"/>
  <c r="U21" i="21" s="1"/>
  <c r="F38" i="69"/>
  <c r="E37" i="69"/>
  <c r="F36" i="69"/>
  <c r="F35" i="69"/>
  <c r="F21" i="69"/>
  <c r="F40" i="69" s="1"/>
  <c r="F20" i="69"/>
  <c r="F39" i="69" s="1"/>
  <c r="E10" i="69"/>
  <c r="E9" i="69"/>
  <c r="C7" i="69"/>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4" i="31"/>
  <c r="S463" i="31"/>
  <c r="S462" i="31"/>
  <c r="S460" i="31"/>
  <c r="S459" i="31"/>
  <c r="S458" i="31"/>
  <c r="S456" i="31"/>
  <c r="S455" i="31"/>
  <c r="S454"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B5" i="3" s="1"/>
  <c r="E5" i="6" s="1"/>
  <c r="D22" i="83" s="1"/>
  <c r="C22" i="83" s="1"/>
  <c r="BC494" i="3"/>
  <c r="BD494" i="3"/>
  <c r="BE494" i="3"/>
  <c r="BF494" i="3"/>
  <c r="BF5" i="3" s="1"/>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P5"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AB31" i="35" s="1"/>
  <c r="F31" i="35"/>
  <c r="D87" i="35"/>
  <c r="E87" i="35" s="1"/>
  <c r="F87" i="35" s="1"/>
  <c r="G87" i="35" s="1"/>
  <c r="H34" i="37"/>
  <c r="AB34" i="37" s="1"/>
  <c r="D101" i="37"/>
  <c r="F34" i="37"/>
  <c r="AA34" i="37" s="1"/>
  <c r="D99" i="37"/>
  <c r="E99" i="37" s="1"/>
  <c r="F99" i="37"/>
  <c r="G99" i="37" s="1"/>
  <c r="H99" i="37" s="1"/>
  <c r="I99" i="37" s="1"/>
  <c r="J99" i="37" s="1"/>
  <c r="K99" i="37" s="1"/>
  <c r="L99" i="37" s="1"/>
  <c r="M99" i="37" s="1"/>
  <c r="H42" i="34"/>
  <c r="U42" i="34" s="1"/>
  <c r="J42" i="34"/>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AA37" i="33" s="1"/>
  <c r="D111" i="33"/>
  <c r="E111" i="33" s="1"/>
  <c r="F111" i="33" s="1"/>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s="1"/>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J46" i="39" s="1"/>
  <c r="AC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s="1"/>
  <c r="AC25" i="39" s="1"/>
  <c r="D96" i="39"/>
  <c r="D94" i="39"/>
  <c r="E94" i="39" s="1"/>
  <c r="F94" i="39" s="1"/>
  <c r="G94" i="39" s="1"/>
  <c r="D92" i="39"/>
  <c r="E92" i="39" s="1"/>
  <c r="F92" i="39" s="1"/>
  <c r="G92" i="39" s="1"/>
  <c r="D90" i="39"/>
  <c r="E90" i="39" s="1"/>
  <c r="B87" i="39"/>
  <c r="B85" i="39"/>
  <c r="H15" i="39" s="1"/>
  <c r="U15" i="39" s="1"/>
  <c r="B83" i="39"/>
  <c r="J14" i="39" s="1"/>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F25" i="37" s="1"/>
  <c r="B110" i="37"/>
  <c r="J39" i="37" s="1"/>
  <c r="AC39" i="37" s="1"/>
  <c r="B108" i="37"/>
  <c r="J38" i="37" s="1"/>
  <c r="AC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Q29" i="37"/>
  <c r="Z29" i="37" s="1"/>
  <c r="H29" i="37"/>
  <c r="AB29" i="37" s="1"/>
  <c r="Q28" i="37"/>
  <c r="Z28" i="37" s="1"/>
  <c r="Q27" i="37"/>
  <c r="Z27" i="37" s="1"/>
  <c r="Q26" i="37"/>
  <c r="Z26" i="37" s="1"/>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c r="Q25" i="36"/>
  <c r="Z25" i="36" s="1"/>
  <c r="Q24" i="36"/>
  <c r="Z24" i="36" s="1"/>
  <c r="H24" i="36"/>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B99" i="35"/>
  <c r="H35" i="35" s="1"/>
  <c r="B97" i="35"/>
  <c r="H34" i="35" s="1"/>
  <c r="AB34" i="35" s="1"/>
  <c r="B77" i="35"/>
  <c r="H25" i="35" s="1"/>
  <c r="B75" i="35"/>
  <c r="H24" i="35" s="1"/>
  <c r="B73" i="35"/>
  <c r="J23" i="35" s="1"/>
  <c r="AC23" i="35" s="1"/>
  <c r="B57" i="35"/>
  <c r="F11" i="35" s="1"/>
  <c r="B61" i="35"/>
  <c r="J13" i="35" s="1"/>
  <c r="B59" i="35"/>
  <c r="F12" i="35" s="1"/>
  <c r="B131" i="34"/>
  <c r="J47" i="34" s="1"/>
  <c r="B129" i="34"/>
  <c r="H46" i="34" s="1"/>
  <c r="U46" i="34" s="1"/>
  <c r="B127" i="34"/>
  <c r="B99" i="34"/>
  <c r="B97" i="34"/>
  <c r="J31" i="34" s="1"/>
  <c r="B95" i="34"/>
  <c r="F30" i="34" s="1"/>
  <c r="S30" i="34" s="1"/>
  <c r="B93" i="34"/>
  <c r="F29" i="34" s="1"/>
  <c r="S29" i="34" s="1"/>
  <c r="B75" i="34"/>
  <c r="B73" i="34"/>
  <c r="J13" i="34" s="1"/>
  <c r="B71" i="34"/>
  <c r="B130" i="33"/>
  <c r="J46" i="33" s="1"/>
  <c r="B128" i="33"/>
  <c r="B126" i="33"/>
  <c r="F44" i="33" s="1"/>
  <c r="S44" i="33" s="1"/>
  <c r="B98" i="33"/>
  <c r="B96" i="33"/>
  <c r="H30" i="33" s="1"/>
  <c r="B94" i="33"/>
  <c r="B74" i="33"/>
  <c r="F14" i="33" s="1"/>
  <c r="B72" i="33"/>
  <c r="F13" i="33" s="1"/>
  <c r="S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B130" i="21"/>
  <c r="H46" i="21" s="1"/>
  <c r="U46" i="21" s="1"/>
  <c r="B128" i="21"/>
  <c r="B126" i="21"/>
  <c r="H44" i="21" s="1"/>
  <c r="AB44" i="21" s="1"/>
  <c r="B98" i="21"/>
  <c r="H31" i="21" s="1"/>
  <c r="B96" i="21"/>
  <c r="F30" i="21" s="1"/>
  <c r="B94" i="21"/>
  <c r="J29" i="21" s="1"/>
  <c r="AC29" i="21" s="1"/>
  <c r="B92" i="21"/>
  <c r="F28" i="21" s="1"/>
  <c r="AA28" i="21" s="1"/>
  <c r="B90" i="21"/>
  <c r="F27" i="21" s="1"/>
  <c r="AA27" i="21" s="1"/>
  <c r="B74" i="21"/>
  <c r="F14" i="21" s="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H38" i="2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s="1"/>
  <c r="F26" i="21"/>
  <c r="S26" i="21" s="1"/>
  <c r="F47" i="39"/>
  <c r="S47" i="39" s="1"/>
  <c r="J47" i="39"/>
  <c r="W47" i="39" s="1"/>
  <c r="F38" i="39"/>
  <c r="H38" i="39"/>
  <c r="AB38" i="39" s="1"/>
  <c r="J38" i="39"/>
  <c r="AC38" i="39" s="1"/>
  <c r="E103" i="37"/>
  <c r="F103" i="37" s="1"/>
  <c r="G103" i="37" s="1"/>
  <c r="H103" i="37" s="1"/>
  <c r="I103" i="37" s="1"/>
  <c r="J103" i="37" s="1"/>
  <c r="K103" i="37" s="1"/>
  <c r="L103" i="37" s="1"/>
  <c r="M103" i="37" s="1"/>
  <c r="F39" i="37"/>
  <c r="S39" i="37" s="1"/>
  <c r="F29" i="36"/>
  <c r="AA29" i="36" s="1"/>
  <c r="F16" i="36"/>
  <c r="U31" i="36"/>
  <c r="J33" i="36"/>
  <c r="AC33" i="36" s="1"/>
  <c r="H22" i="35"/>
  <c r="AB22" i="35" s="1"/>
  <c r="U34" i="35"/>
  <c r="F36" i="34"/>
  <c r="S36" i="34" s="1"/>
  <c r="J35" i="34"/>
  <c r="H39" i="33"/>
  <c r="AB39" i="33" s="1"/>
  <c r="U33" i="33"/>
  <c r="U35" i="33"/>
  <c r="H39" i="37"/>
  <c r="F13" i="40"/>
  <c r="AA13" i="40" s="1"/>
  <c r="H13" i="40"/>
  <c r="AB13" i="40" s="1"/>
  <c r="AA11" i="40"/>
  <c r="F43" i="39"/>
  <c r="S43" i="39" s="1"/>
  <c r="H42" i="39"/>
  <c r="AB42" i="39" s="1"/>
  <c r="S36" i="39"/>
  <c r="H36" i="39"/>
  <c r="U36" i="39" s="1"/>
  <c r="E110" i="39"/>
  <c r="H21" i="39"/>
  <c r="F21" i="39"/>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C17" i="39"/>
  <c r="H32" i="33"/>
  <c r="AB32" i="33"/>
  <c r="H39" i="40"/>
  <c r="U39" i="40" s="1"/>
  <c r="H38" i="40"/>
  <c r="AB38" i="40" s="1"/>
  <c r="F37" i="40"/>
  <c r="AA37" i="40" s="1"/>
  <c r="H25" i="40"/>
  <c r="AB25" i="40" s="1"/>
  <c r="H19" i="40"/>
  <c r="U19" i="40" s="1"/>
  <c r="J17" i="40"/>
  <c r="W17" i="40" s="1"/>
  <c r="J13" i="40"/>
  <c r="W13" i="40"/>
  <c r="AB12" i="35"/>
  <c r="J34" i="36"/>
  <c r="W34" i="36" s="1"/>
  <c r="J30" i="35"/>
  <c r="W30" i="35" s="1"/>
  <c r="H30" i="35"/>
  <c r="AB30" i="35" s="1"/>
  <c r="F22" i="35"/>
  <c r="AA22" i="35" s="1"/>
  <c r="H10" i="35"/>
  <c r="U10" i="35" s="1"/>
  <c r="F33" i="36"/>
  <c r="AA33" i="36" s="1"/>
  <c r="W30" i="36"/>
  <c r="H16" i="36"/>
  <c r="AB16" i="36" s="1"/>
  <c r="J29" i="36"/>
  <c r="AC29" i="36" s="1"/>
  <c r="F24" i="36"/>
  <c r="F34" i="36"/>
  <c r="F14" i="35"/>
  <c r="S14" i="35" s="1"/>
  <c r="F23" i="35"/>
  <c r="AA23" i="35" s="1"/>
  <c r="J32" i="35"/>
  <c r="AC32" i="35" s="1"/>
  <c r="H14" i="35"/>
  <c r="AB14" i="35" s="1"/>
  <c r="H33" i="35"/>
  <c r="F35" i="37"/>
  <c r="S35" i="37" s="1"/>
  <c r="E101" i="37"/>
  <c r="F101" i="37" s="1"/>
  <c r="G101" i="37" s="1"/>
  <c r="H101" i="37" s="1"/>
  <c r="I101" i="37" s="1"/>
  <c r="J101" i="37" s="1"/>
  <c r="K101" i="37" s="1"/>
  <c r="L101" i="37" s="1"/>
  <c r="M101" i="37" s="1"/>
  <c r="J34" i="37"/>
  <c r="J33" i="37"/>
  <c r="AC33" i="37" s="1"/>
  <c r="H40" i="34"/>
  <c r="U40" i="34" s="1"/>
  <c r="H36" i="34"/>
  <c r="F37" i="34"/>
  <c r="AA37" i="34" s="1"/>
  <c r="F25" i="34"/>
  <c r="S25" i="34" s="1"/>
  <c r="H23" i="34"/>
  <c r="J23" i="34"/>
  <c r="AC23" i="34" s="1"/>
  <c r="F19" i="34"/>
  <c r="H17" i="34"/>
  <c r="U17" i="34" s="1"/>
  <c r="F15" i="34"/>
  <c r="AA15" i="34" s="1"/>
  <c r="J15" i="34"/>
  <c r="H15" i="34"/>
  <c r="AB15" i="34" s="1"/>
  <c r="F41" i="33"/>
  <c r="S38" i="33"/>
  <c r="E113" i="33"/>
  <c r="F113" i="33" s="1"/>
  <c r="G113" i="33" s="1"/>
  <c r="H113" i="33" s="1"/>
  <c r="I113" i="33" s="1"/>
  <c r="J113" i="33" s="1"/>
  <c r="K113" i="33" s="1"/>
  <c r="L113" i="33" s="1"/>
  <c r="M113" i="33" s="1"/>
  <c r="F32" i="33"/>
  <c r="AA32" i="33" s="1"/>
  <c r="J19" i="33"/>
  <c r="AC19" i="33"/>
  <c r="J15" i="33"/>
  <c r="AC15" i="33" s="1"/>
  <c r="F11" i="33"/>
  <c r="AA11" i="33" s="1"/>
  <c r="F39" i="40"/>
  <c r="F38" i="40"/>
  <c r="AA38" i="40" s="1"/>
  <c r="H30" i="40"/>
  <c r="U30" i="40" s="1"/>
  <c r="F25" i="40"/>
  <c r="AA25" i="40" s="1"/>
  <c r="F19" i="40"/>
  <c r="AA19" i="40" s="1"/>
  <c r="J19" i="40"/>
  <c r="W19" i="40" s="1"/>
  <c r="F17" i="40"/>
  <c r="S17" i="40" s="1"/>
  <c r="H17" i="40"/>
  <c r="AB17" i="40" s="1"/>
  <c r="AC13" i="40"/>
  <c r="H33" i="37"/>
  <c r="F33" i="37"/>
  <c r="AA33" i="37" s="1"/>
  <c r="U34" i="37"/>
  <c r="J43" i="34"/>
  <c r="AB42" i="34"/>
  <c r="J40" i="34"/>
  <c r="AC40" i="34" s="1"/>
  <c r="H38" i="34"/>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AA44" i="34" s="1"/>
  <c r="J10" i="35"/>
  <c r="AC10" i="35" s="1"/>
  <c r="J14" i="21"/>
  <c r="W14" i="21"/>
  <c r="H14" i="21"/>
  <c r="U14" i="21" s="1"/>
  <c r="H28" i="21"/>
  <c r="AB28" i="21" s="1"/>
  <c r="J28" i="21"/>
  <c r="H30" i="21"/>
  <c r="J30" i="21"/>
  <c r="AC30" i="21" s="1"/>
  <c r="J44" i="21"/>
  <c r="AC44" i="21" s="1"/>
  <c r="J46" i="21"/>
  <c r="F46" i="21"/>
  <c r="AA46" i="21" s="1"/>
  <c r="H28" i="33"/>
  <c r="U28" i="33" s="1"/>
  <c r="AA28" i="33"/>
  <c r="J28" i="33"/>
  <c r="W28" i="33" s="1"/>
  <c r="F33" i="35"/>
  <c r="J33" i="35"/>
  <c r="AC33" i="35" s="1"/>
  <c r="F30" i="35"/>
  <c r="S30" i="35" s="1"/>
  <c r="E89" i="35"/>
  <c r="F89" i="35" s="1"/>
  <c r="G89" i="35" s="1"/>
  <c r="H89" i="35" s="1"/>
  <c r="I89" i="35" s="1"/>
  <c r="J89" i="35" s="1"/>
  <c r="K89" i="35" s="1"/>
  <c r="L89" i="35" s="1"/>
  <c r="M89" i="35" s="1"/>
  <c r="H10" i="36"/>
  <c r="AB10" i="36" s="1"/>
  <c r="J14" i="36"/>
  <c r="AC14" i="36"/>
  <c r="H14" i="36"/>
  <c r="F28" i="36"/>
  <c r="AA28" i="36" s="1"/>
  <c r="H29" i="21"/>
  <c r="U29" i="21" s="1"/>
  <c r="J31" i="21"/>
  <c r="AC31" i="21" s="1"/>
  <c r="F31" i="21"/>
  <c r="F27" i="33"/>
  <c r="H13" i="33"/>
  <c r="U13" i="33" s="1"/>
  <c r="J29" i="33"/>
  <c r="H29" i="33"/>
  <c r="U29" i="33" s="1"/>
  <c r="F29" i="33"/>
  <c r="S29" i="33" s="1"/>
  <c r="J31" i="33"/>
  <c r="AC31" i="33" s="1"/>
  <c r="H45" i="33"/>
  <c r="AB45" i="33" s="1"/>
  <c r="U45" i="33"/>
  <c r="J45" i="33"/>
  <c r="W45" i="33" s="1"/>
  <c r="F45" i="33"/>
  <c r="J14" i="34"/>
  <c r="W14" i="34" s="1"/>
  <c r="F14" i="34"/>
  <c r="H14" i="34"/>
  <c r="H30" i="34"/>
  <c r="U30" i="34" s="1"/>
  <c r="H32" i="34"/>
  <c r="AB32" i="34" s="1"/>
  <c r="F32" i="34"/>
  <c r="J32" i="34"/>
  <c r="W32" i="34" s="1"/>
  <c r="H11" i="35"/>
  <c r="AB11" i="35" s="1"/>
  <c r="J11" i="35"/>
  <c r="J26" i="36"/>
  <c r="W26" i="36" s="1"/>
  <c r="H28" i="36"/>
  <c r="U28" i="36" s="1"/>
  <c r="J11" i="36"/>
  <c r="AC11" i="36" s="1"/>
  <c r="H13" i="36"/>
  <c r="AB13" i="36"/>
  <c r="J13" i="36"/>
  <c r="F13" i="36"/>
  <c r="E89" i="37"/>
  <c r="F89" i="37" s="1"/>
  <c r="G89" i="37" s="1"/>
  <c r="H89" i="37" s="1"/>
  <c r="I89" i="37" s="1"/>
  <c r="J89" i="37" s="1"/>
  <c r="K89" i="37" s="1"/>
  <c r="L89" i="37" s="1"/>
  <c r="M89" i="37" s="1"/>
  <c r="J29" i="37"/>
  <c r="W29" i="37" s="1"/>
  <c r="F29" i="37"/>
  <c r="S29" i="37" s="1"/>
  <c r="H36" i="37"/>
  <c r="AB36" i="37" s="1"/>
  <c r="J37" i="37"/>
  <c r="AC37" i="37" s="1"/>
  <c r="H37" i="37"/>
  <c r="U37" i="37" s="1"/>
  <c r="H14" i="33"/>
  <c r="U14" i="33" s="1"/>
  <c r="J14" i="33"/>
  <c r="H44" i="33"/>
  <c r="AB44" i="33" s="1"/>
  <c r="J44" i="33"/>
  <c r="AC46" i="33"/>
  <c r="H13" i="34"/>
  <c r="U13" i="34" s="1"/>
  <c r="W13" i="34"/>
  <c r="F13" i="34"/>
  <c r="AA13" i="34" s="1"/>
  <c r="H29" i="34"/>
  <c r="H31" i="34"/>
  <c r="F31" i="34"/>
  <c r="S31" i="34"/>
  <c r="F45" i="34"/>
  <c r="S45" i="34" s="1"/>
  <c r="H47" i="34"/>
  <c r="U47" i="34" s="1"/>
  <c r="F47" i="34"/>
  <c r="S47" i="34" s="1"/>
  <c r="J25" i="35"/>
  <c r="W25" i="35" s="1"/>
  <c r="F25" i="35"/>
  <c r="J35" i="35"/>
  <c r="AC35" i="35" s="1"/>
  <c r="H13" i="37"/>
  <c r="F13" i="37"/>
  <c r="S13" i="37" s="1"/>
  <c r="J13" i="37"/>
  <c r="H28" i="37"/>
  <c r="H38" i="37"/>
  <c r="AB38" i="37" s="1"/>
  <c r="F38" i="37"/>
  <c r="S38" i="37" s="1"/>
  <c r="F45" i="39"/>
  <c r="H45" i="39"/>
  <c r="J16" i="39"/>
  <c r="AC16" i="39" s="1"/>
  <c r="F14" i="40"/>
  <c r="H32" i="40"/>
  <c r="AB32" i="40"/>
  <c r="F35" i="40"/>
  <c r="H35" i="40"/>
  <c r="U35" i="40"/>
  <c r="J37" i="40"/>
  <c r="J39" i="40"/>
  <c r="AC39" i="40" s="1"/>
  <c r="F27" i="37"/>
  <c r="AA27" i="37" s="1"/>
  <c r="F15" i="39"/>
  <c r="J15" i="39"/>
  <c r="W15" i="39" s="1"/>
  <c r="H16" i="40"/>
  <c r="U16" i="40" s="1"/>
  <c r="J16" i="40"/>
  <c r="F16" i="40"/>
  <c r="J27" i="37"/>
  <c r="AC27" i="37"/>
  <c r="AA44" i="33"/>
  <c r="J36" i="37"/>
  <c r="AC36" i="37" s="1"/>
  <c r="J10" i="36"/>
  <c r="AC10" i="36" s="1"/>
  <c r="F17" i="21"/>
  <c r="AA17" i="21" s="1"/>
  <c r="H17" i="21"/>
  <c r="AB17" i="21" s="1"/>
  <c r="J43" i="39"/>
  <c r="W43" i="39" s="1"/>
  <c r="U38" i="39"/>
  <c r="G540" i="3"/>
  <c r="G532" i="3"/>
  <c r="G518" i="3"/>
  <c r="G510" i="3"/>
  <c r="G504" i="3"/>
  <c r="G496" i="3"/>
  <c r="G580" i="3"/>
  <c r="G572" i="3"/>
  <c r="G564" i="3"/>
  <c r="G533" i="3"/>
  <c r="G525" i="3"/>
  <c r="BA511" i="3"/>
  <c r="G581" i="3"/>
  <c r="G579" i="3"/>
  <c r="G573" i="3"/>
  <c r="G571" i="3"/>
  <c r="G565" i="3"/>
  <c r="G563"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F39" i="33"/>
  <c r="S39" i="33" s="1"/>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3" i="37"/>
  <c r="J32" i="37"/>
  <c r="AC32" i="37" s="1"/>
  <c r="F36" i="37"/>
  <c r="AA36" i="37"/>
  <c r="F37" i="37"/>
  <c r="AA37" i="37" s="1"/>
  <c r="F33" i="40"/>
  <c r="AA33" i="40"/>
  <c r="H33" i="40"/>
  <c r="U33" i="40" s="1"/>
  <c r="H34" i="40"/>
  <c r="J38" i="40"/>
  <c r="W38" i="40"/>
  <c r="H19" i="37"/>
  <c r="H42" i="33"/>
  <c r="AB42" i="33" s="1"/>
  <c r="J43" i="33"/>
  <c r="W43" i="33" s="1"/>
  <c r="AC43" i="33"/>
  <c r="S28" i="31"/>
  <c r="S27" i="31"/>
  <c r="S26" i="31"/>
  <c r="W23" i="35"/>
  <c r="AC36" i="34"/>
  <c r="AA13" i="33"/>
  <c r="AC45" i="33"/>
  <c r="U11" i="33"/>
  <c r="U19" i="21"/>
  <c r="F43" i="33"/>
  <c r="AA43" i="33" s="1"/>
  <c r="H37" i="21"/>
  <c r="U37" i="21" s="1"/>
  <c r="S42" i="21"/>
  <c r="H19" i="34"/>
  <c r="AB19" i="34" s="1"/>
  <c r="J9" i="37"/>
  <c r="W9" i="37" s="1"/>
  <c r="F9" i="37"/>
  <c r="S9" i="37" s="1"/>
  <c r="F15" i="37"/>
  <c r="F31" i="37"/>
  <c r="S31" i="37" s="1"/>
  <c r="F14" i="39"/>
  <c r="H23" i="40"/>
  <c r="F94" i="37"/>
  <c r="G94" i="37" s="1"/>
  <c r="H94" i="37" s="1"/>
  <c r="I94" i="37" s="1"/>
  <c r="J94" i="37" s="1"/>
  <c r="K94" i="37" s="1"/>
  <c r="L94" i="37" s="1"/>
  <c r="M94" i="37" s="1"/>
  <c r="H31" i="37"/>
  <c r="U31" i="37" s="1"/>
  <c r="J15" i="37"/>
  <c r="W15" i="37" s="1"/>
  <c r="H21" i="40"/>
  <c r="U21" i="40" s="1"/>
  <c r="F90" i="40"/>
  <c r="G90" i="40" s="1"/>
  <c r="F21" i="40"/>
  <c r="S21" i="40" s="1"/>
  <c r="AB35" i="40"/>
  <c r="AC45" i="39"/>
  <c r="W45" i="39"/>
  <c r="U47" i="39"/>
  <c r="AB47" i="39"/>
  <c r="H27" i="39"/>
  <c r="U27" i="39" s="1"/>
  <c r="J27" i="39"/>
  <c r="W27" i="39" s="1"/>
  <c r="F27" i="39"/>
  <c r="AA27" i="39" s="1"/>
  <c r="H43" i="39"/>
  <c r="AB43" i="39" s="1"/>
  <c r="AB36" i="39"/>
  <c r="J21" i="40"/>
  <c r="AC21" i="40" s="1"/>
  <c r="J52" i="40"/>
  <c r="H103" i="9"/>
  <c r="D8" i="53" s="1"/>
  <c r="B16" i="53"/>
  <c r="B33" i="72" s="1"/>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0" i="3"/>
  <c r="G522"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AZ358" i="3" s="1"/>
  <c r="G359" i="3"/>
  <c r="BA361" i="3"/>
  <c r="AZ361" i="3"/>
  <c r="BL362" i="3"/>
  <c r="AZ362" i="3" s="1"/>
  <c r="G363" i="3"/>
  <c r="BA365" i="3"/>
  <c r="BL366" i="3"/>
  <c r="G367" i="3"/>
  <c r="BA369" i="3"/>
  <c r="AZ369" i="3" s="1"/>
  <c r="BL370" i="3"/>
  <c r="G371" i="3"/>
  <c r="BA373" i="3"/>
  <c r="AZ373" i="3" s="1"/>
  <c r="BL374" i="3"/>
  <c r="G375" i="3"/>
  <c r="BA377" i="3"/>
  <c r="AZ377" i="3" s="1"/>
  <c r="BA379" i="3"/>
  <c r="AZ379" i="3" s="1"/>
  <c r="BL380" i="3"/>
  <c r="G381" i="3"/>
  <c r="BA383" i="3"/>
  <c r="BL384" i="3"/>
  <c r="G385" i="3"/>
  <c r="BA387" i="3"/>
  <c r="BL388" i="3"/>
  <c r="G389" i="3"/>
  <c r="BA391" i="3"/>
  <c r="BL392" i="3"/>
  <c r="G393" i="3"/>
  <c r="G548" i="3"/>
  <c r="G502" i="3"/>
  <c r="G17" i="3"/>
  <c r="BA17" i="3"/>
  <c r="BA15" i="3"/>
  <c r="G509" i="3"/>
  <c r="U38" i="40"/>
  <c r="F83" i="43"/>
  <c r="H85" i="43" s="1"/>
  <c r="F50" i="43"/>
  <c r="H54" i="43" s="1"/>
  <c r="F72" i="43"/>
  <c r="H75" i="43" s="1"/>
  <c r="U19" i="39"/>
  <c r="J37" i="33"/>
  <c r="W37" i="33" s="1"/>
  <c r="AC17" i="34"/>
  <c r="J34" i="33"/>
  <c r="W34" i="33" s="1"/>
  <c r="F33" i="34"/>
  <c r="H20" i="36"/>
  <c r="J20" i="36"/>
  <c r="W20" i="36" s="1"/>
  <c r="J27" i="36"/>
  <c r="W27" i="36" s="1"/>
  <c r="AC35" i="40"/>
  <c r="F113" i="40"/>
  <c r="G113" i="40" s="1"/>
  <c r="H113" i="40" s="1"/>
  <c r="I113" i="40" s="1"/>
  <c r="J113" i="40" s="1"/>
  <c r="K113" i="40" s="1"/>
  <c r="L113" i="40" s="1"/>
  <c r="M113" i="40" s="1"/>
  <c r="H37" i="40"/>
  <c r="AB37" i="40" s="1"/>
  <c r="H35" i="37"/>
  <c r="U35" i="37" s="1"/>
  <c r="H32" i="37"/>
  <c r="F96" i="37"/>
  <c r="G96" i="37" s="1"/>
  <c r="H96" i="37" s="1"/>
  <c r="I96" i="37" s="1"/>
  <c r="J96" i="37" s="1"/>
  <c r="K96" i="37" s="1"/>
  <c r="L96" i="37" s="1"/>
  <c r="M96" i="37"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H44" i="34"/>
  <c r="U44" i="34" s="1"/>
  <c r="F41" i="39"/>
  <c r="S41" i="39" s="1"/>
  <c r="J41" i="39"/>
  <c r="AC41" i="39" s="1"/>
  <c r="E98" i="39"/>
  <c r="F98" i="39" s="1"/>
  <c r="G98" i="39" s="1"/>
  <c r="F25" i="39"/>
  <c r="AA25" i="39" s="1"/>
  <c r="H27" i="36"/>
  <c r="U27" i="36" s="1"/>
  <c r="F27" i="36"/>
  <c r="AA27" i="36" s="1"/>
  <c r="H33" i="34"/>
  <c r="F32" i="37"/>
  <c r="AA32" i="37" s="1"/>
  <c r="F20" i="36"/>
  <c r="AA20" i="36" s="1"/>
  <c r="J33" i="34"/>
  <c r="AC33" i="34" s="1"/>
  <c r="H25" i="39"/>
  <c r="U25" i="39" s="1"/>
  <c r="M52" i="9"/>
  <c r="K9" i="1"/>
  <c r="M9" i="1" s="1"/>
  <c r="K6" i="1"/>
  <c r="AB34" i="36"/>
  <c r="AC14" i="39"/>
  <c r="BL14" i="3"/>
  <c r="AC13" i="34"/>
  <c r="AA47" i="34"/>
  <c r="H14" i="39"/>
  <c r="F41" i="40"/>
  <c r="AA41" i="40" s="1"/>
  <c r="BA14" i="3"/>
  <c r="B12" i="1"/>
  <c r="E12" i="1" s="1"/>
  <c r="B10" i="1"/>
  <c r="E10" i="1" s="1"/>
  <c r="K12" i="1"/>
  <c r="M12" i="1" s="1"/>
  <c r="S13" i="1"/>
  <c r="AR13" i="1" s="1"/>
  <c r="R13" i="1"/>
  <c r="J51" i="67"/>
  <c r="AC34" i="33"/>
  <c r="AB39" i="40"/>
  <c r="S37" i="40"/>
  <c r="AC38" i="40"/>
  <c r="S25" i="40"/>
  <c r="AC17" i="40"/>
  <c r="S30" i="40"/>
  <c r="F34" i="39"/>
  <c r="AA34" i="39" s="1"/>
  <c r="F108" i="39"/>
  <c r="G108" i="39" s="1"/>
  <c r="H108" i="39" s="1"/>
  <c r="I108" i="39" s="1"/>
  <c r="J108" i="39" s="1"/>
  <c r="K108" i="39" s="1"/>
  <c r="L108" i="39" s="1"/>
  <c r="M108" i="39" s="1"/>
  <c r="F23" i="39"/>
  <c r="AA23" i="39" s="1"/>
  <c r="H23" i="39"/>
  <c r="AB23" i="39" s="1"/>
  <c r="W21" i="39"/>
  <c r="S19" i="39"/>
  <c r="AC15" i="39"/>
  <c r="S23" i="36"/>
  <c r="U13" i="36"/>
  <c r="U26" i="36"/>
  <c r="S33" i="36"/>
  <c r="AA26" i="36"/>
  <c r="AC26" i="36"/>
  <c r="AA22" i="36"/>
  <c r="W14" i="36"/>
  <c r="U16" i="36"/>
  <c r="S14" i="36"/>
  <c r="S23" i="35"/>
  <c r="U28" i="35"/>
  <c r="AB27" i="35"/>
  <c r="U22" i="35"/>
  <c r="S22" i="35"/>
  <c r="F9" i="35"/>
  <c r="S9" i="35" s="1"/>
  <c r="H9" i="35"/>
  <c r="U9" i="35" s="1"/>
  <c r="W27" i="37"/>
  <c r="AC29" i="37"/>
  <c r="U29" i="37"/>
  <c r="S32" i="37"/>
  <c r="AB31" i="37"/>
  <c r="W30" i="37"/>
  <c r="S36" i="37"/>
  <c r="AA38" i="37"/>
  <c r="W38" i="37"/>
  <c r="AC35" i="37"/>
  <c r="W39" i="37"/>
  <c r="S37" i="37"/>
  <c r="J17" i="37"/>
  <c r="W17" i="37" s="1"/>
  <c r="F17" i="37"/>
  <c r="AA17" i="37" s="1"/>
  <c r="F75" i="37"/>
  <c r="G75" i="37" s="1"/>
  <c r="F19" i="37"/>
  <c r="S19" i="37" s="1"/>
  <c r="F79" i="37"/>
  <c r="F23" i="37"/>
  <c r="S23" i="37" s="1"/>
  <c r="U15" i="37"/>
  <c r="H10" i="37"/>
  <c r="AB10" i="37" s="1"/>
  <c r="F63" i="37"/>
  <c r="F11" i="37"/>
  <c r="S11" i="37" s="1"/>
  <c r="W25" i="34"/>
  <c r="AB8" i="34"/>
  <c r="U43" i="34"/>
  <c r="AC39" i="34"/>
  <c r="W41" i="34"/>
  <c r="U39" i="34"/>
  <c r="AB41" i="34"/>
  <c r="U28" i="34"/>
  <c r="S17" i="34"/>
  <c r="AA29" i="34"/>
  <c r="S23" i="34"/>
  <c r="U15" i="34"/>
  <c r="H10" i="34"/>
  <c r="AB10" i="34" s="1"/>
  <c r="F11" i="34"/>
  <c r="S11" i="34" s="1"/>
  <c r="F70" i="34"/>
  <c r="G70" i="34" s="1"/>
  <c r="H70" i="34" s="1"/>
  <c r="I70" i="34" s="1"/>
  <c r="J70" i="34" s="1"/>
  <c r="K70" i="34" s="1"/>
  <c r="L70" i="34" s="1"/>
  <c r="M70" i="34" s="1"/>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J35" i="33"/>
  <c r="S37" i="33"/>
  <c r="F101" i="33"/>
  <c r="G101" i="33"/>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AA25" i="33" s="1"/>
  <c r="J23" i="33"/>
  <c r="AC23" i="33" s="1"/>
  <c r="H23" i="33"/>
  <c r="AB23" i="33" s="1"/>
  <c r="F81" i="33"/>
  <c r="G81" i="33" s="1"/>
  <c r="F19" i="33"/>
  <c r="S19" i="33" s="1"/>
  <c r="W19" i="33"/>
  <c r="J17" i="33"/>
  <c r="W17" i="33" s="1"/>
  <c r="F79" i="33"/>
  <c r="G79" i="33" s="1"/>
  <c r="S15" i="33"/>
  <c r="W15" i="33"/>
  <c r="J10" i="33"/>
  <c r="W10" i="33" s="1"/>
  <c r="H10" i="33"/>
  <c r="U10" i="33" s="1"/>
  <c r="AC11" i="33"/>
  <c r="AB14" i="33"/>
  <c r="W36" i="21"/>
  <c r="AA38" i="21"/>
  <c r="J15" i="21"/>
  <c r="W15" i="21" s="1"/>
  <c r="F23" i="21"/>
  <c r="S23" i="21" s="1"/>
  <c r="D120" i="9"/>
  <c r="D121" i="9" s="1"/>
  <c r="D7" i="52" s="1"/>
  <c r="C18" i="9"/>
  <c r="F34" i="67"/>
  <c r="F62" i="67" s="1"/>
  <c r="M20" i="67"/>
  <c r="F19" i="15"/>
  <c r="F69" i="15" s="1"/>
  <c r="G13" i="3"/>
  <c r="BA13" i="3"/>
  <c r="BL17" i="3"/>
  <c r="BL13" i="3"/>
  <c r="J56" i="9"/>
  <c r="J57" i="9" s="1"/>
  <c r="J59" i="9" s="1"/>
  <c r="J61" i="9" s="1"/>
  <c r="A24" i="51"/>
  <c r="B18" i="72" s="1"/>
  <c r="E32" i="6"/>
  <c r="G1" i="68"/>
  <c r="K1" i="12"/>
  <c r="E17" i="68"/>
  <c r="E1" i="73"/>
  <c r="G22" i="69"/>
  <c r="G23" i="68"/>
  <c r="G30" i="12"/>
  <c r="G22" i="11"/>
  <c r="C6" i="43"/>
  <c r="B19" i="53"/>
  <c r="B37" i="72" s="1"/>
  <c r="A4" i="51"/>
  <c r="B6" i="72" s="1"/>
  <c r="L20" i="6"/>
  <c r="B6" i="1"/>
  <c r="E6" i="1" s="1"/>
  <c r="K11" i="1"/>
  <c r="M11" i="1" s="1"/>
  <c r="O11" i="1" s="1"/>
  <c r="B9" i="1"/>
  <c r="E9" i="1" s="1"/>
  <c r="G1" i="15"/>
  <c r="G1" i="69"/>
  <c r="W25" i="40"/>
  <c r="AB30" i="40"/>
  <c r="W30" i="40"/>
  <c r="W36" i="40"/>
  <c r="S38" i="40"/>
  <c r="W39" i="40"/>
  <c r="AA17" i="40"/>
  <c r="U13" i="40"/>
  <c r="S33" i="40"/>
  <c r="U17" i="40"/>
  <c r="AB19" i="40"/>
  <c r="U10" i="40"/>
  <c r="S10" i="40"/>
  <c r="AB15" i="39"/>
  <c r="AA15" i="39"/>
  <c r="S15" i="39"/>
  <c r="U45" i="39"/>
  <c r="AB45" i="39"/>
  <c r="W19" i="39"/>
  <c r="AC19" i="39"/>
  <c r="W33" i="39"/>
  <c r="AC33" i="39"/>
  <c r="AA47" i="39"/>
  <c r="W36" i="39"/>
  <c r="S10" i="39"/>
  <c r="W29" i="36"/>
  <c r="AC20" i="36"/>
  <c r="AB28" i="36"/>
  <c r="W22" i="36"/>
  <c r="AC25" i="35"/>
  <c r="AA35" i="37"/>
  <c r="S27" i="37"/>
  <c r="W32" i="37"/>
  <c r="U36" i="37"/>
  <c r="S40" i="37"/>
  <c r="AB37" i="37"/>
  <c r="AB35" i="37"/>
  <c r="AA31" i="37"/>
  <c r="U8" i="37"/>
  <c r="AB40" i="34"/>
  <c r="U19" i="34"/>
  <c r="AA31" i="34"/>
  <c r="AA30" i="34"/>
  <c r="AB47" i="34"/>
  <c r="AC32" i="34"/>
  <c r="S37" i="34"/>
  <c r="AA19" i="34"/>
  <c r="S19" i="34"/>
  <c r="AA36" i="34"/>
  <c r="AA8" i="34"/>
  <c r="S8" i="34"/>
  <c r="U32" i="34"/>
  <c r="U14" i="34"/>
  <c r="AB14" i="34"/>
  <c r="AC43" i="34"/>
  <c r="W43" i="34"/>
  <c r="W23" i="34"/>
  <c r="AC35" i="34"/>
  <c r="W35" i="34"/>
  <c r="AB28" i="33"/>
  <c r="AC37" i="33"/>
  <c r="W46" i="33"/>
  <c r="U39" i="33"/>
  <c r="U38" i="33"/>
  <c r="S33" i="33"/>
  <c r="AB34" i="33"/>
  <c r="U44" i="33"/>
  <c r="U15" i="33"/>
  <c r="S11" i="33"/>
  <c r="U37" i="33"/>
  <c r="AC28" i="33"/>
  <c r="S28" i="33"/>
  <c r="W8" i="33"/>
  <c r="F33" i="21"/>
  <c r="AA33" i="21" s="1"/>
  <c r="J33" i="21"/>
  <c r="AC33" i="21" s="1"/>
  <c r="H33" i="21"/>
  <c r="AB33" i="21" s="1"/>
  <c r="F37" i="21"/>
  <c r="AA37" i="21" s="1"/>
  <c r="AA26" i="21"/>
  <c r="AB14" i="21"/>
  <c r="U40" i="21"/>
  <c r="AB31" i="21"/>
  <c r="U31" i="21"/>
  <c r="S35" i="21"/>
  <c r="H15" i="21"/>
  <c r="AB15" i="21" s="1"/>
  <c r="J17" i="21"/>
  <c r="AC17" i="21" s="1"/>
  <c r="AC14" i="21"/>
  <c r="W30" i="21"/>
  <c r="S46" i="21"/>
  <c r="H45" i="21"/>
  <c r="U45" i="21" s="1"/>
  <c r="F29" i="21"/>
  <c r="AA29" i="21" s="1"/>
  <c r="AC38" i="21"/>
  <c r="H32" i="21"/>
  <c r="U32" i="21" s="1"/>
  <c r="H9" i="21"/>
  <c r="AB9" i="21" s="1"/>
  <c r="J9" i="21"/>
  <c r="W9" i="21" s="1"/>
  <c r="J32" i="21"/>
  <c r="W32" i="21" s="1"/>
  <c r="W29" i="21"/>
  <c r="AA9" i="21"/>
  <c r="K141" i="21"/>
  <c r="K144" i="21"/>
  <c r="K143" i="21"/>
  <c r="AB25" i="21"/>
  <c r="F10" i="21"/>
  <c r="AA10" i="21" s="1"/>
  <c r="K145" i="21"/>
  <c r="W25" i="21"/>
  <c r="W31" i="21"/>
  <c r="S17" i="21"/>
  <c r="S28" i="21"/>
  <c r="AC34" i="21"/>
  <c r="C21" i="39"/>
  <c r="C17" i="40"/>
  <c r="C19" i="40"/>
  <c r="C23" i="40"/>
  <c r="U32" i="40"/>
  <c r="B56" i="43"/>
  <c r="B51" i="43"/>
  <c r="B54" i="43"/>
  <c r="B62" i="43"/>
  <c r="D41" i="15"/>
  <c r="E4" i="4"/>
  <c r="B5" i="62" s="1"/>
  <c r="B73" i="72" s="1"/>
  <c r="C4" i="4"/>
  <c r="J34" i="39"/>
  <c r="AC34" i="39" s="1"/>
  <c r="H34" i="39"/>
  <c r="AB34" i="39" s="1"/>
  <c r="J19" i="37"/>
  <c r="W19" i="37" s="1"/>
  <c r="J23" i="37"/>
  <c r="W23" i="37" s="1"/>
  <c r="G79" i="37"/>
  <c r="J10" i="37"/>
  <c r="W10" i="37" s="1"/>
  <c r="G63" i="37"/>
  <c r="H63" i="37" s="1"/>
  <c r="I63" i="37" s="1"/>
  <c r="J63" i="37" s="1"/>
  <c r="K63" i="37" s="1"/>
  <c r="L63" i="37" s="1"/>
  <c r="M63" i="37" s="1"/>
  <c r="H11" i="37"/>
  <c r="AB11" i="37" s="1"/>
  <c r="H11" i="34"/>
  <c r="U11" i="34" s="1"/>
  <c r="J10" i="34"/>
  <c r="AC10" i="34" s="1"/>
  <c r="J36" i="33"/>
  <c r="W36" i="33" s="1"/>
  <c r="H36" i="33"/>
  <c r="W32" i="33"/>
  <c r="J27" i="33"/>
  <c r="S25" i="33"/>
  <c r="J25" i="33"/>
  <c r="F23" i="33"/>
  <c r="AA19" i="33"/>
  <c r="H19" i="33"/>
  <c r="U19" i="33" s="1"/>
  <c r="H17" i="33"/>
  <c r="U17" i="33" s="1"/>
  <c r="F17" i="33"/>
  <c r="AP7" i="1"/>
  <c r="AC23" i="37"/>
  <c r="J11" i="37"/>
  <c r="AC11" i="37" s="1"/>
  <c r="J11" i="34"/>
  <c r="W11" i="34" s="1"/>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67"/>
  <c r="F43" i="67"/>
  <c r="M24" i="67"/>
  <c r="F4" i="73"/>
  <c r="E11" i="76"/>
  <c r="F16" i="67"/>
  <c r="M29" i="67"/>
  <c r="AO13" i="1"/>
  <c r="E9" i="76"/>
  <c r="F26" i="67"/>
  <c r="E12" i="76"/>
  <c r="M27" i="15"/>
  <c r="F23" i="15"/>
  <c r="E8" i="76"/>
  <c r="M26" i="67"/>
  <c r="D34" i="9"/>
  <c r="M23" i="67"/>
  <c r="F7" i="73"/>
  <c r="D35" i="9"/>
  <c r="F20" i="31"/>
  <c r="F8" i="67"/>
  <c r="B10" i="76"/>
  <c r="F6" i="67"/>
  <c r="E13" i="76"/>
  <c r="F42" i="67"/>
  <c r="F40" i="67"/>
  <c r="F3" i="73"/>
  <c r="F13" i="67"/>
  <c r="L47" i="67"/>
  <c r="F8" i="15"/>
  <c r="F37" i="67"/>
  <c r="F48" i="15"/>
  <c r="B13" i="76"/>
  <c r="F38" i="67"/>
  <c r="F6" i="73"/>
  <c r="J15" i="67"/>
  <c r="B7" i="76"/>
  <c r="E2" i="69"/>
  <c r="F5" i="73"/>
  <c r="B12" i="76"/>
  <c r="F29" i="15"/>
  <c r="E10" i="76"/>
  <c r="D6" i="73"/>
  <c r="E7" i="76"/>
  <c r="C83" i="15"/>
  <c r="M22" i="67"/>
  <c r="B11" i="76"/>
  <c r="F7" i="67"/>
  <c r="B8" i="76"/>
  <c r="M8" i="15"/>
  <c r="B9" i="76"/>
  <c r="L52" i="15"/>
  <c r="U36" i="33" l="1"/>
  <c r="AB36" i="33"/>
  <c r="AA27" i="33"/>
  <c r="S27" i="33"/>
  <c r="AA33" i="35"/>
  <c r="S33" i="35"/>
  <c r="U36" i="34"/>
  <c r="AB36" i="34"/>
  <c r="AB22" i="36"/>
  <c r="U22" i="36"/>
  <c r="F32" i="36"/>
  <c r="H32" i="36"/>
  <c r="AB29" i="36"/>
  <c r="U29" i="36"/>
  <c r="W42" i="34"/>
  <c r="AC42" i="34"/>
  <c r="BL552" i="3"/>
  <c r="BL499" i="3"/>
  <c r="BA499" i="3"/>
  <c r="F26" i="33"/>
  <c r="AA26" i="33" s="1"/>
  <c r="H26" i="33"/>
  <c r="J26" i="33"/>
  <c r="J25" i="36"/>
  <c r="H25" i="36"/>
  <c r="AA40" i="33"/>
  <c r="S40" i="33"/>
  <c r="H37" i="39"/>
  <c r="J37" i="39"/>
  <c r="AC37" i="39" s="1"/>
  <c r="BA504" i="3"/>
  <c r="BL495" i="3"/>
  <c r="AB29" i="21"/>
  <c r="W33" i="34"/>
  <c r="AB33" i="40"/>
  <c r="AA13" i="37"/>
  <c r="BA494" i="3"/>
  <c r="AC37" i="40"/>
  <c r="W37" i="40"/>
  <c r="F25" i="36"/>
  <c r="S14" i="34"/>
  <c r="AA14" i="34"/>
  <c r="U30" i="21"/>
  <c r="AB30" i="21"/>
  <c r="H113" i="21"/>
  <c r="J37" i="21"/>
  <c r="W37" i="21" s="1"/>
  <c r="B99" i="43"/>
  <c r="B67" i="43"/>
  <c r="U40" i="33"/>
  <c r="AB40" i="33"/>
  <c r="AB24" i="35"/>
  <c r="U24" i="35"/>
  <c r="J9" i="36"/>
  <c r="AA36" i="40"/>
  <c r="S36" i="40"/>
  <c r="F15" i="40"/>
  <c r="AA15" i="40" s="1"/>
  <c r="J15" i="40"/>
  <c r="H15" i="40"/>
  <c r="U15" i="40" s="1"/>
  <c r="BA584" i="3"/>
  <c r="BL579" i="3"/>
  <c r="BA567" i="3"/>
  <c r="BA544" i="3"/>
  <c r="BA535" i="3"/>
  <c r="BL524" i="3"/>
  <c r="BA522" i="3"/>
  <c r="BA497" i="3"/>
  <c r="BL494" i="3"/>
  <c r="BL493" i="3"/>
  <c r="AC17" i="33"/>
  <c r="S41" i="40"/>
  <c r="AC26" i="21"/>
  <c r="U25" i="34"/>
  <c r="W19" i="34"/>
  <c r="AA29" i="37"/>
  <c r="U38" i="37"/>
  <c r="S43" i="33"/>
  <c r="BL565" i="3"/>
  <c r="BL573" i="3"/>
  <c r="AB38" i="34"/>
  <c r="U38" i="34"/>
  <c r="S34" i="37"/>
  <c r="AA39" i="40"/>
  <c r="S39" i="40"/>
  <c r="AB21" i="39"/>
  <c r="U21" i="39"/>
  <c r="S12" i="33"/>
  <c r="AA12" i="33"/>
  <c r="AA30" i="37"/>
  <c r="S30" i="37"/>
  <c r="H12" i="37"/>
  <c r="AB12" i="37" s="1"/>
  <c r="J12" i="37"/>
  <c r="F12" i="37"/>
  <c r="S12" i="37" s="1"/>
  <c r="F16" i="39"/>
  <c r="H16" i="39"/>
  <c r="E96" i="39"/>
  <c r="F96" i="39" s="1"/>
  <c r="G96" i="39" s="1"/>
  <c r="J23" i="39"/>
  <c r="W23" i="39" s="1"/>
  <c r="J39" i="39"/>
  <c r="H39" i="39"/>
  <c r="AB39" i="39" s="1"/>
  <c r="F39" i="39"/>
  <c r="AC10" i="40"/>
  <c r="W10" i="40"/>
  <c r="S33" i="34"/>
  <c r="AA33" i="34"/>
  <c r="W15" i="34"/>
  <c r="AC15" i="34"/>
  <c r="AC17" i="37"/>
  <c r="AB32" i="37"/>
  <c r="U32" i="37"/>
  <c r="AZ357" i="3"/>
  <c r="AB23" i="37"/>
  <c r="U23" i="37"/>
  <c r="BL515" i="3"/>
  <c r="J32" i="36"/>
  <c r="W32" i="36" s="1"/>
  <c r="W34" i="37"/>
  <c r="AC34" i="37"/>
  <c r="AB39" i="37"/>
  <c r="U39" i="37"/>
  <c r="S38" i="39"/>
  <c r="AA38" i="39"/>
  <c r="U38" i="21"/>
  <c r="AB38" i="21"/>
  <c r="J13" i="21"/>
  <c r="H13" i="21"/>
  <c r="F13" i="21"/>
  <c r="J45" i="21"/>
  <c r="W45" i="21" s="1"/>
  <c r="F45" i="21"/>
  <c r="W39" i="33"/>
  <c r="AC39" i="33"/>
  <c r="S17" i="37"/>
  <c r="W8" i="34"/>
  <c r="U36" i="40"/>
  <c r="J12" i="35"/>
  <c r="J14" i="35"/>
  <c r="W14" i="35" s="1"/>
  <c r="H23" i="35"/>
  <c r="E66" i="71"/>
  <c r="P67" i="71"/>
  <c r="B67" i="71"/>
  <c r="N68" i="71"/>
  <c r="T80" i="71"/>
  <c r="C79" i="71"/>
  <c r="AZ310" i="3"/>
  <c r="AZ380" i="3"/>
  <c r="BL557" i="3"/>
  <c r="D58" i="71"/>
  <c r="C59" i="71"/>
  <c r="D59" i="71" s="1"/>
  <c r="AZ394" i="3"/>
  <c r="BL584" i="3"/>
  <c r="BL580" i="3"/>
  <c r="BA579" i="3"/>
  <c r="BH5" i="3"/>
  <c r="BA577" i="3"/>
  <c r="G577" i="3"/>
  <c r="BA576" i="3"/>
  <c r="G576" i="3"/>
  <c r="BL575" i="3"/>
  <c r="BA571" i="3"/>
  <c r="BL570" i="3"/>
  <c r="BA570" i="3"/>
  <c r="G569" i="3"/>
  <c r="BA568" i="3"/>
  <c r="G568" i="3"/>
  <c r="BL566" i="3"/>
  <c r="BA565" i="3"/>
  <c r="BA563" i="3"/>
  <c r="BL562" i="3"/>
  <c r="BA562" i="3"/>
  <c r="BL561" i="3"/>
  <c r="G561" i="3"/>
  <c r="BL560" i="3"/>
  <c r="BA560" i="3"/>
  <c r="G560" i="3"/>
  <c r="BA559" i="3"/>
  <c r="BA557" i="3"/>
  <c r="BA556" i="3"/>
  <c r="BL554" i="3"/>
  <c r="BA554" i="3"/>
  <c r="BA553" i="3"/>
  <c r="G553" i="3"/>
  <c r="BA552" i="3"/>
  <c r="BL549" i="3"/>
  <c r="G545" i="3"/>
  <c r="BL544" i="3"/>
  <c r="BA543" i="3"/>
  <c r="BL542" i="3"/>
  <c r="BA541" i="3"/>
  <c r="BA538" i="3"/>
  <c r="BL537" i="3"/>
  <c r="G537" i="3"/>
  <c r="G536" i="3"/>
  <c r="BA534" i="3"/>
  <c r="BL533" i="3"/>
  <c r="BN5" i="3"/>
  <c r="G29" i="6" s="1"/>
  <c r="E29" i="6" s="1"/>
  <c r="K15" i="1" s="1"/>
  <c r="BA530" i="3"/>
  <c r="G528" i="3"/>
  <c r="BA527" i="3"/>
  <c r="BL526" i="3"/>
  <c r="BA525" i="3"/>
  <c r="BL521" i="3"/>
  <c r="BA521" i="3"/>
  <c r="BA517" i="3"/>
  <c r="BI5" i="3"/>
  <c r="BA516" i="3"/>
  <c r="BA514" i="3"/>
  <c r="BL510" i="3"/>
  <c r="BA507" i="3"/>
  <c r="BL506" i="3"/>
  <c r="BA506" i="3"/>
  <c r="BL505" i="3"/>
  <c r="BA505" i="3"/>
  <c r="BL501" i="3"/>
  <c r="G501" i="3"/>
  <c r="BA498" i="3"/>
  <c r="AZ498" i="3" s="1"/>
  <c r="BL497" i="3"/>
  <c r="AA21" i="33"/>
  <c r="S21" i="33"/>
  <c r="Y37" i="71"/>
  <c r="Z37" i="71" s="1"/>
  <c r="T76" i="71"/>
  <c r="C75" i="71"/>
  <c r="D75" i="71" s="1"/>
  <c r="BA402" i="3"/>
  <c r="G406" i="3"/>
  <c r="BA407" i="3"/>
  <c r="BL430" i="3"/>
  <c r="BA431" i="3"/>
  <c r="BL433" i="3"/>
  <c r="G435" i="3"/>
  <c r="BA436" i="3"/>
  <c r="G438" i="3"/>
  <c r="BA443" i="3"/>
  <c r="BL451" i="3"/>
  <c r="BA452" i="3"/>
  <c r="G477" i="3"/>
  <c r="BA487" i="3"/>
  <c r="BL488" i="3"/>
  <c r="G490" i="3"/>
  <c r="BA385" i="3"/>
  <c r="BA235" i="3"/>
  <c r="G255" i="3"/>
  <c r="BA255" i="3"/>
  <c r="G258" i="3"/>
  <c r="BL289" i="3"/>
  <c r="G290" i="3"/>
  <c r="G134" i="3"/>
  <c r="G138" i="3"/>
  <c r="BL154" i="3"/>
  <c r="G166" i="3"/>
  <c r="BA177" i="3"/>
  <c r="G184" i="3"/>
  <c r="BA189" i="3"/>
  <c r="G192" i="3"/>
  <c r="BA207" i="3"/>
  <c r="G31" i="3"/>
  <c r="G35" i="3"/>
  <c r="G39" i="3"/>
  <c r="G48" i="3"/>
  <c r="G52" i="3"/>
  <c r="G89" i="3"/>
  <c r="G92" i="3"/>
  <c r="G111" i="3"/>
  <c r="W18" i="36"/>
  <c r="X26" i="71"/>
  <c r="Y29" i="71"/>
  <c r="Z29" i="71" s="1"/>
  <c r="Y30" i="71"/>
  <c r="Z30" i="71" s="1"/>
  <c r="X31" i="71"/>
  <c r="X32" i="71"/>
  <c r="E40" i="71"/>
  <c r="U40" i="71" s="1"/>
  <c r="U76" i="71"/>
  <c r="B79" i="71"/>
  <c r="B78" i="71" s="1"/>
  <c r="K10" i="1"/>
  <c r="M10" i="1" s="1"/>
  <c r="G400" i="3"/>
  <c r="BA406" i="3"/>
  <c r="BL425" i="3"/>
  <c r="G430" i="3"/>
  <c r="BA448" i="3"/>
  <c r="BA451" i="3"/>
  <c r="BL479" i="3"/>
  <c r="BA485" i="3"/>
  <c r="BA392" i="3"/>
  <c r="AZ392" i="3" s="1"/>
  <c r="G396" i="3"/>
  <c r="BA396" i="3"/>
  <c r="BL208" i="3"/>
  <c r="BA227" i="3"/>
  <c r="AZ227" i="3" s="1"/>
  <c r="BL252" i="3"/>
  <c r="BA302" i="3"/>
  <c r="BL122" i="3"/>
  <c r="BA160" i="3"/>
  <c r="AZ160" i="3" s="1"/>
  <c r="BA162" i="3"/>
  <c r="BL173" i="3"/>
  <c r="BL195" i="3"/>
  <c r="AZ195" i="3" s="1"/>
  <c r="BA27" i="3"/>
  <c r="BA43" i="3"/>
  <c r="BA47" i="3"/>
  <c r="BL74" i="3"/>
  <c r="BA89" i="3"/>
  <c r="AB26" i="71"/>
  <c r="X35" i="71"/>
  <c r="AA39" i="71"/>
  <c r="E47" i="71"/>
  <c r="E48" i="71" s="1"/>
  <c r="U48" i="71" s="1"/>
  <c r="G404" i="3"/>
  <c r="G407" i="3"/>
  <c r="BA413" i="3"/>
  <c r="G420" i="3"/>
  <c r="BL423" i="3"/>
  <c r="G436" i="3"/>
  <c r="G437" i="3"/>
  <c r="BL443" i="3"/>
  <c r="G445" i="3"/>
  <c r="G466" i="3"/>
  <c r="G471" i="3"/>
  <c r="BA476" i="3"/>
  <c r="G479" i="3"/>
  <c r="G492" i="3"/>
  <c r="BA319" i="3"/>
  <c r="AZ319" i="3" s="1"/>
  <c r="G213" i="3"/>
  <c r="G223" i="3"/>
  <c r="G228" i="3"/>
  <c r="BA233" i="3"/>
  <c r="G236" i="3"/>
  <c r="BA241" i="3"/>
  <c r="AZ241" i="3" s="1"/>
  <c r="BL241" i="3"/>
  <c r="BA245" i="3"/>
  <c r="G252" i="3"/>
  <c r="BA270" i="3"/>
  <c r="G276" i="3"/>
  <c r="BA277" i="3"/>
  <c r="AZ277" i="3" s="1"/>
  <c r="BL277" i="3"/>
  <c r="BA286" i="3"/>
  <c r="G292" i="3"/>
  <c r="G160" i="3"/>
  <c r="BL163" i="3"/>
  <c r="AZ163" i="3" s="1"/>
  <c r="BL198" i="3"/>
  <c r="G199" i="3"/>
  <c r="G21" i="3"/>
  <c r="G25" i="3"/>
  <c r="G29" i="3"/>
  <c r="G41" i="3"/>
  <c r="G45" i="3"/>
  <c r="G49" i="3"/>
  <c r="BA55" i="3"/>
  <c r="G66" i="3"/>
  <c r="BL76" i="3"/>
  <c r="G78" i="3"/>
  <c r="G82" i="3"/>
  <c r="BL86" i="3"/>
  <c r="BA87" i="3"/>
  <c r="G90" i="3"/>
  <c r="BL93" i="3"/>
  <c r="BA95" i="3"/>
  <c r="BA97" i="3"/>
  <c r="AZ97" i="3" s="1"/>
  <c r="BL97" i="3"/>
  <c r="G99" i="3"/>
  <c r="BL102" i="3"/>
  <c r="BA104" i="3"/>
  <c r="BA109" i="3"/>
  <c r="BA110" i="3"/>
  <c r="AZ110" i="3" s="1"/>
  <c r="AC21" i="33"/>
  <c r="F31" i="71"/>
  <c r="F32" i="71" s="1"/>
  <c r="V32" i="71" s="1"/>
  <c r="B39" i="71"/>
  <c r="B43" i="71"/>
  <c r="B44" i="71" s="1"/>
  <c r="S44" i="71" s="1"/>
  <c r="B59" i="71"/>
  <c r="B60" i="71" s="1"/>
  <c r="S60" i="71" s="1"/>
  <c r="B23" i="71"/>
  <c r="B22" i="71" s="1"/>
  <c r="B21" i="71" s="1"/>
  <c r="B20" i="71" s="1"/>
  <c r="F20" i="35"/>
  <c r="S20" i="35" s="1"/>
  <c r="W27" i="33"/>
  <c r="AC27" i="33"/>
  <c r="U33" i="34"/>
  <c r="AB33" i="34"/>
  <c r="W28" i="21"/>
  <c r="AC28" i="21"/>
  <c r="AA24" i="36"/>
  <c r="S24" i="36"/>
  <c r="S14" i="21"/>
  <c r="AA14" i="21"/>
  <c r="S30" i="21"/>
  <c r="AA30" i="21"/>
  <c r="B97" i="43"/>
  <c r="B65" i="43"/>
  <c r="AA35" i="34"/>
  <c r="S35" i="34"/>
  <c r="W9" i="35"/>
  <c r="AC9" i="35"/>
  <c r="U25" i="35"/>
  <c r="AB25" i="35"/>
  <c r="AC22" i="35"/>
  <c r="W22" i="35"/>
  <c r="AZ579" i="3"/>
  <c r="AZ570" i="3"/>
  <c r="AZ568" i="3"/>
  <c r="AZ565" i="3"/>
  <c r="AZ560" i="3"/>
  <c r="AZ554" i="3"/>
  <c r="AZ552" i="3"/>
  <c r="AZ530" i="3"/>
  <c r="BL509" i="3"/>
  <c r="AZ506" i="3"/>
  <c r="S17" i="33"/>
  <c r="AA17" i="33"/>
  <c r="AA36" i="33"/>
  <c r="S36" i="33"/>
  <c r="S43" i="34"/>
  <c r="AA32" i="40"/>
  <c r="S32" i="40"/>
  <c r="U20" i="36"/>
  <c r="AB20" i="36"/>
  <c r="AB34" i="40"/>
  <c r="U34" i="40"/>
  <c r="S14" i="40"/>
  <c r="AA14" i="40"/>
  <c r="AA45" i="39"/>
  <c r="S45" i="39"/>
  <c r="W13" i="37"/>
  <c r="AC13" i="37"/>
  <c r="S45" i="33"/>
  <c r="AA45" i="33"/>
  <c r="S31" i="21"/>
  <c r="AA31" i="21"/>
  <c r="AA13" i="21"/>
  <c r="S13" i="21"/>
  <c r="S35" i="33"/>
  <c r="AA35" i="33"/>
  <c r="AZ326" i="3"/>
  <c r="AA15" i="37"/>
  <c r="S15" i="37"/>
  <c r="AB19" i="37"/>
  <c r="U19" i="37"/>
  <c r="W16" i="40"/>
  <c r="AC16" i="40"/>
  <c r="AA35" i="40"/>
  <c r="S35" i="40"/>
  <c r="S13" i="36"/>
  <c r="AA13" i="36"/>
  <c r="S32" i="34"/>
  <c r="AA32" i="34"/>
  <c r="U27" i="33"/>
  <c r="AB27" i="33"/>
  <c r="W35" i="33"/>
  <c r="AC35" i="33"/>
  <c r="AZ341" i="3"/>
  <c r="AB29" i="34"/>
  <c r="U29" i="34"/>
  <c r="AC14" i="33"/>
  <c r="W14" i="33"/>
  <c r="W44" i="34"/>
  <c r="AC44" i="34"/>
  <c r="AB24" i="36"/>
  <c r="U24" i="36"/>
  <c r="AB30" i="36"/>
  <c r="U30" i="36"/>
  <c r="BL582" i="3"/>
  <c r="BA578" i="3"/>
  <c r="BA569" i="3"/>
  <c r="BL568" i="3"/>
  <c r="BA566" i="3"/>
  <c r="AZ566" i="3" s="1"/>
  <c r="BA561" i="3"/>
  <c r="AZ561" i="3" s="1"/>
  <c r="BL558" i="3"/>
  <c r="AZ558" i="3" s="1"/>
  <c r="BA558" i="3"/>
  <c r="BL556" i="3"/>
  <c r="AZ556" i="3" s="1"/>
  <c r="BA549" i="3"/>
  <c r="AZ549" i="3" s="1"/>
  <c r="BL546" i="3"/>
  <c r="BA540" i="3"/>
  <c r="BA533" i="3"/>
  <c r="AZ533" i="3" s="1"/>
  <c r="BL532" i="3"/>
  <c r="BA524" i="3"/>
  <c r="AZ524" i="3" s="1"/>
  <c r="BA515" i="3"/>
  <c r="AZ515" i="3" s="1"/>
  <c r="BL512" i="3"/>
  <c r="BA510" i="3"/>
  <c r="AZ510" i="3" s="1"/>
  <c r="BA509" i="3"/>
  <c r="BL508" i="3"/>
  <c r="BL504" i="3"/>
  <c r="AZ504" i="3" s="1"/>
  <c r="BA501" i="3"/>
  <c r="AZ501" i="3" s="1"/>
  <c r="BA500" i="3"/>
  <c r="BG5" i="3"/>
  <c r="BT5" i="3"/>
  <c r="BO5" i="3"/>
  <c r="BS5" i="3"/>
  <c r="BD5" i="3"/>
  <c r="BE5" i="3"/>
  <c r="AZ378" i="3"/>
  <c r="AZ360" i="3"/>
  <c r="AB23" i="40"/>
  <c r="U23" i="40"/>
  <c r="BL555" i="3"/>
  <c r="BL567" i="3"/>
  <c r="AZ499" i="3"/>
  <c r="U14" i="36"/>
  <c r="AB14" i="36"/>
  <c r="E77" i="21"/>
  <c r="F77" i="21" s="1"/>
  <c r="G77" i="21" s="1"/>
  <c r="F15" i="21"/>
  <c r="S15" i="21" s="1"/>
  <c r="J27" i="34"/>
  <c r="H27" i="34"/>
  <c r="AB27" i="34" s="1"/>
  <c r="AC47" i="34"/>
  <c r="W47" i="34"/>
  <c r="J12" i="36"/>
  <c r="H12" i="36"/>
  <c r="F12" i="36"/>
  <c r="J28" i="37"/>
  <c r="W28" i="37" s="1"/>
  <c r="F28" i="37"/>
  <c r="H33" i="39"/>
  <c r="F33" i="39"/>
  <c r="AB11" i="40"/>
  <c r="U11" i="40"/>
  <c r="J34" i="40"/>
  <c r="F34" i="40"/>
  <c r="S20" i="36"/>
  <c r="U33" i="36"/>
  <c r="AC5" i="3"/>
  <c r="BM5" i="3"/>
  <c r="AZ344" i="3"/>
  <c r="AZ313" i="3"/>
  <c r="AZ325" i="3"/>
  <c r="AZ320" i="3"/>
  <c r="BL503" i="3"/>
  <c r="BL511" i="3"/>
  <c r="AZ511" i="3" s="1"/>
  <c r="BL519" i="3"/>
  <c r="BL523" i="3"/>
  <c r="BL531" i="3"/>
  <c r="BL569" i="3"/>
  <c r="AZ569" i="3" s="1"/>
  <c r="BL496" i="3"/>
  <c r="AC44" i="33"/>
  <c r="W44" i="33"/>
  <c r="AA21" i="39"/>
  <c r="S21" i="39"/>
  <c r="BA587" i="3"/>
  <c r="AC33" i="33"/>
  <c r="W33" i="33"/>
  <c r="AC24" i="36"/>
  <c r="W24" i="36"/>
  <c r="J41" i="40"/>
  <c r="H41" i="40"/>
  <c r="AA23" i="37"/>
  <c r="AA40" i="34"/>
  <c r="AZ322" i="3"/>
  <c r="AZ389" i="3"/>
  <c r="W12" i="37"/>
  <c r="AC12" i="37"/>
  <c r="BL563" i="3"/>
  <c r="AZ563" i="3" s="1"/>
  <c r="BA493" i="3"/>
  <c r="S16" i="40"/>
  <c r="AA16" i="40"/>
  <c r="S34" i="36"/>
  <c r="AA34" i="36"/>
  <c r="J9" i="33"/>
  <c r="H9" i="33"/>
  <c r="F9" i="33"/>
  <c r="AA9" i="33" s="1"/>
  <c r="AC28" i="36"/>
  <c r="W28" i="36"/>
  <c r="AC19" i="40"/>
  <c r="AZ345" i="3"/>
  <c r="AZ318" i="3"/>
  <c r="AZ390" i="3"/>
  <c r="AZ371" i="3"/>
  <c r="AZ351" i="3"/>
  <c r="F36" i="35"/>
  <c r="BL527" i="3"/>
  <c r="AZ527" i="3" s="1"/>
  <c r="BL547" i="3"/>
  <c r="BL553" i="3"/>
  <c r="AZ553" i="3" s="1"/>
  <c r="BL559" i="3"/>
  <c r="AZ559" i="3" s="1"/>
  <c r="BL583" i="3"/>
  <c r="H14" i="40"/>
  <c r="J30" i="34"/>
  <c r="J13" i="33"/>
  <c r="S26" i="33"/>
  <c r="J20" i="35"/>
  <c r="W20" i="35" s="1"/>
  <c r="H41" i="39"/>
  <c r="U41" i="39" s="1"/>
  <c r="U34" i="34"/>
  <c r="W31" i="37"/>
  <c r="G587" i="3"/>
  <c r="G570" i="3"/>
  <c r="AC27" i="35"/>
  <c r="U30" i="37"/>
  <c r="H36" i="35"/>
  <c r="BL581" i="3"/>
  <c r="G544" i="3"/>
  <c r="G529" i="3"/>
  <c r="BL525" i="3"/>
  <c r="G521" i="3"/>
  <c r="G515" i="3"/>
  <c r="BL514" i="3"/>
  <c r="AZ514" i="3" s="1"/>
  <c r="BA513" i="3"/>
  <c r="BA512" i="3"/>
  <c r="BA508" i="3"/>
  <c r="AZ508" i="3" s="1"/>
  <c r="G508" i="3"/>
  <c r="BA503" i="3"/>
  <c r="BL502" i="3"/>
  <c r="AZ502" i="3" s="1"/>
  <c r="BA502" i="3"/>
  <c r="BL500" i="3"/>
  <c r="BA496" i="3"/>
  <c r="BA495" i="3"/>
  <c r="BL398" i="3"/>
  <c r="BL402" i="3"/>
  <c r="AZ402" i="3" s="1"/>
  <c r="BL403" i="3"/>
  <c r="BL416" i="3"/>
  <c r="BA419" i="3"/>
  <c r="BA428" i="3"/>
  <c r="BA429" i="3"/>
  <c r="BA430" i="3"/>
  <c r="AZ430" i="3" s="1"/>
  <c r="BA438" i="3"/>
  <c r="BA446" i="3"/>
  <c r="BL458" i="3"/>
  <c r="BL462" i="3"/>
  <c r="BA463" i="3"/>
  <c r="BA469" i="3"/>
  <c r="AZ469" i="3" s="1"/>
  <c r="BA470" i="3"/>
  <c r="BL472" i="3"/>
  <c r="BA489" i="3"/>
  <c r="BA349" i="3"/>
  <c r="AZ349" i="3" s="1"/>
  <c r="BL359" i="3"/>
  <c r="AZ359" i="3" s="1"/>
  <c r="BA368" i="3"/>
  <c r="AZ368" i="3" s="1"/>
  <c r="BL368" i="3"/>
  <c r="BA374" i="3"/>
  <c r="AZ374" i="3" s="1"/>
  <c r="G397" i="3"/>
  <c r="G212" i="3"/>
  <c r="BA217" i="3"/>
  <c r="G220" i="3"/>
  <c r="G225" i="3"/>
  <c r="BA231" i="3"/>
  <c r="G232" i="3"/>
  <c r="BL237" i="3"/>
  <c r="G238" i="3"/>
  <c r="BA239" i="3"/>
  <c r="AZ239" i="3" s="1"/>
  <c r="BL239" i="3"/>
  <c r="G246" i="3"/>
  <c r="BA254" i="3"/>
  <c r="AZ254" i="3" s="1"/>
  <c r="G256" i="3"/>
  <c r="BA257" i="3"/>
  <c r="G260" i="3"/>
  <c r="G261" i="3"/>
  <c r="BL266" i="3"/>
  <c r="BA275" i="3"/>
  <c r="BA288" i="3"/>
  <c r="BL290" i="3"/>
  <c r="G295" i="3"/>
  <c r="BL399" i="3"/>
  <c r="G401" i="3"/>
  <c r="G402" i="3"/>
  <c r="BA408" i="3"/>
  <c r="BA409" i="3"/>
  <c r="AZ409" i="3" s="1"/>
  <c r="G411" i="3"/>
  <c r="G417" i="3"/>
  <c r="BA417" i="3"/>
  <c r="BL419" i="3"/>
  <c r="G421" i="3"/>
  <c r="BL421" i="3"/>
  <c r="BL422" i="3"/>
  <c r="G431" i="3"/>
  <c r="G432" i="3"/>
  <c r="BA432" i="3"/>
  <c r="BA437" i="3"/>
  <c r="BA444" i="3"/>
  <c r="BA450" i="3"/>
  <c r="G452" i="3"/>
  <c r="G453" i="3"/>
  <c r="BA453" i="3"/>
  <c r="BA455" i="3"/>
  <c r="AZ455" i="3" s="1"/>
  <c r="BA458" i="3"/>
  <c r="AZ458" i="3" s="1"/>
  <c r="BA462" i="3"/>
  <c r="BL465" i="3"/>
  <c r="G467" i="3"/>
  <c r="BA473" i="3"/>
  <c r="BL484" i="3"/>
  <c r="G485" i="3"/>
  <c r="BL490" i="3"/>
  <c r="BL308" i="3"/>
  <c r="AZ308" i="3" s="1"/>
  <c r="BL317" i="3"/>
  <c r="G318" i="3"/>
  <c r="G349" i="3"/>
  <c r="G358" i="3"/>
  <c r="G362" i="3"/>
  <c r="BL365" i="3"/>
  <c r="AZ365" i="3" s="1"/>
  <c r="G366" i="3"/>
  <c r="G374" i="3"/>
  <c r="BL381" i="3"/>
  <c r="AZ381" i="3" s="1"/>
  <c r="G382" i="3"/>
  <c r="BL386" i="3"/>
  <c r="G387" i="3"/>
  <c r="BA388" i="3"/>
  <c r="AZ388" i="3" s="1"/>
  <c r="BA214" i="3"/>
  <c r="BA216" i="3"/>
  <c r="AZ216" i="3" s="1"/>
  <c r="BL219" i="3"/>
  <c r="BL223" i="3"/>
  <c r="G224" i="3"/>
  <c r="BA225" i="3"/>
  <c r="BA228" i="3"/>
  <c r="BL230" i="3"/>
  <c r="G231" i="3"/>
  <c r="G241" i="3"/>
  <c r="BA246" i="3"/>
  <c r="G249" i="3"/>
  <c r="BA250" i="3"/>
  <c r="BA252" i="3"/>
  <c r="AZ252" i="3" s="1"/>
  <c r="G254" i="3"/>
  <c r="BA256" i="3"/>
  <c r="AZ256" i="3" s="1"/>
  <c r="BL256" i="3"/>
  <c r="BL259" i="3"/>
  <c r="BA265" i="3"/>
  <c r="G268" i="3"/>
  <c r="G273" i="3"/>
  <c r="BL280" i="3"/>
  <c r="G281" i="3"/>
  <c r="BA282" i="3"/>
  <c r="AZ282" i="3" s="1"/>
  <c r="BL282" i="3"/>
  <c r="G285" i="3"/>
  <c r="G294" i="3"/>
  <c r="A15" i="62"/>
  <c r="B61" i="72" s="1"/>
  <c r="AZ451" i="3"/>
  <c r="BL406" i="3"/>
  <c r="AZ406" i="3" s="1"/>
  <c r="G408" i="3"/>
  <c r="G409" i="3"/>
  <c r="BA410" i="3"/>
  <c r="BL412" i="3"/>
  <c r="G414" i="3"/>
  <c r="BL414" i="3"/>
  <c r="BL415" i="3"/>
  <c r="G418" i="3"/>
  <c r="G419" i="3"/>
  <c r="G424" i="3"/>
  <c r="BL427" i="3"/>
  <c r="G433" i="3"/>
  <c r="G434" i="3"/>
  <c r="BA434" i="3"/>
  <c r="BL440" i="3"/>
  <c r="G442" i="3"/>
  <c r="G443" i="3"/>
  <c r="BL447" i="3"/>
  <c r="G449" i="3"/>
  <c r="G454" i="3"/>
  <c r="G455" i="3"/>
  <c r="BA456" i="3"/>
  <c r="G459" i="3"/>
  <c r="G463" i="3"/>
  <c r="BA466" i="3"/>
  <c r="G470" i="3"/>
  <c r="BA471" i="3"/>
  <c r="G474" i="3"/>
  <c r="G478" i="3"/>
  <c r="BA480" i="3"/>
  <c r="BL487" i="3"/>
  <c r="G488" i="3"/>
  <c r="G307" i="3"/>
  <c r="BA331" i="3"/>
  <c r="AZ331" i="3" s="1"/>
  <c r="BL350" i="3"/>
  <c r="BA353" i="3"/>
  <c r="AZ353" i="3" s="1"/>
  <c r="BL353" i="3"/>
  <c r="BL367" i="3"/>
  <c r="G380" i="3"/>
  <c r="BL383" i="3"/>
  <c r="AZ383" i="3" s="1"/>
  <c r="G384" i="3"/>
  <c r="BL212" i="3"/>
  <c r="G214" i="3"/>
  <c r="G218" i="3"/>
  <c r="BA220" i="3"/>
  <c r="BL220" i="3"/>
  <c r="BL221" i="3"/>
  <c r="G222" i="3"/>
  <c r="BL225" i="3"/>
  <c r="BL226" i="3"/>
  <c r="G227" i="3"/>
  <c r="G234" i="3"/>
  <c r="BA240" i="3"/>
  <c r="BL242" i="3"/>
  <c r="G243" i="3"/>
  <c r="BA244" i="3"/>
  <c r="AZ244" i="3" s="1"/>
  <c r="BL244" i="3"/>
  <c r="BA248" i="3"/>
  <c r="G251" i="3"/>
  <c r="G253" i="3"/>
  <c r="BA258" i="3"/>
  <c r="G266" i="3"/>
  <c r="G270" i="3"/>
  <c r="G271" i="3"/>
  <c r="G287" i="3"/>
  <c r="G302" i="3"/>
  <c r="G116" i="3"/>
  <c r="BA117" i="3"/>
  <c r="G126" i="3"/>
  <c r="BA132" i="3"/>
  <c r="AZ132" i="3" s="1"/>
  <c r="G135" i="3"/>
  <c r="G143" i="3"/>
  <c r="BA145" i="3"/>
  <c r="BA149" i="3"/>
  <c r="G158" i="3"/>
  <c r="BL161" i="3"/>
  <c r="G162" i="3"/>
  <c r="G164" i="3"/>
  <c r="BA190" i="3"/>
  <c r="BA201" i="3"/>
  <c r="G204" i="3"/>
  <c r="BA22" i="3"/>
  <c r="BA30" i="3"/>
  <c r="BL30" i="3"/>
  <c r="AZ30" i="3" s="1"/>
  <c r="BL31" i="3"/>
  <c r="BA40" i="3"/>
  <c r="BL40" i="3"/>
  <c r="BL41" i="3"/>
  <c r="BA48" i="3"/>
  <c r="BA49" i="3"/>
  <c r="G51" i="3"/>
  <c r="BA62" i="3"/>
  <c r="BL64" i="3"/>
  <c r="G65" i="3"/>
  <c r="G69" i="3"/>
  <c r="BA70" i="3"/>
  <c r="G73" i="3"/>
  <c r="BL79" i="3"/>
  <c r="G83" i="3"/>
  <c r="BL91" i="3"/>
  <c r="BL92" i="3"/>
  <c r="G95" i="3"/>
  <c r="BL99" i="3"/>
  <c r="BA105" i="3"/>
  <c r="G108" i="3"/>
  <c r="AC27" i="40"/>
  <c r="C31" i="39"/>
  <c r="C82" i="71"/>
  <c r="D82" i="71" s="1"/>
  <c r="Y28" i="71"/>
  <c r="Z28" i="71" s="1"/>
  <c r="AB32" i="71"/>
  <c r="AA35" i="71"/>
  <c r="X38" i="71"/>
  <c r="S76" i="71"/>
  <c r="BL269" i="3"/>
  <c r="BL272" i="3"/>
  <c r="BL273" i="3"/>
  <c r="G274" i="3"/>
  <c r="BL278" i="3"/>
  <c r="G279" i="3"/>
  <c r="G283" i="3"/>
  <c r="G284" i="3"/>
  <c r="BA284" i="3"/>
  <c r="BA293" i="3"/>
  <c r="BL293" i="3"/>
  <c r="AZ293" i="3" s="1"/>
  <c r="BL294" i="3"/>
  <c r="BA297" i="3"/>
  <c r="AZ297" i="3" s="1"/>
  <c r="BL297" i="3"/>
  <c r="BA301" i="3"/>
  <c r="BL127" i="3"/>
  <c r="AZ127" i="3" s="1"/>
  <c r="BA130" i="3"/>
  <c r="AZ130" i="3" s="1"/>
  <c r="BL130" i="3"/>
  <c r="BA134" i="3"/>
  <c r="BL138" i="3"/>
  <c r="BA140" i="3"/>
  <c r="AZ140" i="3" s="1"/>
  <c r="BA142" i="3"/>
  <c r="BL149" i="3"/>
  <c r="BL150" i="3"/>
  <c r="BA154" i="3"/>
  <c r="AZ154" i="3" s="1"/>
  <c r="BA157" i="3"/>
  <c r="BL165" i="3"/>
  <c r="BL175" i="3"/>
  <c r="AZ175" i="3" s="1"/>
  <c r="BA188" i="3"/>
  <c r="AZ188" i="3" s="1"/>
  <c r="BA198" i="3"/>
  <c r="AZ198" i="3" s="1"/>
  <c r="BL206" i="3"/>
  <c r="BL24" i="3"/>
  <c r="BL34" i="3"/>
  <c r="BL44" i="3"/>
  <c r="BL45" i="3"/>
  <c r="G50" i="3"/>
  <c r="BA51" i="3"/>
  <c r="G55" i="3"/>
  <c r="G68" i="3"/>
  <c r="BA68" i="3"/>
  <c r="BA72" i="3"/>
  <c r="BA77" i="3"/>
  <c r="BL82" i="3"/>
  <c r="BL85" i="3"/>
  <c r="BA86" i="3"/>
  <c r="AZ86" i="3" s="1"/>
  <c r="BA94" i="3"/>
  <c r="BL96" i="3"/>
  <c r="BL106" i="3"/>
  <c r="BA108" i="3"/>
  <c r="C60" i="71"/>
  <c r="T60" i="71" s="1"/>
  <c r="AA27" i="71"/>
  <c r="Q68" i="71"/>
  <c r="C39" i="71"/>
  <c r="C40" i="71" s="1"/>
  <c r="Y25" i="71"/>
  <c r="Z25" i="71" s="1"/>
  <c r="X34" i="71"/>
  <c r="S68" i="71"/>
  <c r="BA283" i="3"/>
  <c r="G286" i="3"/>
  <c r="BA291" i="3"/>
  <c r="AZ291" i="3" s="1"/>
  <c r="BL291" i="3"/>
  <c r="BL298" i="3"/>
  <c r="G299" i="3"/>
  <c r="BL300" i="3"/>
  <c r="BA120" i="3"/>
  <c r="AZ120" i="3" s="1"/>
  <c r="G127" i="3"/>
  <c r="BA133" i="3"/>
  <c r="BL135" i="3"/>
  <c r="AZ135" i="3" s="1"/>
  <c r="G136" i="3"/>
  <c r="BA137" i="3"/>
  <c r="G144" i="3"/>
  <c r="G155" i="3"/>
  <c r="BA156" i="3"/>
  <c r="AZ156" i="3" s="1"/>
  <c r="BL158" i="3"/>
  <c r="BL162" i="3"/>
  <c r="AZ162" i="3" s="1"/>
  <c r="G170" i="3"/>
  <c r="G175" i="3"/>
  <c r="BL181" i="3"/>
  <c r="BA182" i="3"/>
  <c r="BL185" i="3"/>
  <c r="G186" i="3"/>
  <c r="G195" i="3"/>
  <c r="G196" i="3"/>
  <c r="BL205" i="3"/>
  <c r="G20" i="3"/>
  <c r="BL23" i="3"/>
  <c r="G24" i="3"/>
  <c r="G28" i="3"/>
  <c r="BA33" i="3"/>
  <c r="BA50" i="3"/>
  <c r="G59" i="3"/>
  <c r="G62" i="3"/>
  <c r="G63" i="3"/>
  <c r="BA67" i="3"/>
  <c r="BL69" i="3"/>
  <c r="G70" i="3"/>
  <c r="G71" i="3"/>
  <c r="G80" i="3"/>
  <c r="G81" i="3"/>
  <c r="G84" i="3"/>
  <c r="G96" i="3"/>
  <c r="BL100" i="3"/>
  <c r="S21" i="34"/>
  <c r="P27" i="6"/>
  <c r="X25" i="71"/>
  <c r="C30" i="71"/>
  <c r="C31" i="71" s="1"/>
  <c r="Y35" i="71"/>
  <c r="Z35" i="71" s="1"/>
  <c r="B40" i="71"/>
  <c r="S40" i="71" s="1"/>
  <c r="F40" i="71"/>
  <c r="V40" i="71" s="1"/>
  <c r="AB38" i="71"/>
  <c r="C51" i="71"/>
  <c r="C63" i="71"/>
  <c r="C64" i="71" s="1"/>
  <c r="F75" i="71"/>
  <c r="F74" i="71" s="1"/>
  <c r="C23" i="71"/>
  <c r="F70" i="35"/>
  <c r="G70" i="35" s="1"/>
  <c r="H20" i="35"/>
  <c r="U20" i="35" s="1"/>
  <c r="H23" i="21"/>
  <c r="AB23" i="21" s="1"/>
  <c r="J16" i="35"/>
  <c r="AC16" i="35" s="1"/>
  <c r="F16" i="35"/>
  <c r="H16" i="35"/>
  <c r="U16" i="35" s="1"/>
  <c r="AA14" i="35"/>
  <c r="H87" i="35"/>
  <c r="I87" i="35" s="1"/>
  <c r="J87" i="35" s="1"/>
  <c r="K87" i="35" s="1"/>
  <c r="L87" i="35" s="1"/>
  <c r="M87" i="35" s="1"/>
  <c r="H29" i="35"/>
  <c r="J29" i="35"/>
  <c r="F29" i="35"/>
  <c r="S29" i="35" s="1"/>
  <c r="U31" i="35"/>
  <c r="U32" i="35"/>
  <c r="AC30" i="35"/>
  <c r="S28" i="35"/>
  <c r="W28" i="35"/>
  <c r="S32" i="35"/>
  <c r="AC20" i="35"/>
  <c r="AA20" i="35"/>
  <c r="W18" i="35"/>
  <c r="U14" i="35"/>
  <c r="AC14" i="35"/>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U44" i="21"/>
  <c r="AC45" i="21"/>
  <c r="U39" i="21"/>
  <c r="AB32" i="21"/>
  <c r="AA23" i="21"/>
  <c r="AC19" i="21"/>
  <c r="S19" i="21"/>
  <c r="W17" i="21"/>
  <c r="U15" i="21"/>
  <c r="W21" i="21"/>
  <c r="U9" i="21"/>
  <c r="AC9" i="21"/>
  <c r="AC15" i="21"/>
  <c r="U35" i="21"/>
  <c r="AA36" i="21"/>
  <c r="AB42" i="21"/>
  <c r="H27" i="21"/>
  <c r="AB27" i="21" s="1"/>
  <c r="J27" i="21"/>
  <c r="S27" i="21"/>
  <c r="W25" i="39"/>
  <c r="J44" i="39"/>
  <c r="AC44" i="39" s="1"/>
  <c r="H44" i="39"/>
  <c r="AB44" i="39" s="1"/>
  <c r="F44" i="39"/>
  <c r="AA44" i="39" s="1"/>
  <c r="U11"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AZ583" i="3" s="1"/>
  <c r="BA582" i="3"/>
  <c r="BL551" i="3"/>
  <c r="BL550" i="3"/>
  <c r="BA548" i="3"/>
  <c r="BA547" i="3"/>
  <c r="BA546" i="3"/>
  <c r="AZ546" i="3" s="1"/>
  <c r="BL545" i="3"/>
  <c r="BA545" i="3"/>
  <c r="BA542" i="3"/>
  <c r="AZ542" i="3" s="1"/>
  <c r="BL541" i="3"/>
  <c r="AZ541" i="3" s="1"/>
  <c r="BL540" i="3"/>
  <c r="AZ540" i="3" s="1"/>
  <c r="BA539" i="3"/>
  <c r="BL538" i="3"/>
  <c r="BA537" i="3"/>
  <c r="AZ537" i="3" s="1"/>
  <c r="BL536" i="3"/>
  <c r="BA536" i="3"/>
  <c r="BL534" i="3"/>
  <c r="BA532" i="3"/>
  <c r="AZ532" i="3" s="1"/>
  <c r="BA531" i="3"/>
  <c r="AZ531" i="3" s="1"/>
  <c r="BL529" i="3"/>
  <c r="BA529" i="3"/>
  <c r="BL528" i="3"/>
  <c r="BA528" i="3"/>
  <c r="BA526" i="3"/>
  <c r="AZ526" i="3" s="1"/>
  <c r="AZ525" i="3"/>
  <c r="BA523" i="3"/>
  <c r="BL522" i="3"/>
  <c r="AZ522" i="3" s="1"/>
  <c r="BL520" i="3"/>
  <c r="BA520" i="3"/>
  <c r="BA519" i="3"/>
  <c r="BL518" i="3"/>
  <c r="BA518" i="3"/>
  <c r="BL517" i="3"/>
  <c r="BL516" i="3"/>
  <c r="BL513" i="3"/>
  <c r="AZ513" i="3" s="1"/>
  <c r="BR5" i="3"/>
  <c r="BK5" i="3"/>
  <c r="BJ5" i="3"/>
  <c r="S14" i="39"/>
  <c r="AA14" i="39"/>
  <c r="AZ519" i="3"/>
  <c r="AB14" i="39"/>
  <c r="U14" i="39"/>
  <c r="AZ521" i="3"/>
  <c r="AZ538" i="3"/>
  <c r="U17" i="21"/>
  <c r="W40" i="34"/>
  <c r="W36" i="37"/>
  <c r="S15" i="40"/>
  <c r="W21" i="40"/>
  <c r="U27" i="34"/>
  <c r="AB17" i="37"/>
  <c r="AZ342" i="3"/>
  <c r="AZ337" i="3"/>
  <c r="AZ327" i="3"/>
  <c r="AZ309" i="3"/>
  <c r="S36" i="35"/>
  <c r="AA36" i="35"/>
  <c r="AZ516" i="3"/>
  <c r="W46" i="39"/>
  <c r="AB46" i="34"/>
  <c r="AA40" i="21"/>
  <c r="S40" i="21"/>
  <c r="AC40" i="33"/>
  <c r="W40" i="33"/>
  <c r="AA25" i="37"/>
  <c r="S25" i="37"/>
  <c r="H25" i="37"/>
  <c r="J25" i="37"/>
  <c r="AC11" i="39"/>
  <c r="W11" i="39"/>
  <c r="U23" i="33"/>
  <c r="AB25" i="33"/>
  <c r="AA19" i="37"/>
  <c r="W35" i="35"/>
  <c r="AB15" i="40"/>
  <c r="S25" i="21"/>
  <c r="AA25" i="21"/>
  <c r="AZ523" i="3"/>
  <c r="AZ547"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493" i="3"/>
  <c r="AZ534" i="3"/>
  <c r="S44" i="34"/>
  <c r="F35" i="35"/>
  <c r="S25" i="35"/>
  <c r="AA25" i="35"/>
  <c r="J29" i="34"/>
  <c r="W31" i="33"/>
  <c r="AB17" i="34"/>
  <c r="AA41" i="33"/>
  <c r="S41" i="33"/>
  <c r="W33" i="40"/>
  <c r="F37" i="39"/>
  <c r="BA586" i="3"/>
  <c r="BA585" i="3"/>
  <c r="H11" i="36"/>
  <c r="U11" i="36" s="1"/>
  <c r="F11" i="36"/>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13" i="35" s="1"/>
  <c r="AA27" i="35"/>
  <c r="S27" i="35"/>
  <c r="J14" i="37"/>
  <c r="F14" i="37"/>
  <c r="U41" i="21"/>
  <c r="AB41" i="21"/>
  <c r="AA31" i="35"/>
  <c r="S31" i="35"/>
  <c r="BA581" i="3"/>
  <c r="AZ581" i="3" s="1"/>
  <c r="BA580" i="3"/>
  <c r="AZ580" i="3" s="1"/>
  <c r="BL578" i="3"/>
  <c r="BL576" i="3"/>
  <c r="AZ576" i="3" s="1"/>
  <c r="BA575" i="3"/>
  <c r="AZ575" i="3" s="1"/>
  <c r="BL574" i="3"/>
  <c r="BA574" i="3"/>
  <c r="BA573" i="3"/>
  <c r="AZ573" i="3" s="1"/>
  <c r="BL572" i="3"/>
  <c r="BA572" i="3"/>
  <c r="BL571" i="3"/>
  <c r="AZ571" i="3" s="1"/>
  <c r="AZ505" i="3"/>
  <c r="BL539" i="3"/>
  <c r="AZ539" i="3" s="1"/>
  <c r="BL543" i="3"/>
  <c r="AZ543" i="3" s="1"/>
  <c r="AZ564" i="3"/>
  <c r="BL585" i="3"/>
  <c r="H46" i="39"/>
  <c r="F46" i="39"/>
  <c r="J40" i="40"/>
  <c r="H40" i="40"/>
  <c r="G552" i="3"/>
  <c r="AZ419" i="3"/>
  <c r="W37" i="37"/>
  <c r="AZ387" i="3"/>
  <c r="AZ338" i="3"/>
  <c r="AZ311" i="3"/>
  <c r="AZ364" i="3"/>
  <c r="AZ329" i="3"/>
  <c r="AZ304" i="3"/>
  <c r="AZ306" i="3"/>
  <c r="BL535" i="3"/>
  <c r="AZ535" i="3" s="1"/>
  <c r="BL577" i="3"/>
  <c r="AZ577" i="3" s="1"/>
  <c r="AZ557" i="3"/>
  <c r="H23" i="36"/>
  <c r="J23" i="36"/>
  <c r="AZ462" i="3"/>
  <c r="BL16" i="3"/>
  <c r="AZ16" i="3" s="1"/>
  <c r="G398" i="3"/>
  <c r="G399" i="3"/>
  <c r="BL400" i="3"/>
  <c r="BL408" i="3"/>
  <c r="AZ408" i="3" s="1"/>
  <c r="BL411" i="3"/>
  <c r="AZ411" i="3" s="1"/>
  <c r="BL413" i="3"/>
  <c r="AZ413" i="3" s="1"/>
  <c r="G415" i="3"/>
  <c r="G416" i="3"/>
  <c r="BL417" i="3"/>
  <c r="AZ417" i="3" s="1"/>
  <c r="BL418" i="3"/>
  <c r="BL420" i="3"/>
  <c r="G422" i="3"/>
  <c r="G423" i="3"/>
  <c r="BL424" i="3"/>
  <c r="G426" i="3"/>
  <c r="G427" i="3"/>
  <c r="BL428" i="3"/>
  <c r="BL429" i="3"/>
  <c r="AZ429" i="3" s="1"/>
  <c r="BL432" i="3"/>
  <c r="AZ432" i="3" s="1"/>
  <c r="BL435" i="3"/>
  <c r="BL436" i="3"/>
  <c r="AZ436" i="3" s="1"/>
  <c r="BA439" i="3"/>
  <c r="BA440" i="3"/>
  <c r="AZ440" i="3" s="1"/>
  <c r="BA442" i="3"/>
  <c r="BA445" i="3"/>
  <c r="BA447" i="3"/>
  <c r="AZ447" i="3" s="1"/>
  <c r="BA449" i="3"/>
  <c r="BL453" i="3"/>
  <c r="AZ453" i="3" s="1"/>
  <c r="BL454" i="3"/>
  <c r="G458" i="3"/>
  <c r="BL459" i="3"/>
  <c r="G461" i="3"/>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L211" i="3"/>
  <c r="BA218" i="3"/>
  <c r="AZ218" i="3" s="1"/>
  <c r="BL218" i="3"/>
  <c r="BL222" i="3"/>
  <c r="BA229" i="3"/>
  <c r="BL229" i="3"/>
  <c r="BA551" i="3"/>
  <c r="AZ551" i="3" s="1"/>
  <c r="BA550" i="3"/>
  <c r="BL548" i="3"/>
  <c r="AZ400" i="3"/>
  <c r="BL426" i="3"/>
  <c r="AZ426" i="3" s="1"/>
  <c r="AZ443" i="3"/>
  <c r="AZ471" i="3"/>
  <c r="AZ487" i="3"/>
  <c r="G585" i="3"/>
  <c r="BL587" i="3"/>
  <c r="AZ587" i="3" s="1"/>
  <c r="BL586" i="3"/>
  <c r="G558" i="3"/>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BA405" i="3"/>
  <c r="BL410" i="3"/>
  <c r="BA422" i="3"/>
  <c r="AZ422" i="3" s="1"/>
  <c r="BL431" i="3"/>
  <c r="AZ431" i="3" s="1"/>
  <c r="BL434" i="3"/>
  <c r="BL438" i="3"/>
  <c r="BL439" i="3"/>
  <c r="BA441" i="3"/>
  <c r="AZ441" i="3" s="1"/>
  <c r="BL445" i="3"/>
  <c r="BL446" i="3"/>
  <c r="BL449" i="3"/>
  <c r="AZ449" i="3" s="1"/>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BA397" i="3"/>
  <c r="BL397" i="3"/>
  <c r="BA212" i="3"/>
  <c r="BL214" i="3"/>
  <c r="AZ214" i="3" s="1"/>
  <c r="BL224" i="3"/>
  <c r="G229" i="3"/>
  <c r="BA152" i="3"/>
  <c r="AZ152" i="3" s="1"/>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BA259" i="3"/>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BA208" i="3"/>
  <c r="AZ208" i="3" s="1"/>
  <c r="BA211" i="3"/>
  <c r="AZ211" i="3" s="1"/>
  <c r="BL213" i="3"/>
  <c r="BL215" i="3"/>
  <c r="BA222" i="3"/>
  <c r="AZ222" i="3" s="1"/>
  <c r="BA224" i="3"/>
  <c r="BA226" i="3"/>
  <c r="BA237" i="3"/>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G38" i="3"/>
  <c r="BA38" i="3"/>
  <c r="BA41" i="3"/>
  <c r="BA42" i="3"/>
  <c r="G46" i="3"/>
  <c r="G47" i="3"/>
  <c r="BL48" i="3"/>
  <c r="AZ48" i="3" s="1"/>
  <c r="BL54" i="3"/>
  <c r="BL55" i="3"/>
  <c r="AZ55" i="3" s="1"/>
  <c r="G57" i="3"/>
  <c r="G58" i="3"/>
  <c r="BA59" i="3"/>
  <c r="AZ59" i="3" s="1"/>
  <c r="G61" i="3"/>
  <c r="BL61" i="3"/>
  <c r="AZ61" i="3" s="1"/>
  <c r="G64" i="3"/>
  <c r="BA64" i="3"/>
  <c r="AZ64" i="3" s="1"/>
  <c r="G67" i="3"/>
  <c r="BL68" i="3"/>
  <c r="AZ68" i="3" s="1"/>
  <c r="BA69" i="3"/>
  <c r="AZ69" i="3" s="1"/>
  <c r="G72" i="3"/>
  <c r="BA73" i="3"/>
  <c r="BL77" i="3"/>
  <c r="AZ77" i="3" s="1"/>
  <c r="BA79" i="3"/>
  <c r="AZ79" i="3" s="1"/>
  <c r="BA88" i="3"/>
  <c r="BA91" i="3"/>
  <c r="BA98" i="3"/>
  <c r="BL101" i="3"/>
  <c r="C55" i="71"/>
  <c r="D54" i="71"/>
  <c r="V24" i="71"/>
  <c r="E23" i="71"/>
  <c r="E22" i="71" s="1"/>
  <c r="E21" i="71" s="1"/>
  <c r="E20" i="71" s="1"/>
  <c r="E19" i="71" s="1"/>
  <c r="E18" i="71" s="1"/>
  <c r="E17" i="71" s="1"/>
  <c r="E16" i="71" s="1"/>
  <c r="G103" i="3"/>
  <c r="BA103" i="3"/>
  <c r="P65" i="71"/>
  <c r="P66" i="71"/>
  <c r="BL201" i="3"/>
  <c r="BL203" i="3"/>
  <c r="AZ203" i="3" s="1"/>
  <c r="BA204" i="3"/>
  <c r="AZ204" i="3" s="1"/>
  <c r="BL21" i="3"/>
  <c r="G23" i="3"/>
  <c r="BL29" i="3"/>
  <c r="G33" i="3"/>
  <c r="G34" i="3"/>
  <c r="BA37" i="3"/>
  <c r="BL39" i="3"/>
  <c r="G43" i="3"/>
  <c r="G44" i="3"/>
  <c r="BA45" i="3"/>
  <c r="BA46" i="3"/>
  <c r="BL49" i="3"/>
  <c r="AZ49" i="3" s="1"/>
  <c r="BL50" i="3"/>
  <c r="AZ50" i="3" s="1"/>
  <c r="BL51" i="3"/>
  <c r="AZ51" i="3" s="1"/>
  <c r="G53" i="3"/>
  <c r="BL53" i="3"/>
  <c r="BA56" i="3"/>
  <c r="AZ56" i="3" s="1"/>
  <c r="BA57" i="3"/>
  <c r="BL58" i="3"/>
  <c r="AZ58" i="3" s="1"/>
  <c r="G60" i="3"/>
  <c r="BA60" i="3"/>
  <c r="AZ60" i="3" s="1"/>
  <c r="BA63" i="3"/>
  <c r="BA66" i="3"/>
  <c r="BA71" i="3"/>
  <c r="BA80" i="3"/>
  <c r="BL84" i="3"/>
  <c r="BL88" i="3"/>
  <c r="BL90" i="3"/>
  <c r="T40" i="71"/>
  <c r="D40" i="71"/>
  <c r="BL178" i="3"/>
  <c r="BA180" i="3"/>
  <c r="AZ180" i="3" s="1"/>
  <c r="BL182" i="3"/>
  <c r="AZ182" i="3" s="1"/>
  <c r="BA185" i="3"/>
  <c r="BL191" i="3"/>
  <c r="AZ191" i="3" s="1"/>
  <c r="BA193" i="3"/>
  <c r="AZ193" i="3" s="1"/>
  <c r="BA196" i="3"/>
  <c r="AZ196" i="3" s="1"/>
  <c r="G203" i="3"/>
  <c r="BA205" i="3"/>
  <c r="BL20" i="3"/>
  <c r="BA21" i="3"/>
  <c r="BA25" i="3"/>
  <c r="AZ25" i="3" s="1"/>
  <c r="BA26" i="3"/>
  <c r="BL28" i="3"/>
  <c r="BA29" i="3"/>
  <c r="BA36" i="3"/>
  <c r="BL38" i="3"/>
  <c r="BA39" i="3"/>
  <c r="BL47" i="3"/>
  <c r="AZ47" i="3" s="1"/>
  <c r="BA52" i="3"/>
  <c r="AZ52" i="3" s="1"/>
  <c r="BA53" i="3"/>
  <c r="BA54" i="3"/>
  <c r="AZ54" i="3" s="1"/>
  <c r="BL57" i="3"/>
  <c r="BL62" i="3"/>
  <c r="BL63" i="3"/>
  <c r="BL65" i="3"/>
  <c r="AZ65" i="3" s="1"/>
  <c r="BL66" i="3"/>
  <c r="BL67" i="3"/>
  <c r="AZ67" i="3" s="1"/>
  <c r="BL70" i="3"/>
  <c r="BL71" i="3"/>
  <c r="BL73" i="3"/>
  <c r="BA74" i="3"/>
  <c r="AZ74" i="3" s="1"/>
  <c r="BA75" i="3"/>
  <c r="BA84" i="3"/>
  <c r="AZ84" i="3" s="1"/>
  <c r="BA92" i="3"/>
  <c r="AZ92" i="3" s="1"/>
  <c r="BL103" i="3"/>
  <c r="G104" i="3"/>
  <c r="C32" i="71"/>
  <c r="D31" i="71"/>
  <c r="D46" i="71"/>
  <c r="C47" i="71"/>
  <c r="D47" i="71" s="1"/>
  <c r="C52" i="71"/>
  <c r="D51"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BL83" i="3"/>
  <c r="G86" i="3"/>
  <c r="G87" i="3"/>
  <c r="G88" i="3"/>
  <c r="BA90" i="3"/>
  <c r="BL94" i="3"/>
  <c r="AZ94" i="3" s="1"/>
  <c r="BA100" i="3"/>
  <c r="AZ100" i="3" s="1"/>
  <c r="BA102" i="3"/>
  <c r="AZ102" i="3" s="1"/>
  <c r="BL105" i="3"/>
  <c r="G107" i="3"/>
  <c r="BL107" i="3"/>
  <c r="BA111" i="3"/>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W42" i="39"/>
  <c r="W31" i="39"/>
  <c r="U31" i="39"/>
  <c r="BA19" i="3"/>
  <c r="BA18" i="3"/>
  <c r="AZ18" i="3" s="1"/>
  <c r="BC5" i="3"/>
  <c r="E12" i="6" s="1"/>
  <c r="E59" i="40" s="1"/>
  <c r="AZ14" i="3"/>
  <c r="O10" i="1"/>
  <c r="P10" i="1" s="1"/>
  <c r="AB41" i="39"/>
  <c r="AA41" i="39"/>
  <c r="AA43" i="39"/>
  <c r="U43" i="39"/>
  <c r="AC4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B31" i="34"/>
  <c r="U31" i="34"/>
  <c r="S12" i="21"/>
  <c r="AA12" i="21"/>
  <c r="S12" i="35"/>
  <c r="AA12" i="35"/>
  <c r="AC47" i="39"/>
  <c r="AA12" i="34"/>
  <c r="S34" i="21"/>
  <c r="J34" i="35"/>
  <c r="F34" i="35"/>
  <c r="J26" i="37"/>
  <c r="F26" i="37"/>
  <c r="F42" i="40"/>
  <c r="G578" i="3"/>
  <c r="AZ410" i="3"/>
  <c r="AZ442" i="3"/>
  <c r="AZ445" i="3"/>
  <c r="AZ452" i="3"/>
  <c r="AZ456" i="3"/>
  <c r="AZ467" i="3"/>
  <c r="AZ470" i="3"/>
  <c r="F27" i="34"/>
  <c r="C23" i="39"/>
  <c r="U9" i="36"/>
  <c r="U14" i="37"/>
  <c r="H12" i="21"/>
  <c r="G526" i="3"/>
  <c r="AZ420" i="3"/>
  <c r="AZ424" i="3"/>
  <c r="AZ434" i="3"/>
  <c r="AZ438" i="3"/>
  <c r="AZ446" i="3"/>
  <c r="AZ450" i="3"/>
  <c r="U26" i="21"/>
  <c r="W38" i="39"/>
  <c r="U25" i="40"/>
  <c r="AA39" i="37"/>
  <c r="AC16" i="36"/>
  <c r="AB12" i="33"/>
  <c r="C29" i="39"/>
  <c r="U42" i="40"/>
  <c r="AC11" i="40"/>
  <c r="W36" i="35"/>
  <c r="J12" i="21"/>
  <c r="B73" i="43"/>
  <c r="B76" i="43"/>
  <c r="F9" i="36"/>
  <c r="J42" i="40"/>
  <c r="G562" i="3"/>
  <c r="AZ463" i="3"/>
  <c r="AZ489" i="3"/>
  <c r="AZ212" i="3"/>
  <c r="AZ220" i="3"/>
  <c r="AZ231"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C5" i="11"/>
  <c r="I4" i="6"/>
  <c r="G3" i="43" s="1"/>
  <c r="H26" i="43"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I1" i="73"/>
  <c r="B40" i="1" s="1"/>
  <c r="F51" i="67"/>
  <c r="F65" i="67"/>
  <c r="F56" i="15"/>
  <c r="F79" i="15"/>
  <c r="F66" i="67"/>
  <c r="L64" i="15"/>
  <c r="N64" i="15"/>
  <c r="M64" i="15"/>
  <c r="F73" i="15"/>
  <c r="C27" i="67"/>
  <c r="F71" i="67"/>
  <c r="N59" i="67"/>
  <c r="L59" i="67"/>
  <c r="M59" i="67"/>
  <c r="B13" i="70"/>
  <c r="M7" i="67"/>
  <c r="F50" i="67"/>
  <c r="F68" i="67"/>
  <c r="D9" i="69"/>
  <c r="D15" i="80"/>
  <c r="D21" i="12"/>
  <c r="D15" i="68"/>
  <c r="M28" i="15"/>
  <c r="F8" i="81"/>
  <c r="C16" i="67"/>
  <c r="F21" i="15"/>
  <c r="M27" i="81"/>
  <c r="F22" i="81"/>
  <c r="F34" i="81"/>
  <c r="M9" i="15"/>
  <c r="M23" i="15"/>
  <c r="M6" i="15"/>
  <c r="F23" i="81"/>
  <c r="F9" i="67"/>
  <c r="M6" i="67"/>
  <c r="F36" i="67"/>
  <c r="M9" i="81"/>
  <c r="M25" i="15"/>
  <c r="F22" i="15"/>
  <c r="M9" i="67"/>
  <c r="M22" i="81"/>
  <c r="L53" i="81"/>
  <c r="D5" i="73"/>
  <c r="M28" i="67"/>
  <c r="F7" i="15"/>
  <c r="C18" i="15"/>
  <c r="D4" i="73"/>
  <c r="M22" i="15"/>
  <c r="C76" i="67"/>
  <c r="F6" i="15"/>
  <c r="F34" i="15"/>
  <c r="M23" i="81"/>
  <c r="D3" i="73"/>
  <c r="F25" i="15"/>
  <c r="F9" i="15"/>
  <c r="M8" i="81"/>
  <c r="L53" i="15"/>
  <c r="F44" i="15"/>
  <c r="F29" i="81"/>
  <c r="F27" i="15"/>
  <c r="F27" i="81"/>
  <c r="C83" i="81"/>
  <c r="M21" i="15"/>
  <c r="F7" i="81"/>
  <c r="F48" i="81"/>
  <c r="M32" i="15"/>
  <c r="L48" i="67"/>
  <c r="D7" i="73"/>
  <c r="W37" i="39" l="1"/>
  <c r="G28" i="6"/>
  <c r="G30" i="6" s="1"/>
  <c r="G31" i="6" s="1"/>
  <c r="AZ512" i="3"/>
  <c r="B19" i="71"/>
  <c r="B18" i="71" s="1"/>
  <c r="B17" i="71" s="1"/>
  <c r="B16" i="71" s="1"/>
  <c r="S20" i="71"/>
  <c r="D79" i="71"/>
  <c r="C78" i="71"/>
  <c r="D78" i="71" s="1"/>
  <c r="W12" i="35"/>
  <c r="AC12" i="35"/>
  <c r="AB13" i="21"/>
  <c r="U13" i="21"/>
  <c r="AA39" i="39"/>
  <c r="S39" i="39"/>
  <c r="AC15" i="40"/>
  <c r="W15" i="40"/>
  <c r="AC9" i="36"/>
  <c r="W9" i="36"/>
  <c r="AZ494" i="3"/>
  <c r="AB37" i="39"/>
  <c r="U37" i="39"/>
  <c r="W25" i="36"/>
  <c r="AC25" i="36"/>
  <c r="S32" i="36"/>
  <c r="AA32" i="36"/>
  <c r="AZ418" i="3"/>
  <c r="AZ574" i="3"/>
  <c r="AA45" i="21"/>
  <c r="S45" i="21"/>
  <c r="AC13" i="21"/>
  <c r="W13" i="21"/>
  <c r="AB16" i="39"/>
  <c r="U16" i="39"/>
  <c r="AZ584" i="3"/>
  <c r="S25" i="36"/>
  <c r="AA25" i="36"/>
  <c r="W26" i="33"/>
  <c r="AC26" i="33"/>
  <c r="AZ404" i="3"/>
  <c r="AZ478" i="3"/>
  <c r="AZ134" i="3"/>
  <c r="AZ509" i="3"/>
  <c r="U23" i="35"/>
  <c r="AB23" i="35"/>
  <c r="W39" i="39"/>
  <c r="AC39" i="39"/>
  <c r="S16" i="39"/>
  <c r="AA16" i="39"/>
  <c r="AZ497" i="3"/>
  <c r="AZ544" i="3"/>
  <c r="AB26" i="33"/>
  <c r="U26" i="33"/>
  <c r="AZ90" i="3"/>
  <c r="AZ439" i="3"/>
  <c r="AB25" i="36"/>
  <c r="U25" i="36"/>
  <c r="AB32" i="36"/>
  <c r="U32" i="36"/>
  <c r="D64" i="71"/>
  <c r="T64" i="71"/>
  <c r="AZ71" i="3"/>
  <c r="AB9" i="33"/>
  <c r="U9" i="33"/>
  <c r="W41" i="40"/>
  <c r="AC41" i="40"/>
  <c r="B20" i="31"/>
  <c r="B21" i="31" s="1"/>
  <c r="AZ107" i="3"/>
  <c r="AZ174" i="3"/>
  <c r="AZ288" i="3"/>
  <c r="AZ117" i="3"/>
  <c r="AZ296" i="3"/>
  <c r="AZ19" i="3"/>
  <c r="D63" i="71"/>
  <c r="AZ70" i="3"/>
  <c r="AZ53" i="3"/>
  <c r="AZ205" i="3"/>
  <c r="AZ66" i="3"/>
  <c r="AZ91" i="3"/>
  <c r="AZ237" i="3"/>
  <c r="AZ395" i="3"/>
  <c r="AZ271" i="3"/>
  <c r="AZ386" i="3"/>
  <c r="U44" i="39"/>
  <c r="S39" i="21"/>
  <c r="AB16" i="35"/>
  <c r="W13" i="33"/>
  <c r="AC13" i="33"/>
  <c r="AC9" i="33"/>
  <c r="W9" i="33"/>
  <c r="S34" i="40"/>
  <c r="AA34" i="40"/>
  <c r="AA33" i="39"/>
  <c r="S33" i="39"/>
  <c r="AA12" i="36"/>
  <c r="S12" i="36"/>
  <c r="AZ28" i="3"/>
  <c r="AZ202" i="3"/>
  <c r="AZ333" i="3"/>
  <c r="AZ105" i="3"/>
  <c r="AZ62" i="3"/>
  <c r="AZ45" i="3"/>
  <c r="AZ201" i="3"/>
  <c r="AZ118" i="3"/>
  <c r="AZ273" i="3"/>
  <c r="AZ121" i="3"/>
  <c r="AZ259" i="3"/>
  <c r="AZ243" i="3"/>
  <c r="AZ405" i="3"/>
  <c r="AZ412" i="3"/>
  <c r="AZ550" i="3"/>
  <c r="AZ582" i="3"/>
  <c r="AA15" i="21"/>
  <c r="AA29" i="35"/>
  <c r="D23" i="71"/>
  <c r="C22" i="71"/>
  <c r="AZ149" i="3"/>
  <c r="AC34" i="40"/>
  <c r="W34" i="40"/>
  <c r="AB33" i="39"/>
  <c r="U33" i="39"/>
  <c r="U12" i="36"/>
  <c r="AB12" i="36"/>
  <c r="AZ500" i="3"/>
  <c r="AZ81" i="3"/>
  <c r="AZ113" i="3"/>
  <c r="AZ348" i="3"/>
  <c r="E14" i="6"/>
  <c r="AZ111" i="3"/>
  <c r="AZ82" i="3"/>
  <c r="AZ41" i="3"/>
  <c r="AZ224" i="3"/>
  <c r="AZ238" i="3"/>
  <c r="AZ428" i="3"/>
  <c r="AZ518" i="3"/>
  <c r="AZ536" i="3"/>
  <c r="U27" i="21"/>
  <c r="U23" i="21"/>
  <c r="AZ496" i="3"/>
  <c r="AZ503" i="3"/>
  <c r="AB36" i="35"/>
  <c r="U36" i="35"/>
  <c r="AB14" i="40"/>
  <c r="U14" i="40"/>
  <c r="AA28" i="37"/>
  <c r="S28" i="37"/>
  <c r="W12" i="36"/>
  <c r="AC12" i="36"/>
  <c r="W27" i="34"/>
  <c r="AC27" i="34"/>
  <c r="AA32" i="2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56" i="81"/>
  <c r="F72" i="81"/>
  <c r="F73" i="81"/>
  <c r="F55" i="81"/>
  <c r="M7" i="81"/>
  <c r="F79" i="81"/>
  <c r="C15" i="80"/>
  <c r="O6" i="1"/>
  <c r="P6" i="1" s="1"/>
  <c r="C18" i="12" s="1"/>
  <c r="H34" i="1" s="1"/>
  <c r="J26" i="43"/>
  <c r="I59" i="81"/>
  <c r="J58" i="81"/>
  <c r="L61" i="81" s="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C34" i="81"/>
  <c r="M6" i="81"/>
  <c r="M25" i="81"/>
  <c r="F9" i="81"/>
  <c r="F21" i="81"/>
  <c r="F25" i="81"/>
  <c r="F44" i="81"/>
  <c r="F6" i="81"/>
  <c r="C18" i="81"/>
  <c r="M32" i="81"/>
  <c r="C34" i="15"/>
  <c r="L52" i="81"/>
  <c r="M21" i="81"/>
  <c r="M28" i="81"/>
  <c r="S7" i="36" l="1"/>
  <c r="C46" i="84"/>
  <c r="B57" i="78"/>
  <c r="C47" i="84"/>
  <c r="E47" i="84" s="1"/>
  <c r="B58" i="78"/>
  <c r="E58" i="78" s="1"/>
  <c r="I58" i="78" s="1"/>
  <c r="C7" i="81"/>
  <c r="C9" i="81" s="1"/>
  <c r="C6" i="81" s="1"/>
  <c r="C45" i="81"/>
  <c r="F75" i="81"/>
  <c r="M64" i="81"/>
  <c r="L63" i="81"/>
  <c r="Q78" i="81" s="1"/>
  <c r="N64" i="81"/>
  <c r="F71" i="81"/>
  <c r="J7" i="81"/>
  <c r="J9" i="81" s="1"/>
  <c r="J6" i="81" s="1"/>
  <c r="J16" i="81" s="1"/>
  <c r="C45" i="84"/>
  <c r="E46" i="84"/>
  <c r="E45" i="84" s="1"/>
  <c r="AB7" i="36"/>
  <c r="T36" i="36" s="1"/>
  <c r="G36" i="36" s="1"/>
  <c r="D22" i="71"/>
  <c r="C21" i="71"/>
  <c r="F27" i="68"/>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AS16" i="1"/>
  <c r="F34" i="83" s="1"/>
  <c r="Q65" i="81"/>
  <c r="J10" i="8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6" i="81"/>
  <c r="F26" i="81"/>
  <c r="F26" i="15"/>
  <c r="M27" i="67"/>
  <c r="M26" i="15"/>
  <c r="F41" i="67"/>
  <c r="B14" i="74" l="1"/>
  <c r="B1" i="74" s="1"/>
  <c r="K57" i="78"/>
  <c r="E57" i="78"/>
  <c r="B56" i="78"/>
  <c r="L57" i="78"/>
  <c r="L58" i="78" s="1"/>
  <c r="L63" i="78" s="1"/>
  <c r="J5" i="81"/>
  <c r="J23" i="81" s="1"/>
  <c r="H6" i="3"/>
  <c r="D45" i="84"/>
  <c r="D21" i="71"/>
  <c r="C20" i="71"/>
  <c r="C48" i="84"/>
  <c r="E48" i="84" s="1"/>
  <c r="E51" i="84" s="1"/>
  <c r="C51" i="84"/>
  <c r="C49" i="84"/>
  <c r="E49" i="84" s="1"/>
  <c r="C54" i="68"/>
  <c r="C29" i="68"/>
  <c r="C29" i="80"/>
  <c r="C54" i="80"/>
  <c r="AC6" i="3"/>
  <c r="E6" i="3" s="1"/>
  <c r="D19" i="11"/>
  <c r="C19"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36"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5" i="15"/>
  <c r="C68" i="81"/>
  <c r="C14" i="67"/>
  <c r="C35" i="81"/>
  <c r="C68" i="15"/>
  <c r="C32" i="81"/>
  <c r="C17" i="67"/>
  <c r="E56" i="78" l="1"/>
  <c r="I57" i="78"/>
  <c r="I63" i="78" s="1"/>
  <c r="B2" i="74"/>
  <c r="C14" i="74"/>
  <c r="B60" i="78"/>
  <c r="E60" i="78" s="1"/>
  <c r="C61" i="78"/>
  <c r="B63" i="78"/>
  <c r="B59" i="78"/>
  <c r="E59" i="78" s="1"/>
  <c r="D51" i="84"/>
  <c r="E52" i="84"/>
  <c r="G51" i="84"/>
  <c r="C19" i="71"/>
  <c r="T20" i="71"/>
  <c r="D20" i="71"/>
  <c r="U20" i="71" s="1"/>
  <c r="G37" i="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K58" i="78" l="1"/>
  <c r="J57" i="78"/>
  <c r="J58" i="78" s="1"/>
  <c r="J63" i="78" s="1"/>
  <c r="C56" i="78"/>
  <c r="E62" i="78"/>
  <c r="D19" i="71"/>
  <c r="C18" i="71"/>
  <c r="C18" i="80"/>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M57" i="78" l="1"/>
  <c r="C62" i="78"/>
  <c r="C63" i="78" s="1"/>
  <c r="E63" i="78"/>
  <c r="K63" i="78"/>
  <c r="O58" i="78"/>
  <c r="C17" i="71"/>
  <c r="D18" i="71"/>
  <c r="C13" i="80"/>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F62" i="78" l="1"/>
  <c r="D63" i="78"/>
  <c r="F61" i="78"/>
  <c r="L64" i="78"/>
  <c r="F60" i="78"/>
  <c r="F59" i="78"/>
  <c r="F56" i="78"/>
  <c r="F63" i="78" s="1"/>
  <c r="I64" i="78"/>
  <c r="M58" i="78"/>
  <c r="M63" i="78"/>
  <c r="M64" i="78" s="1"/>
  <c r="K64" i="78"/>
  <c r="J64" i="78"/>
  <c r="C11" i="21"/>
  <c r="C13" i="39"/>
  <c r="C16" i="71"/>
  <c r="D17" i="7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U7" i="35"/>
  <c r="AB7" i="35"/>
  <c r="T38" i="35" s="1"/>
  <c r="G38" i="35" s="1"/>
  <c r="F7" i="35"/>
  <c r="F35" i="67"/>
  <c r="F20" i="81"/>
  <c r="F20" i="15"/>
  <c r="M20" i="15"/>
  <c r="M20" i="81"/>
  <c r="M21" i="67"/>
  <c r="H13" i="39" l="1"/>
  <c r="J13" i="39"/>
  <c r="F13" i="39"/>
  <c r="H11" i="21"/>
  <c r="J11" i="21"/>
  <c r="F11" i="21"/>
  <c r="D16" i="71"/>
  <c r="U16" i="71" s="1"/>
  <c r="C15" i="71"/>
  <c r="T16" i="71"/>
  <c r="C5" i="80"/>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G42" i="35"/>
  <c r="H42" i="35" s="1"/>
  <c r="K67" i="40"/>
  <c r="L65" i="40"/>
  <c r="S11" i="21" l="1"/>
  <c r="AA11" i="21"/>
  <c r="R48" i="21" s="1"/>
  <c r="S13" i="39"/>
  <c r="AA13" i="39"/>
  <c r="W11" i="21"/>
  <c r="AC11" i="21"/>
  <c r="V48" i="21" s="1"/>
  <c r="I48" i="21" s="1"/>
  <c r="I52" i="21" s="1"/>
  <c r="J52" i="21" s="1"/>
  <c r="W13" i="39"/>
  <c r="AC13" i="39"/>
  <c r="C14" i="71"/>
  <c r="D15" i="71"/>
  <c r="U11" i="21"/>
  <c r="AB11" i="21"/>
  <c r="T48" i="21" s="1"/>
  <c r="G48" i="21" s="1"/>
  <c r="AB13" i="39"/>
  <c r="U13" i="39"/>
  <c r="B2" i="80"/>
  <c r="C64" i="80"/>
  <c r="C63" i="80" s="1"/>
  <c r="C59" i="80"/>
  <c r="J21" i="81"/>
  <c r="J17" i="81" s="1"/>
  <c r="J15" i="81" s="1"/>
  <c r="B5" i="82"/>
  <c r="B3" i="82"/>
  <c r="B4" i="82"/>
  <c r="Q75" i="81"/>
  <c r="C82" i="81"/>
  <c r="G43" i="35"/>
  <c r="H43" i="35" s="1"/>
  <c r="Q53" i="81"/>
  <c r="C52" i="68"/>
  <c r="C47" i="15"/>
  <c r="J18" i="15"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G53" i="21" l="1"/>
  <c r="H53" i="21" s="1"/>
  <c r="G52" i="21"/>
  <c r="H52" i="21" s="1"/>
  <c r="R49" i="21"/>
  <c r="E48" i="2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O69" i="39"/>
  <c r="O71" i="39" s="1"/>
  <c r="N71" i="39"/>
  <c r="F9" i="39"/>
  <c r="C39" i="35"/>
  <c r="C38" i="35"/>
  <c r="N65" i="40"/>
  <c r="M67" i="40"/>
  <c r="E43" i="35"/>
  <c r="F43" i="35" s="1"/>
  <c r="E42" i="35"/>
  <c r="F42" i="35" s="1"/>
  <c r="I43" i="35"/>
  <c r="J43" i="35" s="1"/>
  <c r="L56" i="81"/>
  <c r="F2" i="33"/>
  <c r="L51" i="67"/>
  <c r="E52" i="21" l="1"/>
  <c r="F52" i="21" s="1"/>
  <c r="E53" i="21"/>
  <c r="F53" i="21" s="1"/>
  <c r="I53" i="21"/>
  <c r="J53" i="21" s="1"/>
  <c r="C49" i="21"/>
  <c r="C48" i="21"/>
  <c r="C12" i="71"/>
  <c r="D13" i="71"/>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7"/>
  <c r="F2" i="34"/>
  <c r="F2" i="35"/>
  <c r="B3" i="21" l="1"/>
  <c r="C8" i="12" s="1"/>
  <c r="D2" i="21"/>
  <c r="B2" i="21" s="1"/>
  <c r="C10" i="12" s="1"/>
  <c r="D12" i="71"/>
  <c r="U12" i="71" s="1"/>
  <c r="C11" i="71"/>
  <c r="T12" i="71"/>
  <c r="D2" i="35"/>
  <c r="B2" i="35" s="1"/>
  <c r="D10"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M3" i="35"/>
  <c r="B3" i="37"/>
  <c r="B3" i="34"/>
  <c r="W9" i="39"/>
  <c r="AC9" i="39"/>
  <c r="V49" i="39" s="1"/>
  <c r="I49" i="39" s="1"/>
  <c r="E49" i="39"/>
  <c r="U9" i="39"/>
  <c r="AB9" i="39"/>
  <c r="T49" i="39" s="1"/>
  <c r="G49" i="39" s="1"/>
  <c r="J9" i="40"/>
  <c r="F9" i="40"/>
  <c r="H9" i="40"/>
  <c r="AO12" i="1"/>
  <c r="AO10" i="1"/>
  <c r="AO11" i="1"/>
  <c r="B3" i="35" l="1"/>
  <c r="D8" i="12" s="1"/>
  <c r="C13" i="12"/>
  <c r="C46" i="12" s="1"/>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28" i="12" l="1"/>
  <c r="C32" i="12"/>
  <c r="C62" i="12" s="1"/>
  <c r="C9" i="71"/>
  <c r="D10" i="71"/>
  <c r="C61" i="12"/>
  <c r="C31" i="12"/>
  <c r="C29" i="12" s="1"/>
  <c r="C63" i="12" s="1"/>
  <c r="C35" i="12"/>
  <c r="C33" i="12" s="1"/>
  <c r="C64" i="12" s="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60" i="12" l="1"/>
  <c r="C8" i="71"/>
  <c r="D9" i="71"/>
  <c r="C48" i="12"/>
  <c r="C36" i="12"/>
  <c r="C65" i="12" s="1"/>
  <c r="B7" i="70"/>
  <c r="F67" i="39"/>
  <c r="B2" i="39" s="1"/>
  <c r="L65" i="15"/>
  <c r="C29" i="15"/>
  <c r="C51" i="15"/>
  <c r="C44" i="40"/>
  <c r="C45" i="40"/>
  <c r="E49" i="40"/>
  <c r="F49" i="40" s="1"/>
  <c r="E48" i="40"/>
  <c r="F48" i="40" s="1"/>
  <c r="I49" i="40"/>
  <c r="J49" i="40" s="1"/>
  <c r="C19" i="9"/>
  <c r="C7" i="71" l="1"/>
  <c r="D8" i="71"/>
  <c r="C37" i="12"/>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D21" i="9"/>
  <c r="C21" i="9"/>
  <c r="D19" i="9"/>
  <c r="D7" i="71" l="1"/>
  <c r="C6" i="71"/>
  <c r="I19" i="9"/>
  <c r="D22" i="9"/>
  <c r="D102" i="9"/>
  <c r="G19" i="9"/>
  <c r="G22" i="9" s="1"/>
  <c r="B3" i="12"/>
  <c r="B5" i="12"/>
  <c r="C103" i="9"/>
  <c r="G21" i="9"/>
  <c r="B3" i="40"/>
  <c r="B4" i="40"/>
  <c r="B5" i="40"/>
  <c r="C90" i="15"/>
  <c r="C89" i="15" s="1"/>
  <c r="B2" i="15"/>
  <c r="D20" i="9"/>
  <c r="AO9" i="1"/>
  <c r="AO8" i="1"/>
  <c r="AO6" i="1"/>
  <c r="D6" i="71" l="1"/>
  <c r="C5" i="71"/>
  <c r="D5" i="71" s="1"/>
  <c r="M24" i="43" s="1"/>
  <c r="D103" i="9"/>
  <c r="G20" i="9"/>
  <c r="C32" i="9" s="1"/>
  <c r="C35" i="9" s="1"/>
  <c r="C34" i="9" s="1"/>
  <c r="L119" i="9" s="1"/>
  <c r="B9" i="70"/>
  <c r="B8" i="70"/>
  <c r="B6" i="70"/>
  <c r="B3" i="15"/>
  <c r="M117" i="9" l="1"/>
  <c r="L117" i="9"/>
  <c r="D118" i="9" s="1"/>
  <c r="N119" i="9"/>
  <c r="H118" i="9" s="1"/>
  <c r="N117" i="9"/>
  <c r="I118" i="9" s="1"/>
  <c r="I4" i="52" s="1"/>
  <c r="M119" i="9"/>
  <c r="F118" i="9" s="1"/>
  <c r="G118" i="9" s="1"/>
  <c r="B2" i="70"/>
  <c r="B3" i="70" s="1"/>
  <c r="C104" i="9" l="1"/>
  <c r="D14" i="74"/>
  <c r="H4" i="52"/>
  <c r="H119" i="9"/>
  <c r="H5" i="52" s="1"/>
  <c r="H102" i="9"/>
  <c r="D7" i="53" s="1"/>
  <c r="B21" i="72" s="1"/>
  <c r="H101" i="9"/>
  <c r="C105" i="9"/>
  <c r="F14" i="74" l="1"/>
  <c r="B5" i="74"/>
  <c r="E14" i="74"/>
  <c r="D5" i="53"/>
  <c r="D45" i="9"/>
  <c r="H107" i="9"/>
  <c r="M48" i="9"/>
  <c r="D5" i="74" l="1"/>
  <c r="C5" i="74"/>
  <c r="D13" i="53"/>
  <c r="D122" i="9"/>
  <c r="G14" i="74" s="1"/>
  <c r="B6" i="74" s="1"/>
  <c r="H108" i="9"/>
  <c r="D15" i="53" s="1"/>
  <c r="B31" i="72" s="1"/>
  <c r="M49" i="9"/>
  <c r="D56" i="9"/>
  <c r="C72" i="9"/>
  <c r="D52" i="9"/>
  <c r="H65" i="9"/>
  <c r="H64" i="9" s="1"/>
  <c r="H63" i="9" s="1"/>
  <c r="D53" i="9" s="1"/>
  <c r="C85" i="9"/>
  <c r="D55" i="9"/>
  <c r="M53" i="9" s="1"/>
  <c r="C64" i="9"/>
  <c r="C63" i="9" s="1"/>
  <c r="C67" i="9" s="1"/>
  <c r="C68" i="9" s="1"/>
  <c r="D6" i="53"/>
  <c r="B22" i="72" s="1"/>
  <c r="B20" i="72"/>
  <c r="D6" i="74" l="1"/>
  <c r="C6" i="74"/>
  <c r="L66" i="9"/>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color indexed="81"/>
            <rFont val="宋体"/>
            <family val="3"/>
            <charset val="134"/>
          </rPr>
          <t>依据一般经验，应比建筑物资本化率高0.5%</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600-000005000000}">
      <text>
        <r>
          <rPr>
            <sz val="9"/>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700-000007000000}">
      <text>
        <r>
          <rPr>
            <sz val="10"/>
            <color indexed="81"/>
            <rFont val="宋体"/>
            <family val="3"/>
            <charset val="134"/>
          </rPr>
          <t xml:space="preserve">在建
</t>
        </r>
      </text>
    </comment>
    <comment ref="N64"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<sst xmlns="http://schemas.openxmlformats.org/spreadsheetml/2006/main" count="11512" uniqueCount="4673">
  <si>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</si>
  <si>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</si>
  <si>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</si>
  <si>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</si>
  <si>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</si>
  <si>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</si>
  <si>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</si>
  <si>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</si>
  <si>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</si>
  <si>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</si>
  <si>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</si>
  <si>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</si>
  <si>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</si>
  <si>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</si>
  <si>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</si>
  <si>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</si>
  <si>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</si>
  <si>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</si>
  <si>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</si>
  <si>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</si>
  <si>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</si>
  <si>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</si>
  <si>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</si>
  <si>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</si>
  <si>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</si>
  <si>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</si>
  <si>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</si>
  <si>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</si>
  <si>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</si>
  <si>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</si>
  <si>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</si>
  <si>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</si>
  <si>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</si>
  <si>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</si>
  <si>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</si>
  <si>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</si>
  <si>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</si>
  <si>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</si>
  <si>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</si>
  <si>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</si>
  <si>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</si>
  <si>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</si>
  <si>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</si>
  <si>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</si>
  <si>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</si>
  <si>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</si>
  <si>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</si>
  <si>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</si>
  <si>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</si>
  <si>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</si>
  <si>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</si>
  <si>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</si>
  <si>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</si>
  <si>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</si>
  <si>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</si>
  <si>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</si>
  <si>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</si>
  <si>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</si>
  <si>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</si>
  <si>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</si>
  <si>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</si>
  <si>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</si>
  <si>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</si>
  <si>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</si>
  <si>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</si>
  <si>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</si>
  <si>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</si>
  <si>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</si>
  <si>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</si>
  <si>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</si>
  <si>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</si>
  <si>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</si>
  <si>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</si>
  <si>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</si>
  <si>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</si>
  <si>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</si>
  <si>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</si>
  <si>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</si>
  <si>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</si>
  <si>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</si>
  <si>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</si>
  <si>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</si>
  <si>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</si>
  <si>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</si>
  <si>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</si>
  <si>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</si>
  <si>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</si>
  <si>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</si>
  <si>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</si>
  <si>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</si>
  <si>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</si>
  <si>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</si>
  <si>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</si>
  <si>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</si>
  <si>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</si>
  <si>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</si>
  <si>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</si>
  <si>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</si>
  <si>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</si>
  <si>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</si>
  <si>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</si>
  <si>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</si>
  <si>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</si>
  <si>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</si>
  <si>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</si>
  <si>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</si>
  <si>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</si>
  <si>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</si>
  <si>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</si>
  <si>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</si>
  <si>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</si>
  <si>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</si>
  <si>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</si>
  <si>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</si>
  <si>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</si>
  <si>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</si>
  <si>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</si>
  <si>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</si>
  <si>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</si>
  <si>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</si>
  <si>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</si>
  <si>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</si>
  <si>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</si>
  <si>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</si>
  <si>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</si>
  <si>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</si>
  <si>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</si>
  <si>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</si>
  <si>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</si>
  <si>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</si>
  <si>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</si>
  <si>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</si>
  <si>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</si>
  <si>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</si>
  <si>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</si>
  <si>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</si>
  <si>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</si>
  <si>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</si>
  <si>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</si>
  <si>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</si>
  <si>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</si>
  <si>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</si>
  <si>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</si>
  <si>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</si>
  <si>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</si>
  <si>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</si>
  <si>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</si>
  <si>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</si>
  <si>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</si>
  <si>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</si>
  <si>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</si>
  <si>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</si>
  <si>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</si>
  <si>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</si>
  <si>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</si>
  <si>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</si>
  <si>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</si>
  <si>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</si>
  <si>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</si>
  <si>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</si>
  <si>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</si>
  <si>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</si>
  <si>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</si>
  <si>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</si>
  <si>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</si>
  <si>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</si>
  <si>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</si>
  <si>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</si>
  <si>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</si>
  <si>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</si>
  <si>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</si>
  <si>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</si>
  <si>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</si>
  <si>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</si>
  <si>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</si>
  <si>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</si>
  <si>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</si>
  <si>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</si>
  <si>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</si>
  <si>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</si>
  <si>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</si>
  <si>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</si>
  <si>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</si>
  <si>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</si>
  <si>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</si>
  <si>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</si>
  <si>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</si>
  <si>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</si>
  <si>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</si>
  <si>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</si>
  <si>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</si>
  <si>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</si>
  <si>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</si>
  <si>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</si>
  <si>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</si>
  <si>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</si>
  <si>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</si>
  <si>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</si>
  <si>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</si>
  <si>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</si>
  <si>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</si>
  <si>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</si>
  <si>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</si>
  <si>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</si>
  <si>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</si>
  <si>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</si>
  <si>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</si>
  <si>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</si>
  <si>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</si>
  <si>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</si>
  <si>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</si>
  <si>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</si>
  <si>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</si>
  <si>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</si>
  <si>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</si>
  <si>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</si>
  <si>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</si>
  <si>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</si>
  <si>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</si>
  <si>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</si>
  <si>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</si>
  <si>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</si>
  <si>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</si>
  <si>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</si>
  <si>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</si>
  <si>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</si>
  <si>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</si>
  <si>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</si>
  <si>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</si>
  <si>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</si>
  <si>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</si>
  <si>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</si>
  <si>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</si>
  <si>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</si>
  <si>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</si>
  <si>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</si>
  <si>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</si>
  <si>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</si>
  <si>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</si>
  <si>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</si>
  <si>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</si>
  <si>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</si>
  <si>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</si>
  <si>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</si>
  <si>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</si>
  <si>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</si>
  <si>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</si>
  <si>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</si>
  <si>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</si>
  <si>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</si>
  <si>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</si>
  <si>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</si>
  <si>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</si>
  <si>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</si>
  <si>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</si>
  <si>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</si>
  <si>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</si>
  <si>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</si>
  <si>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</si>
  <si>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</si>
  <si>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</si>
  <si>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</si>
  <si>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</si>
  <si>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</si>
  <si>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</si>
  <si>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</si>
  <si>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</si>
  <si>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</si>
  <si>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</si>
  <si>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</si>
  <si>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</si>
  <si>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</si>
  <si>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</si>
  <si>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</si>
  <si>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</si>
  <si>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</si>
  <si>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</si>
  <si>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</si>
  <si>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</si>
  <si>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</si>
  <si>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</si>
  <si>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</si>
  <si>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</si>
  <si>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</si>
  <si>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</si>
  <si>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</si>
  <si>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</si>
  <si>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</si>
  <si>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</si>
  <si>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</si>
  <si>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</si>
  <si>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</si>
  <si>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</si>
  <si>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</si>
  <si>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</si>
  <si>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</si>
  <si>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</si>
  <si>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</si>
  <si>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</si>
  <si>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</si>
  <si>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</si>
  <si>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</si>
  <si>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</si>
  <si>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</si>
  <si>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</si>
  <si>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</si>
  <si>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</si>
  <si>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</si>
  <si>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</si>
  <si>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</si>
  <si>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</si>
  <si>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</si>
  <si>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</si>
  <si>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</si>
  <si>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</si>
  <si>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</si>
  <si>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</si>
  <si>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</si>
  <si>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</si>
  <si>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</si>
  <si>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</si>
  <si>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</si>
  <si>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</si>
  <si>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</si>
  <si>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</si>
  <si>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</si>
  <si>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</si>
  <si>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</si>
  <si>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</si>
  <si>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</si>
  <si>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</si>
  <si>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</si>
  <si>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</si>
  <si>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</si>
  <si>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</si>
  <si>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</si>
  <si>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</si>
  <si>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</si>
  <si>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</si>
  <si>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</si>
  <si>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</si>
  <si>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</si>
  <si>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</si>
  <si>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</si>
  <si>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</si>
  <si>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</si>
  <si>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</si>
  <si>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</si>
  <si>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</si>
  <si>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</si>
  <si>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</si>
  <si>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</si>
  <si>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</si>
  <si>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</si>
  <si>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</si>
  <si>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</si>
  <si>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</si>
  <si>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</si>
  <si>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</si>
  <si>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</si>
  <si>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</si>
  <si>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</si>
  <si>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</si>
  <si>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</si>
  <si>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</si>
  <si>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</si>
  <si>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</si>
  <si>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</si>
  <si>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</si>
  <si>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</si>
  <si>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</si>
  <si>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</si>
  <si>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</si>
  <si>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</si>
  <si>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</si>
  <si>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</si>
  <si>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</si>
  <si>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</si>
  <si>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</si>
  <si>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</si>
  <si>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</si>
  <si>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</si>
  <si>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</si>
  <si>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</si>
  <si>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</si>
  <si>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</si>
  <si>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</si>
  <si>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</si>
  <si>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</si>
  <si>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</si>
  <si>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</si>
  <si>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</si>
  <si>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</si>
  <si>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</si>
  <si>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</si>
  <si>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</si>
  <si>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</si>
  <si>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</si>
  <si>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</si>
  <si>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</si>
  <si>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</si>
  <si>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</si>
  <si>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</si>
  <si>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</si>
  <si>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</si>
  <si>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</si>
  <si>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</si>
  <si>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</si>
  <si>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</si>
  <si>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</si>
  <si>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</si>
  <si>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</si>
  <si>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</si>
  <si>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</si>
  <si>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</si>
  <si>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</si>
  <si>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</si>
  <si>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</si>
  <si>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</si>
  <si>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</si>
  <si>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</si>
  <si>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</si>
  <si>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</si>
  <si>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</si>
  <si>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</si>
  <si>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</si>
  <si>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</si>
  <si>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</si>
  <si>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</si>
  <si>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</si>
  <si>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</si>
  <si>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</si>
  <si>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</si>
  <si>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</si>
  <si>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</si>
  <si>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</si>
  <si>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</si>
  <si>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</si>
  <si>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</si>
  <si>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</si>
  <si>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</si>
  <si>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</si>
  <si>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</si>
  <si>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</si>
  <si>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</si>
  <si>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</si>
  <si>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</si>
  <si>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</si>
  <si>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</si>
  <si>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</si>
  <si>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</si>
  <si>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</si>
  <si>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</si>
  <si>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</si>
  <si>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</si>
  <si>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</si>
  <si>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</si>
  <si>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</si>
  <si>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</si>
  <si>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</si>
  <si>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</si>
  <si>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</si>
  <si>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</si>
  <si>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</si>
  <si>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</si>
  <si>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</si>
  <si>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</si>
  <si>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</si>
  <si>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</si>
  <si>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</si>
  <si>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</si>
  <si>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</si>
  <si>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</si>
  <si>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</si>
  <si>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</si>
  <si>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</si>
  <si>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</si>
  <si>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</si>
  <si>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</si>
  <si>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</si>
  <si>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</si>
  <si>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</si>
  <si>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</si>
  <si>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</si>
  <si>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</si>
  <si>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</si>
  <si>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</si>
  <si>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</si>
  <si>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</si>
  <si>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</si>
  <si>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</si>
  <si>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</si>
  <si>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</si>
  <si>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</si>
  <si>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</si>
  <si>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</si>
  <si>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</si>
  <si>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</si>
  <si>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</si>
  <si>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</si>
  <si>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</si>
  <si>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</si>
  <si>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</si>
  <si>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</si>
  <si>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</si>
  <si>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</si>
  <si>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</si>
  <si>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</si>
  <si>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</si>
  <si>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</si>
  <si>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</si>
  <si>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</si>
  <si>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</si>
  <si>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</si>
  <si>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</si>
  <si>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</si>
  <si>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</si>
  <si>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</si>
  <si>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</si>
  <si>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</si>
  <si>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</si>
  <si>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</si>
  <si>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</si>
  <si>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</si>
  <si>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</si>
  <si>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</si>
  <si>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</si>
  <si>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</si>
  <si>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</si>
  <si>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</si>
  <si>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</si>
  <si>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</si>
  <si>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</si>
  <si>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</si>
  <si>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</si>
  <si>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</si>
  <si>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</si>
  <si>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</si>
  <si>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</si>
  <si>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</si>
  <si>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</si>
  <si>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</si>
  <si>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</si>
  <si>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</si>
  <si>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</si>
  <si>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</si>
  <si>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</si>
  <si>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</si>
  <si>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</si>
  <si>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</si>
  <si>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</si>
  <si>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</si>
  <si>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</si>
  <si>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</si>
  <si>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</si>
  <si>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</si>
  <si>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</si>
  <si>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</si>
  <si>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</si>
  <si>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</si>
  <si>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</si>
  <si>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</si>
  <si>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</si>
  <si>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</si>
  <si>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</si>
  <si>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</si>
  <si>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</si>
  <si>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</si>
  <si>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</si>
  <si>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</si>
  <si>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</si>
  <si>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</si>
  <si>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</si>
  <si>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</si>
  <si>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</si>
  <si>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</si>
  <si>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</si>
  <si>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</si>
  <si>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</si>
  <si>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</si>
  <si>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</si>
  <si>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</si>
  <si>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</si>
  <si>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</si>
  <si>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</si>
  <si>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</si>
  <si>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</si>
  <si>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</si>
  <si>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</si>
  <si>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</si>
  <si>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</si>
  <si>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</si>
  <si>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</si>
  <si>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</si>
  <si>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</si>
  <si>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</si>
  <si>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</si>
  <si>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</si>
  <si>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</si>
  <si>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</si>
  <si>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</si>
  <si>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</si>
  <si>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</si>
  <si>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</si>
  <si>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</si>
  <si>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</si>
  <si>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</si>
  <si>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</si>
  <si>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</si>
  <si>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</si>
  <si>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</si>
  <si>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</si>
  <si>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</si>
  <si>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</si>
  <si>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</si>
  <si>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</si>
  <si>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</si>
  <si>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</si>
  <si>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</si>
  <si>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</si>
  <si>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</si>
  <si>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</si>
  <si>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</si>
  <si>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</si>
  <si>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</si>
  <si>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</si>
  <si>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</si>
  <si>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</si>
  <si>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</si>
  <si>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</si>
  <si>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</si>
  <si>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</si>
  <si>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</si>
  <si>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</si>
  <si>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</si>
  <si>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</si>
  <si>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</si>
  <si>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</si>
  <si>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</si>
  <si>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</si>
  <si>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</si>
  <si>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</si>
  <si>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</si>
  <si>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</si>
  <si>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</si>
  <si>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</si>
  <si>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</si>
  <si>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</si>
  <si>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</si>
  <si>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</si>
  <si>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</si>
  <si>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</si>
  <si>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</si>
  <si>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</si>
  <si>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</si>
  <si>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</si>
  <si>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</si>
  <si>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</si>
  <si>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</si>
  <si>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</si>
  <si>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</si>
  <si>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</si>
  <si>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</si>
  <si>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</si>
  <si>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</si>
  <si>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</si>
  <si>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</si>
  <si>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</si>
  <si>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</si>
  <si>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</si>
  <si>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</si>
  <si>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</si>
  <si>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</si>
  <si>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</si>
  <si>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</si>
  <si>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</si>
  <si>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</si>
  <si>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</si>
  <si>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</si>
  <si>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</si>
  <si>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</si>
  <si>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</si>
  <si>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</si>
  <si>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</si>
  <si>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</si>
  <si>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</si>
  <si>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</si>
  <si>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</si>
  <si>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</si>
  <si>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</si>
  <si>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</si>
  <si>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</si>
  <si>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</si>
  <si>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</si>
  <si>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</si>
  <si>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</si>
  <si>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</si>
  <si>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</si>
  <si>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</si>
  <si>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</si>
  <si>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</si>
  <si>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</si>
  <si>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</si>
  <si>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</si>
  <si>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</si>
  <si>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</si>
  <si>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</si>
  <si>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</si>
  <si>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</si>
  <si>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</si>
  <si>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</si>
  <si>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</si>
  <si>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</si>
  <si>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</si>
  <si>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</si>
  <si>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</si>
  <si>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</si>
  <si>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</si>
  <si>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</si>
  <si>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</si>
  <si>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</si>
  <si>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</si>
  <si>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</si>
  <si>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</si>
  <si>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</si>
  <si>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</si>
  <si>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</si>
  <si>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</si>
  <si>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</si>
  <si>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</si>
  <si>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</si>
  <si>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</si>
  <si>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</si>
  <si>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</si>
  <si>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</si>
  <si>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</si>
  <si>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</si>
  <si>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</si>
  <si>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</si>
  <si>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</si>
  <si>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</si>
  <si>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</si>
  <si>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</si>
  <si>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</si>
  <si>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</si>
  <si>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</si>
  <si>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</si>
  <si>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</si>
  <si>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</si>
  <si>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</si>
  <si>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</si>
  <si>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</si>
  <si>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</si>
  <si>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</si>
  <si>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</si>
  <si>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</si>
  <si>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</si>
  <si>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</si>
  <si>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</si>
  <si>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</si>
  <si>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</si>
  <si>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</si>
  <si>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</si>
  <si>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</si>
  <si>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</si>
  <si>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</si>
  <si>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</si>
  <si>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</si>
  <si>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</si>
  <si>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</si>
  <si>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</si>
  <si>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</si>
  <si>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</si>
  <si>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</si>
  <si>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</si>
  <si>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</si>
  <si>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</si>
  <si>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</si>
  <si>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</si>
  <si>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</si>
  <si>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</si>
  <si>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</si>
  <si>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</si>
  <si>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</si>
  <si>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</si>
  <si>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</si>
  <si>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</si>
  <si>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</si>
  <si>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</si>
  <si>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</si>
  <si>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</si>
  <si>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</si>
  <si>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</si>
  <si>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</si>
  <si>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</si>
  <si>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</si>
  <si>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</si>
  <si>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</si>
  <si>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</si>
  <si>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</si>
  <si>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</si>
  <si>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</si>
  <si>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</si>
  <si>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</si>
  <si>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</si>
  <si>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</si>
  <si>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</si>
  <si>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</si>
  <si>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</si>
  <si>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</si>
  <si>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</si>
  <si>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</si>
  <si>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</si>
  <si>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</si>
  <si>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</si>
  <si>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</si>
  <si>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</si>
  <si>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</si>
  <si>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</si>
  <si>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</si>
  <si>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</si>
  <si>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</si>
  <si>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</si>
  <si>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</si>
  <si>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</si>
  <si>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</si>
  <si>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</si>
  <si>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</si>
  <si>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</si>
  <si>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</si>
  <si>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</si>
  <si>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</si>
  <si>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</si>
  <si>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</si>
  <si>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</si>
  <si>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</si>
  <si>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</si>
  <si>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</si>
  <si>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</si>
  <si>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</si>
  <si>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</si>
  <si>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</si>
  <si>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</si>
  <si>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</si>
  <si>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</si>
  <si>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</si>
  <si>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</si>
  <si>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</si>
  <si>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</si>
  <si>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</si>
  <si>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</si>
  <si>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</si>
  <si>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</si>
  <si>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</si>
  <si>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</si>
  <si>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</si>
  <si>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</si>
  <si>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</si>
  <si>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</si>
  <si>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</si>
  <si>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</si>
  <si>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</si>
  <si>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</si>
  <si>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</si>
  <si>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</si>
  <si>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</si>
  <si>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</si>
  <si>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</si>
  <si>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</si>
  <si>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</si>
  <si>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</si>
  <si>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</si>
  <si>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</si>
  <si>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</si>
  <si>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</si>
  <si>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</si>
  <si>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</si>
  <si>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</si>
  <si>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</si>
  <si>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</si>
  <si>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</si>
  <si>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</si>
  <si>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</si>
  <si>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</si>
  <si>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</si>
  <si>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</si>
  <si>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</si>
  <si>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</si>
  <si>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</si>
  <si>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</si>
  <si>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</si>
  <si>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</si>
  <si>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</si>
  <si>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</si>
  <si>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</si>
  <si>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</si>
  <si>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</si>
  <si>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</si>
  <si>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</si>
  <si>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</si>
  <si>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</si>
  <si>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</si>
  <si>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</si>
  <si>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</si>
  <si>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</si>
  <si>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</si>
  <si>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</si>
  <si>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</si>
  <si>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</si>
  <si>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</si>
  <si>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</si>
  <si>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</si>
  <si>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</si>
  <si>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</si>
  <si>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</si>
  <si>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</si>
  <si>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</si>
  <si>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</si>
  <si>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</si>
  <si>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</si>
  <si>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</si>
  <si>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</si>
  <si>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</si>
  <si>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</si>
  <si>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</si>
  <si>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</si>
  <si>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</si>
  <si>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</si>
  <si>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</si>
  <si>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</si>
  <si>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</si>
  <si>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</si>
  <si>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</si>
  <si>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</si>
  <si>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</si>
  <si>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</si>
  <si>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</si>
  <si>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</si>
  <si>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</si>
  <si>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</si>
  <si>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</si>
  <si>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</si>
  <si>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</si>
  <si>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</si>
  <si>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</si>
  <si>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</si>
  <si>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</si>
  <si>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</si>
  <si>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</si>
  <si>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</si>
  <si>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</si>
  <si>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</si>
  <si>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</si>
  <si>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</si>
  <si>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</si>
  <si>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</si>
  <si>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</si>
  <si>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</si>
  <si>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</si>
  <si>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</si>
  <si>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</si>
  <si>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</si>
  <si>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</si>
  <si>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</si>
  <si>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</si>
  <si>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</si>
  <si>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</si>
  <si>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</si>
  <si>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</si>
  <si>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</si>
  <si>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</si>
  <si>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</si>
  <si>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</si>
  <si>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</si>
  <si>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</si>
  <si>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</si>
  <si>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</si>
  <si>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</si>
  <si>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</si>
  <si>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</si>
  <si>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</si>
  <si>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</si>
  <si>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</si>
  <si>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</si>
  <si>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</si>
  <si>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</si>
  <si>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</si>
  <si>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</si>
  <si>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</si>
  <si>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</si>
  <si>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</si>
  <si>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</si>
  <si>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</si>
  <si>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</si>
  <si>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</si>
  <si>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</si>
  <si>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</si>
  <si>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</si>
  <si>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</si>
  <si>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</si>
  <si>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</si>
  <si>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</si>
  <si>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</si>
  <si>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</si>
  <si>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</si>
  <si>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</si>
  <si>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</si>
  <si>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</si>
  <si>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</si>
  <si>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</si>
  <si>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</si>
  <si>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</si>
  <si>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</si>
  <si>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</si>
  <si>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</si>
  <si>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</si>
  <si>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</si>
  <si>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</si>
  <si>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</si>
  <si>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</si>
  <si>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</si>
  <si>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</si>
  <si>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</si>
  <si>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</si>
  <si>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</si>
  <si>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</si>
  <si>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</si>
  <si>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</si>
  <si>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</si>
  <si>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</si>
  <si>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</si>
  <si>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</si>
  <si>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</si>
  <si>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</si>
  <si>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</si>
  <si>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</si>
  <si>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</si>
  <si>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</si>
  <si>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</si>
  <si>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</si>
  <si>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</si>
  <si>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</si>
  <si>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</si>
  <si>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</si>
  <si>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</si>
  <si>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</si>
  <si>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</si>
  <si>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</si>
  <si>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</si>
  <si>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</si>
  <si>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</si>
  <si>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</si>
  <si>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</si>
  <si>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</si>
  <si>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</si>
  <si>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</si>
  <si>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</si>
  <si>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</si>
  <si>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</si>
  <si>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</si>
  <si>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</si>
  <si>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</si>
  <si>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</si>
  <si>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</si>
  <si>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</si>
  <si>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</si>
  <si>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</si>
  <si>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</si>
  <si>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</si>
  <si>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</si>
  <si>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</si>
  <si>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</si>
  <si>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</si>
  <si>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</si>
  <si>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</si>
  <si>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</si>
  <si>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</si>
  <si>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</si>
  <si>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</si>
  <si>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</si>
  <si>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</si>
  <si>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</si>
  <si>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</si>
  <si>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</si>
  <si>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</si>
  <si>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</si>
  <si>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</si>
  <si>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</si>
  <si>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</si>
  <si>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</si>
  <si>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</si>
  <si>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</si>
  <si>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</si>
  <si>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</si>
  <si>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</si>
  <si>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</si>
  <si>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</si>
  <si>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</si>
  <si>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</si>
  <si>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</si>
  <si>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</si>
  <si>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</si>
  <si>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</si>
  <si>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</si>
  <si>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</si>
  <si>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</si>
  <si>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</si>
  <si>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</si>
  <si>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</si>
  <si>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</si>
  <si>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</si>
  <si>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</si>
  <si>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</si>
  <si>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</si>
  <si>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</si>
  <si>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</si>
  <si>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</si>
  <si>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</si>
  <si>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</si>
  <si>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</si>
  <si>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</si>
  <si>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</si>
  <si>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</si>
  <si>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</si>
  <si>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</si>
  <si>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</si>
  <si>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</si>
  <si>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</si>
  <si>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</si>
  <si>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</si>
  <si>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</si>
  <si>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</si>
  <si>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</si>
  <si>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</si>
  <si>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</si>
  <si>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</si>
  <si>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</si>
  <si>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</si>
  <si>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</si>
  <si>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</si>
  <si>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</si>
  <si>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</si>
  <si>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</si>
  <si>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</si>
  <si>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</si>
  <si>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</si>
  <si>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</si>
  <si>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</si>
  <si>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</si>
  <si>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</si>
  <si>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</si>
  <si>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</si>
  <si>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</si>
  <si>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</si>
  <si>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</si>
  <si>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</si>
  <si>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</si>
  <si>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</si>
  <si>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</si>
  <si>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</si>
  <si>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</si>
  <si>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</si>
  <si>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</si>
  <si>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</si>
  <si>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</si>
  <si>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</si>
  <si>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</si>
  <si>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</si>
  <si>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</si>
  <si>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</si>
  <si>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</si>
  <si>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</si>
  <si>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</si>
  <si>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</si>
  <si>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</si>
  <si>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</si>
  <si>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</si>
  <si>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</si>
  <si>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</si>
  <si>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</si>
  <si>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</si>
  <si>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</si>
  <si>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</si>
  <si>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</si>
  <si>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</si>
  <si>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</si>
  <si>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</si>
  <si>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</si>
  <si>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</si>
  <si>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</si>
  <si>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</si>
  <si>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</si>
  <si>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</si>
  <si>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</si>
  <si>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</si>
  <si>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</si>
  <si>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</si>
  <si>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</si>
  <si>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</si>
  <si>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</si>
  <si>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</si>
  <si>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</si>
  <si>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</si>
  <si>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</si>
  <si>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</si>
  <si>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</si>
  <si>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</si>
  <si>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</si>
  <si>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</si>
  <si>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</si>
  <si>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</si>
  <si>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</si>
  <si>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</si>
  <si>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</si>
  <si>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</si>
  <si>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</si>
  <si>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</si>
  <si>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</si>
  <si>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</si>
  <si>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</si>
  <si>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</si>
  <si>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</si>
  <si>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</si>
  <si>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</si>
  <si>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</si>
  <si>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</si>
  <si>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</si>
  <si>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</si>
  <si>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</si>
  <si>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</si>
  <si>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</si>
  <si>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</si>
  <si>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</si>
  <si>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</si>
  <si>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</si>
  <si>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</si>
  <si>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</si>
  <si>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</si>
  <si>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</si>
  <si>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</si>
  <si>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</si>
  <si>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</si>
  <si>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</si>
  <si>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</si>
  <si>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</si>
  <si>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</si>
  <si>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</si>
  <si>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</si>
  <si>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</si>
  <si>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</si>
  <si>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</si>
  <si>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</si>
  <si>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</si>
  <si>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</si>
  <si>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</si>
  <si>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</si>
  <si>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</si>
  <si>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</si>
  <si>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</si>
  <si>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</si>
  <si>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</si>
  <si>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</si>
  <si>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</si>
  <si>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</si>
  <si>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</si>
  <si>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</si>
  <si>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</si>
  <si>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</si>
  <si>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</si>
  <si>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</si>
  <si>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</si>
  <si>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</si>
  <si>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</si>
  <si>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</si>
  <si>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</si>
  <si>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</si>
  <si>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</si>
  <si>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</si>
  <si>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</si>
  <si>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</si>
  <si>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</si>
  <si>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</si>
  <si>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</si>
  <si>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</si>
  <si>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</si>
  <si>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</si>
  <si>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</si>
  <si>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</si>
  <si>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</si>
  <si>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</si>
  <si>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</si>
  <si>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</si>
  <si>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</si>
  <si>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</si>
  <si>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</si>
  <si>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</si>
  <si>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</si>
  <si>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</si>
  <si>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</si>
  <si>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</si>
  <si>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</si>
  <si>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</si>
  <si>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</si>
  <si>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</si>
  <si>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</si>
  <si>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</si>
  <si>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</si>
  <si>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</si>
  <si>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</si>
  <si>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</si>
  <si>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</si>
  <si>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</si>
  <si>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</si>
  <si>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</si>
  <si>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</si>
  <si>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</si>
  <si>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</si>
  <si>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</si>
  <si>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</si>
  <si>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</si>
  <si>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</si>
  <si>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</si>
  <si>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</si>
  <si>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</si>
  <si>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</si>
  <si>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</si>
  <si>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</si>
  <si>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</si>
  <si>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</si>
  <si>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</si>
  <si>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</si>
  <si>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</si>
  <si>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</si>
  <si>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</si>
  <si>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</si>
  <si>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</si>
  <si>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</si>
  <si>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</si>
  <si>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</si>
  <si>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</si>
  <si>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</si>
  <si>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</si>
  <si>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</si>
  <si>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</si>
  <si>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</si>
  <si>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</si>
  <si>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</si>
  <si>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</si>
  <si>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</si>
  <si>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</si>
  <si>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</si>
  <si>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</si>
  <si>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</si>
  <si>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</si>
  <si>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</si>
  <si>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</si>
  <si>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</si>
  <si>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</si>
  <si>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</si>
  <si>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</si>
  <si>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</si>
  <si>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</si>
  <si>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</si>
  <si>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</si>
  <si>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</si>
  <si>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</si>
  <si>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</si>
  <si>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</si>
  <si>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</si>
  <si>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</si>
  <si>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</si>
  <si>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</si>
  <si>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</si>
  <si>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</si>
  <si>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</si>
  <si>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</si>
  <si>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</si>
  <si>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</si>
  <si>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</si>
  <si>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</si>
  <si>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</si>
  <si>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</si>
  <si>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</si>
  <si>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</si>
  <si>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</si>
  <si>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</si>
  <si>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</si>
  <si>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</si>
  <si>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</si>
  <si>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</si>
  <si>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</si>
  <si>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</si>
  <si>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</si>
  <si>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</si>
  <si>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</si>
  <si>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</si>
  <si>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</si>
  <si>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</si>
  <si>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</si>
  <si>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</si>
  <si>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</si>
  <si>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</si>
  <si>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</si>
  <si>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</si>
  <si>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</si>
  <si>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</si>
  <si>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</si>
  <si>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</si>
  <si>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</si>
  <si>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</si>
  <si>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</si>
  <si>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</si>
  <si>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</si>
  <si>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</si>
  <si>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</si>
  <si>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</si>
  <si>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</si>
  <si>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</si>
  <si>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</si>
  <si>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</si>
  <si>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</si>
  <si>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</si>
  <si>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</si>
  <si>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</si>
  <si>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</si>
  <si>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</si>
  <si>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</si>
  <si>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</si>
  <si>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</si>
  <si>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</si>
  <si>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</si>
  <si>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</si>
  <si>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</si>
  <si>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</si>
  <si>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</si>
  <si>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</si>
  <si>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</si>
  <si>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</si>
  <si>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</si>
  <si>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</si>
  <si>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</si>
  <si>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</si>
  <si>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</si>
  <si>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</si>
  <si>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</si>
  <si>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</si>
  <si>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</si>
  <si>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</si>
  <si>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</si>
  <si>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</si>
  <si>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</si>
  <si>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</si>
  <si>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</si>
  <si>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</si>
  <si>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</si>
  <si>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</si>
  <si>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</si>
  <si>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</si>
  <si>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</si>
  <si>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</si>
  <si>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</si>
  <si>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</si>
  <si>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</si>
  <si>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</si>
  <si>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</si>
  <si>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</si>
  <si>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</si>
  <si>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</si>
  <si>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</si>
  <si>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</si>
  <si>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</si>
  <si>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</si>
  <si>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</si>
  <si>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</si>
  <si>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</si>
  <si>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</si>
  <si>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</si>
  <si>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</si>
  <si>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</si>
  <si>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</si>
  <si>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</si>
  <si>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</si>
  <si>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</si>
  <si>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</si>
  <si>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</si>
  <si>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</si>
  <si>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</si>
  <si>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</si>
  <si>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</si>
  <si>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</si>
  <si>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</si>
  <si>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</si>
  <si>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</si>
  <si>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</si>
  <si>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</si>
  <si>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</si>
  <si>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</si>
  <si>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</si>
  <si>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</si>
  <si>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</si>
  <si>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</si>
  <si>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</si>
  <si>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</si>
  <si>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</si>
  <si>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</si>
  <si>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</si>
  <si>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</si>
  <si>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</si>
  <si>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</si>
  <si>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</si>
  <si>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</si>
  <si>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</si>
  <si>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</si>
  <si>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</si>
  <si>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</si>
  <si>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</si>
  <si>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</si>
  <si>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</si>
  <si>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</si>
  <si>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</si>
  <si>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</si>
  <si>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</si>
  <si>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</si>
  <si>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</si>
  <si>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</si>
  <si>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</si>
  <si>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</si>
  <si>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</si>
  <si>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</si>
  <si>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</si>
  <si>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</si>
  <si>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</si>
  <si>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</si>
  <si>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</si>
  <si>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</si>
  <si>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</si>
  <si>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</si>
  <si>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</si>
  <si>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</si>
  <si>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</si>
  <si>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</si>
  <si>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</si>
  <si>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</si>
  <si>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</si>
  <si>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</si>
  <si>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</si>
  <si>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</si>
  <si>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</si>
  <si>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</si>
  <si>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</si>
  <si>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</si>
  <si>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</si>
  <si>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</si>
  <si>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</si>
  <si>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</si>
  <si>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</si>
  <si>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</si>
  <si>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</si>
  <si>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</si>
  <si>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</si>
  <si>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</si>
  <si>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</si>
  <si>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</si>
  <si>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</si>
  <si>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</si>
  <si>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</si>
  <si>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</si>
  <si>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</si>
  <si>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</si>
  <si>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</si>
  <si>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</si>
  <si>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</si>
  <si>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</si>
  <si>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</si>
  <si>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</si>
  <si>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</si>
  <si>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</si>
  <si>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</si>
  <si>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</si>
  <si>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</si>
  <si>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</si>
  <si>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</si>
  <si>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</si>
  <si>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</si>
  <si>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</si>
  <si>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</si>
  <si>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</si>
  <si>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</si>
  <si>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</si>
  <si>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</si>
  <si>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</si>
  <si>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</si>
  <si>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</si>
  <si>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</si>
  <si>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</si>
  <si>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</si>
  <si>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</si>
  <si>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</si>
  <si>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</si>
  <si>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</si>
  <si>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</si>
  <si>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</si>
  <si>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</si>
  <si>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</si>
  <si>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</si>
  <si>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</si>
  <si>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</si>
  <si>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</si>
  <si>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</si>
  <si>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</si>
  <si>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</si>
  <si>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</si>
  <si>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</si>
  <si>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</si>
  <si>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</si>
  <si>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</si>
  <si>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</si>
  <si>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</si>
  <si>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</si>
  <si>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</si>
  <si>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</si>
  <si>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</si>
  <si>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</si>
  <si>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</si>
  <si>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</si>
  <si>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</si>
  <si>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</si>
  <si>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</si>
  <si>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</si>
  <si>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</si>
  <si>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</si>
  <si>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</si>
  <si>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</si>
  <si>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</si>
  <si>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</si>
  <si>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</si>
  <si>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</si>
  <si>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</si>
  <si>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</si>
  <si>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</si>
  <si>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</si>
  <si>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</si>
  <si>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</si>
  <si>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</si>
  <si>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</si>
  <si>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</si>
  <si>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</si>
  <si>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</si>
  <si>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</si>
  <si>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</si>
  <si>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</si>
  <si>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</si>
  <si>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</si>
  <si>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</si>
  <si>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</si>
  <si>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</si>
  <si>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</si>
  <si>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</si>
  <si>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</si>
  <si>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</si>
  <si>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</si>
  <si>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</si>
  <si>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</si>
  <si>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</si>
  <si>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</si>
  <si>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</si>
  <si>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</si>
  <si>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</si>
  <si>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</si>
  <si>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</si>
  <si>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</si>
  <si>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</si>
  <si>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</si>
  <si>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</si>
  <si>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</si>
  <si>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</si>
  <si>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</si>
  <si>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</si>
  <si>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</si>
  <si>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</si>
  <si>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</si>
  <si>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</si>
  <si>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</si>
  <si>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</si>
  <si>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</si>
  <si>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</si>
  <si>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</si>
  <si>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</si>
  <si>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</si>
  <si>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</si>
  <si>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</si>
  <si>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</si>
  <si>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</si>
  <si>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</si>
  <si>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</si>
  <si>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</si>
  <si>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</si>
  <si>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</si>
  <si>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</si>
  <si>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</si>
  <si>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</si>
  <si>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</si>
  <si>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</si>
  <si>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</si>
  <si>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</si>
  <si>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</si>
  <si>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</si>
  <si>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</si>
  <si>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</si>
  <si>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</si>
  <si>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</si>
  <si>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</si>
  <si>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</si>
  <si>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</si>
  <si>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</si>
  <si>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</si>
  <si>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</si>
  <si>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</si>
  <si>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</si>
  <si>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</si>
  <si>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</si>
  <si>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</si>
  <si>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</si>
  <si>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</si>
  <si>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</si>
  <si>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</si>
  <si>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</si>
  <si>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</si>
  <si>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</si>
  <si>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</si>
  <si>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</si>
  <si>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</si>
  <si>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</si>
  <si>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</si>
  <si>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</si>
  <si>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</si>
  <si>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</si>
  <si>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</si>
  <si>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</si>
  <si>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</si>
  <si>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</si>
  <si>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</si>
  <si>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</si>
  <si>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</si>
  <si>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</si>
  <si>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</si>
  <si>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</si>
  <si>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</si>
  <si>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</si>
  <si>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</si>
  <si>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</si>
  <si>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</si>
  <si>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</si>
  <si>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</si>
  <si>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</si>
  <si>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</si>
  <si>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</si>
  <si>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</si>
  <si>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</si>
  <si>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</si>
  <si>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</si>
  <si>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</si>
  <si>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</si>
  <si>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</si>
  <si>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</si>
  <si>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</si>
  <si>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</si>
  <si>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</si>
  <si>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</si>
  <si>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</si>
  <si>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</si>
  <si>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</si>
  <si>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</si>
  <si>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</si>
  <si>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</si>
  <si>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</si>
  <si>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</si>
  <si>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</si>
  <si>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</si>
  <si>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</si>
  <si>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</si>
  <si>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</si>
  <si>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</si>
  <si>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</si>
  <si>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</si>
  <si>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</si>
  <si>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</si>
  <si>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</si>
  <si>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</si>
  <si>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</si>
  <si>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</si>
  <si>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</si>
  <si>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</si>
  <si>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</si>
  <si>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</si>
  <si>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</si>
  <si>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</si>
  <si>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</si>
  <si>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</si>
  <si>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</si>
  <si>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</si>
  <si>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</si>
  <si>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</si>
  <si>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</si>
  <si>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</si>
  <si>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</si>
  <si>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</si>
  <si>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</si>
  <si>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</si>
  <si>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</si>
  <si>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</si>
  <si>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</si>
  <si>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</si>
  <si>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</si>
  <si>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</si>
  <si>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</si>
  <si>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</si>
  <si>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</si>
  <si>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</si>
  <si>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</si>
  <si>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</si>
  <si>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</si>
  <si>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</si>
  <si>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</si>
  <si>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</si>
  <si>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</si>
  <si>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</si>
  <si>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</si>
  <si>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</si>
  <si>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</si>
  <si>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</si>
  <si>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</si>
  <si>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</si>
  <si>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</si>
  <si>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</si>
  <si>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</si>
  <si>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</si>
  <si>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</si>
  <si>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</si>
  <si>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</si>
  <si>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</si>
  <si>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</si>
  <si>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</si>
  <si>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</si>
  <si>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</si>
  <si>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</si>
  <si>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</si>
  <si>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</si>
  <si>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</si>
  <si>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</si>
  <si>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</si>
  <si>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</si>
  <si>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</si>
  <si>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</si>
  <si>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</si>
  <si>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</si>
  <si>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</si>
  <si>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</si>
  <si>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</si>
  <si>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</si>
  <si>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</si>
  <si>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</si>
  <si>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</si>
  <si>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</si>
  <si>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</si>
  <si>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</si>
  <si>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</si>
  <si>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</si>
  <si>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</si>
  <si>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</si>
  <si>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</si>
  <si>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</si>
  <si>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</si>
  <si>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</si>
  <si>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</si>
  <si>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</si>
  <si>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</si>
  <si>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</si>
  <si>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</si>
  <si>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</si>
  <si>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</si>
  <si>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</si>
  <si>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</si>
  <si>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</si>
  <si>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</si>
  <si>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</si>
  <si>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</si>
  <si>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</si>
  <si>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</si>
  <si>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</si>
  <si>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</si>
  <si>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</si>
  <si>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</si>
  <si>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</si>
  <si>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</si>
  <si>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</si>
  <si>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</si>
  <si>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</si>
  <si>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</si>
  <si>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</si>
  <si>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</si>
  <si>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</si>
  <si>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</si>
  <si>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</si>
  <si>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</si>
  <si>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</si>
  <si>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</si>
  <si>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</si>
  <si>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</si>
  <si>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</si>
  <si>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</si>
  <si>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</si>
  <si>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</si>
  <si>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</si>
  <si>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</si>
  <si>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</si>
  <si>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</si>
  <si>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</si>
  <si>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</si>
  <si>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</si>
  <si>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</si>
  <si>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</si>
  <si>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</si>
  <si>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</si>
  <si>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</si>
  <si>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</si>
  <si>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</si>
  <si>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</si>
  <si>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</si>
  <si>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</si>
  <si>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</si>
  <si>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</si>
  <si>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</si>
  <si>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</si>
  <si>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</si>
  <si>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</si>
  <si>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</si>
  <si>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</si>
  <si>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</si>
  <si>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</si>
  <si>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</si>
  <si>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</si>
  <si>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</si>
  <si>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</si>
  <si>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</si>
  <si>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</si>
  <si>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</si>
  <si>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</si>
  <si>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</si>
  <si>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</si>
  <si>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</si>
  <si>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</si>
  <si>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</si>
  <si>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</si>
  <si>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</si>
  <si>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</si>
  <si>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</si>
  <si>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</si>
  <si>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</si>
  <si>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</si>
  <si>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</si>
  <si>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</si>
  <si>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</si>
  <si>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</si>
  <si>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</si>
  <si>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</si>
  <si>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</si>
  <si>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</si>
  <si>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</si>
  <si>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</si>
  <si>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</si>
  <si>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</si>
  <si>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</si>
  <si>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</si>
  <si>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</si>
  <si>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</si>
  <si>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</si>
  <si>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</si>
  <si>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</si>
  <si>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</si>
  <si>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</si>
  <si>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</si>
  <si>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</si>
  <si>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</si>
  <si>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</si>
  <si>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</si>
  <si>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</si>
  <si>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</si>
  <si>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</si>
  <si>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</si>
  <si>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</si>
  <si>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</si>
  <si>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</si>
  <si>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</si>
  <si>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</si>
  <si>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</si>
  <si>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</si>
  <si>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</si>
  <si>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</si>
  <si>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</si>
  <si>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</si>
  <si>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</si>
  <si>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</si>
  <si>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</si>
  <si>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</si>
  <si>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</si>
  <si>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</si>
  <si>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</si>
  <si>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</si>
  <si>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</si>
  <si>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</si>
  <si>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</si>
  <si>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</si>
  <si>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</si>
  <si>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</si>
  <si>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</si>
  <si>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</si>
  <si>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</si>
  <si>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</si>
  <si>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</si>
  <si>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</si>
  <si>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</si>
  <si>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</si>
  <si>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</si>
  <si>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</si>
  <si>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</si>
  <si>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</si>
  <si>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</si>
  <si>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</si>
  <si>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</si>
  <si>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</si>
  <si>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</si>
  <si>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</si>
  <si>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</si>
  <si>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</si>
  <si>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</si>
  <si>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</si>
  <si>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</si>
  <si>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</si>
  <si>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</si>
  <si>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</si>
  <si>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</si>
  <si>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</si>
  <si>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</si>
  <si>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</si>
  <si>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</si>
  <si>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</si>
  <si>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</si>
  <si>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</si>
  <si>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</si>
  <si>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</si>
  <si>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</si>
  <si>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</si>
  <si>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</si>
  <si>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</si>
  <si>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</si>
  <si>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</si>
  <si>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</si>
  <si>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</si>
  <si>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</si>
  <si>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</si>
  <si>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</si>
  <si>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</si>
  <si>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</si>
  <si>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</si>
  <si>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</si>
  <si>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</si>
  <si>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</si>
  <si>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</si>
  <si>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</si>
  <si>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</si>
  <si>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</si>
  <si>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</si>
  <si>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</si>
  <si>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</si>
  <si>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</si>
  <si>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</si>
  <si>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</si>
  <si>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</si>
  <si>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</si>
  <si>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</si>
  <si>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</si>
  <si>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</si>
  <si>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</si>
  <si>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</si>
  <si>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</si>
  <si>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</si>
  <si>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</si>
  <si>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</si>
  <si>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</si>
  <si>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</si>
  <si>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</si>
  <si>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</si>
  <si>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</si>
  <si>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</si>
  <si>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</si>
  <si>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</si>
  <si>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</si>
  <si>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</si>
  <si>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</si>
  <si>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</si>
  <si>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</si>
  <si>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</si>
  <si>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</si>
  <si>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</si>
  <si>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</si>
  <si>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</si>
  <si>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</si>
  <si>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</si>
  <si>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</si>
  <si>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</si>
  <si>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</si>
  <si>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</si>
  <si>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</si>
  <si>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</si>
  <si>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</si>
  <si>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</si>
  <si>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</si>
  <si>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</si>
  <si>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</si>
  <si>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</si>
  <si>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</si>
  <si>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</si>
  <si>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</si>
  <si>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</si>
  <si>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</si>
  <si>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</si>
  <si>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</si>
  <si>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</si>
  <si>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</si>
  <si>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</si>
  <si>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</si>
  <si>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</si>
  <si>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</si>
  <si>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</si>
  <si>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</si>
  <si>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</si>
  <si>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</si>
  <si>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</si>
  <si>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</si>
  <si>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</si>
  <si>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</si>
  <si>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</si>
  <si>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</si>
  <si>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</si>
  <si>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</si>
  <si>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</si>
  <si>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</si>
  <si>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</si>
  <si>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</si>
  <si>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</si>
  <si>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</si>
  <si>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</si>
  <si>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</si>
  <si>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</si>
  <si>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</si>
  <si>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</si>
  <si>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</si>
  <si>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</si>
  <si>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</si>
  <si>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</si>
  <si>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</si>
  <si>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</si>
  <si>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</si>
  <si>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</si>
  <si>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</si>
  <si>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</si>
  <si>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</si>
  <si>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</si>
  <si>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</si>
  <si>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</si>
  <si>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</si>
  <si>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</si>
  <si>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</si>
  <si>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</si>
  <si>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</si>
  <si>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</si>
  <si>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</si>
  <si>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</si>
  <si>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</si>
  <si>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</si>
  <si>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</si>
  <si>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</si>
  <si>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</si>
  <si>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</si>
  <si>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</si>
  <si>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</si>
  <si>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</si>
  <si>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</si>
  <si>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</si>
  <si>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</si>
  <si>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</si>
  <si>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</si>
  <si>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</si>
  <si>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</si>
  <si>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</si>
  <si>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</si>
  <si>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</si>
  <si>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</si>
  <si>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</si>
  <si>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</si>
  <si>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</si>
  <si>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</si>
  <si>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</si>
  <si>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</si>
  <si>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</si>
  <si>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</si>
  <si>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</si>
  <si>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</si>
  <si>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</si>
  <si>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</si>
  <si>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</si>
  <si>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</si>
  <si>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</si>
  <si>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</si>
  <si>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</si>
  <si>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</si>
  <si>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</si>
  <si>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</si>
  <si>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</si>
  <si>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</si>
  <si>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</si>
  <si>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</si>
  <si>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</si>
  <si>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</si>
  <si>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</si>
  <si>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</si>
  <si>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</si>
  <si>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</si>
  <si>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</si>
  <si>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</si>
  <si>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</si>
  <si>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</si>
  <si>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</si>
  <si>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</si>
  <si>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</si>
  <si>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</si>
  <si>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</si>
  <si>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</si>
  <si>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</si>
  <si>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</si>
  <si>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</si>
  <si>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</si>
  <si>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</si>
  <si>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</si>
  <si>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</si>
  <si>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</si>
  <si>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</si>
  <si>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</si>
  <si>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</si>
  <si>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</si>
  <si>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</si>
  <si>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</si>
  <si>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</si>
  <si>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</si>
  <si>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</si>
  <si>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</si>
  <si>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</si>
  <si>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</si>
  <si>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</si>
  <si>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</si>
  <si>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</si>
  <si>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</si>
  <si>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</si>
  <si>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</si>
  <si>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</si>
  <si>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</si>
  <si>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</si>
  <si>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</si>
  <si>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</si>
  <si>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</si>
  <si>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</si>
  <si>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</si>
  <si>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</si>
  <si>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</si>
  <si>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</si>
  <si>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</si>
  <si>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</si>
  <si>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</si>
  <si>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</si>
  <si>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</si>
  <si>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</si>
  <si>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</si>
  <si>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</si>
  <si>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</si>
  <si>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</si>
  <si>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</si>
  <si>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</si>
  <si>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</si>
  <si>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</si>
  <si>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</si>
  <si>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</si>
  <si>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</si>
  <si>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</si>
  <si>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</si>
  <si>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</si>
  <si>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</si>
  <si>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</si>
  <si>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</si>
  <si>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</si>
  <si>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</si>
  <si>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</si>
  <si>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</si>
  <si>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</si>
  <si>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</si>
  <si>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</si>
  <si>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</si>
  <si>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</si>
  <si>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</si>
  <si>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</si>
  <si>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</si>
  <si>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</si>
  <si>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</si>
  <si>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</si>
  <si>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</si>
  <si>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</si>
  <si>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</si>
  <si>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</si>
  <si>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</si>
  <si>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</si>
  <si>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</si>
  <si>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</si>
  <si>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</si>
  <si>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</si>
  <si>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</si>
  <si>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</si>
  <si>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</si>
  <si>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</si>
  <si>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</si>
  <si>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</si>
  <si>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</si>
  <si>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</si>
  <si>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</si>
  <si>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</si>
  <si>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</si>
  <si>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</si>
  <si>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</si>
  <si>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</si>
  <si>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</si>
  <si>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</si>
  <si>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</si>
  <si>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</si>
  <si>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</si>
  <si>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</si>
  <si>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</si>
  <si>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</si>
  <si>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</si>
  <si>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</si>
  <si>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</si>
  <si>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</si>
  <si>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</si>
  <si>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</si>
  <si>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</si>
  <si>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</si>
  <si>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</si>
  <si>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</si>
  <si>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</si>
  <si>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</si>
  <si>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</si>
  <si>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</si>
  <si>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</si>
  <si>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</si>
  <si>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</si>
  <si>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</si>
  <si>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</si>
  <si>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</si>
  <si>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</si>
  <si>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</si>
  <si>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</si>
  <si>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</si>
  <si>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</si>
  <si>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</si>
  <si>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</si>
  <si>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</si>
  <si>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</si>
  <si>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</si>
  <si>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</si>
  <si>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</si>
  <si>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</si>
  <si>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</si>
  <si>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</si>
  <si>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</si>
  <si>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</si>
  <si>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</si>
  <si>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</si>
  <si>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</si>
  <si>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</si>
  <si>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</si>
  <si>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</si>
  <si>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</si>
  <si>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</si>
  <si>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</si>
  <si>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</si>
  <si>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</si>
  <si>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</si>
  <si>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</si>
  <si>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</si>
  <si>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</si>
  <si>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</si>
  <si>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</si>
  <si>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</si>
  <si>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</si>
  <si>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</si>
  <si>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</si>
  <si>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</si>
  <si>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</si>
  <si>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</si>
  <si>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</si>
  <si>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</si>
  <si>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</si>
  <si>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</si>
  <si>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</si>
  <si>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</si>
  <si>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</si>
  <si>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</si>
  <si>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</si>
  <si>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</si>
  <si>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</si>
  <si>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</si>
  <si>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</si>
  <si>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</si>
  <si>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</si>
  <si>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</si>
  <si>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</si>
  <si>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</si>
  <si>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</si>
  <si>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</si>
  <si>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</si>
  <si>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</si>
  <si>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</si>
  <si>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</si>
  <si>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</si>
  <si>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</si>
  <si>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</si>
  <si>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</si>
  <si>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</si>
  <si>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</si>
  <si>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</si>
  <si>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</si>
  <si>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</si>
  <si>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</si>
  <si>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</si>
  <si>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</si>
  <si>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</si>
  <si>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</si>
  <si>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</si>
  <si>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</si>
  <si>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</si>
  <si>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</si>
  <si>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</si>
  <si>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</si>
  <si>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</si>
  <si>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</si>
  <si>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</si>
  <si>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</si>
  <si>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</si>
  <si>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</si>
  <si>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</si>
  <si>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</si>
  <si>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</si>
  <si>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</si>
  <si>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</si>
  <si>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</si>
  <si>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</si>
  <si>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</si>
  <si>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</si>
  <si>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</si>
  <si>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</si>
  <si>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</si>
  <si>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</si>
  <si>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</si>
  <si>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</si>
  <si>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</si>
  <si>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</si>
  <si>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</si>
  <si>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</si>
  <si>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</si>
  <si>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</si>
  <si>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</si>
  <si>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</si>
  <si>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</si>
  <si>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</si>
  <si>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</si>
  <si>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</si>
  <si>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</si>
  <si>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</si>
  <si>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</si>
  <si>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</si>
  <si>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</si>
  <si>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</si>
  <si>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</si>
  <si>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</si>
  <si>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</si>
  <si>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</si>
  <si>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</si>
  <si>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</si>
  <si>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</si>
  <si>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</si>
  <si>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</si>
  <si>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</si>
  <si>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</si>
  <si>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</si>
  <si>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</si>
  <si>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</si>
  <si>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</si>
  <si>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</si>
  <si>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</si>
  <si>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</si>
  <si>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</si>
  <si>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</si>
  <si>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</si>
  <si>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</si>
  <si>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</si>
  <si>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</si>
  <si>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</si>
  <si>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</si>
  <si>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</si>
  <si>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</si>
  <si>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</si>
  <si>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</si>
  <si>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</si>
  <si>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</si>
  <si>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</si>
  <si>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</si>
  <si>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</si>
  <si>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</si>
  <si>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</si>
  <si>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</si>
  <si>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</si>
  <si>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</si>
  <si>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</si>
  <si>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</si>
  <si>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</si>
  <si>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</si>
  <si>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</si>
  <si>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</si>
  <si>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</si>
  <si>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</si>
  <si>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</si>
  <si>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</si>
  <si>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</si>
  <si>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</si>
  <si>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</si>
  <si>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</si>
  <si>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</si>
  <si>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</si>
  <si>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</si>
  <si>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</si>
  <si>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</si>
  <si>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</si>
  <si>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</si>
  <si>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</si>
  <si>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</si>
  <si>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</si>
  <si>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</si>
  <si>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</si>
  <si>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</si>
  <si>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</si>
  <si>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</si>
  <si>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</si>
  <si>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</si>
  <si>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</si>
  <si>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</si>
  <si>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</si>
  <si>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</si>
  <si>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</si>
  <si>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</si>
  <si>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</si>
  <si>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</si>
  <si>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</si>
  <si>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</si>
  <si>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</si>
  <si>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</si>
  <si>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</si>
  <si>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</si>
  <si>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</si>
  <si>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</si>
  <si>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</si>
  <si>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</si>
  <si>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</si>
  <si>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</si>
  <si>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</si>
  <si>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</si>
  <si>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</si>
  <si>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</si>
  <si>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</si>
  <si>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</si>
  <si>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</si>
  <si>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</si>
  <si>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</si>
  <si>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</si>
  <si>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</si>
  <si>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</si>
  <si>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</si>
  <si>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</si>
  <si>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</si>
  <si>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</si>
  <si>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</si>
  <si>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</si>
  <si>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</si>
  <si>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</si>
  <si>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</si>
  <si>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</si>
  <si>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</si>
  <si>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</si>
  <si>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</si>
  <si>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</si>
  <si>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</si>
  <si>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</si>
  <si>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</si>
  <si>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</si>
  <si>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</si>
  <si>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</si>
  <si>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</si>
  <si>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</si>
  <si>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</si>
  <si>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</si>
  <si>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</si>
  <si>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</si>
  <si>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</si>
  <si>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</si>
  <si>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</si>
  <si>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</si>
  <si>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</si>
  <si>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</si>
  <si>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</si>
  <si>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</si>
  <si>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</si>
  <si>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</si>
  <si>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</si>
  <si>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</si>
  <si>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</si>
  <si>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</si>
  <si>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</si>
  <si>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</si>
  <si>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</si>
  <si>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</si>
  <si>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</si>
  <si>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</si>
  <si>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</si>
  <si>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</si>
  <si>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</si>
  <si>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</si>
  <si>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</si>
  <si>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</si>
  <si>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</si>
  <si>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</si>
  <si>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</si>
  <si>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</si>
  <si>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</si>
  <si>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</si>
  <si>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</si>
  <si>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</si>
  <si>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</si>
  <si>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</si>
  <si>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</si>
  <si>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</si>
  <si>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</si>
  <si>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</si>
  <si>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</si>
  <si>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</si>
  <si>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</si>
  <si>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</si>
  <si>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</si>
  <si>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</si>
  <si>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</si>
  <si>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</si>
  <si>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</si>
  <si>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</si>
  <si>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</si>
  <si>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</si>
  <si>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</si>
  <si>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</si>
  <si>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</si>
  <si>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</si>
  <si>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</si>
  <si>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</si>
  <si>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</si>
  <si>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</si>
  <si>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</si>
  <si>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</si>
  <si>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</si>
  <si>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</si>
  <si>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</si>
  <si>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</si>
  <si>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</si>
  <si>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</si>
  <si>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</si>
  <si>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</si>
  <si>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</si>
  <si>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</si>
  <si>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</si>
  <si>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</si>
  <si>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</si>
  <si>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</si>
  <si>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</si>
  <si>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</si>
  <si>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</si>
  <si>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</si>
  <si>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</si>
  <si>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</si>
  <si>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</si>
  <si>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</si>
  <si>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</si>
  <si>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</si>
  <si>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</si>
  <si>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</si>
  <si>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</si>
  <si>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</si>
  <si>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</si>
  <si>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</si>
  <si>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</si>
  <si>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</si>
  <si>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</si>
  <si>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</si>
  <si>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</si>
  <si>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</si>
  <si>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</si>
  <si>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</si>
  <si>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</si>
  <si>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</si>
  <si>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</si>
  <si>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</si>
  <si>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</si>
  <si>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</si>
  <si>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</si>
  <si>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</si>
  <si>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</si>
  <si>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</si>
  <si>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</si>
  <si>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</si>
  <si>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</si>
  <si>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</si>
  <si>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</si>
  <si>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</si>
  <si>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</si>
  <si>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</si>
  <si>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</si>
  <si>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</si>
  <si>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</si>
  <si>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</si>
  <si>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</si>
  <si>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</si>
  <si>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</si>
  <si>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</si>
  <si>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</si>
  <si>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</si>
  <si>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</si>
  <si>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</si>
  <si>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</si>
  <si>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</si>
  <si>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</si>
  <si>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</si>
  <si>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</si>
  <si>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</si>
  <si>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</si>
  <si>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</si>
  <si>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</si>
  <si>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</si>
  <si>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</si>
  <si>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</si>
  <si>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</si>
  <si>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</si>
  <si>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</si>
  <si>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</si>
  <si>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</si>
  <si>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</si>
  <si>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</si>
  <si>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</si>
  <si>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</si>
  <si>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</si>
  <si>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</si>
  <si>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</si>
  <si>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</si>
  <si>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</si>
  <si>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</si>
  <si>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</si>
  <si>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</si>
  <si>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</si>
  <si>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</si>
  <si>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</si>
  <si>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</si>
  <si>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</si>
  <si>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</si>
  <si>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</si>
  <si>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</si>
  <si>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</si>
  <si>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</si>
  <si>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</si>
  <si>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</si>
  <si>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</si>
  <si>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</si>
  <si>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</si>
  <si>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</si>
  <si>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</si>
  <si>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</si>
  <si>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</si>
  <si>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</si>
  <si>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</si>
  <si>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</si>
  <si>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</si>
  <si>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</si>
  <si>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</si>
  <si>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</si>
  <si>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</si>
  <si>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</si>
  <si>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</si>
  <si>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</si>
  <si>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</si>
  <si>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</si>
  <si>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</si>
  <si>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</si>
  <si>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</si>
  <si>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</si>
  <si>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</si>
  <si>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</si>
  <si>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</si>
  <si>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</si>
  <si>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</si>
  <si>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</si>
  <si>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</si>
  <si>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</si>
  <si>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</si>
  <si>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</si>
  <si>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</si>
  <si>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</si>
  <si>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</si>
  <si>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</si>
  <si>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</si>
  <si>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</si>
  <si>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</si>
  <si>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</si>
  <si>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</si>
  <si>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</si>
  <si>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</si>
  <si>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</si>
  <si>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</si>
  <si>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</si>
  <si>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</si>
  <si>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</si>
  <si>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</si>
  <si>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</si>
  <si>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</si>
  <si>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</si>
  <si>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</si>
  <si>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</si>
  <si>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</si>
  <si>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</si>
  <si>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</si>
  <si>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</si>
  <si>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</si>
  <si>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</si>
  <si>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</si>
  <si>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</si>
  <si>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</si>
  <si>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</si>
  <si>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</si>
  <si>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</si>
  <si>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</si>
  <si>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</si>
  <si>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</si>
  <si>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</si>
  <si>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</si>
  <si>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</si>
  <si>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</si>
  <si>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</si>
  <si>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</si>
  <si>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</si>
  <si>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</si>
  <si>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</si>
  <si>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</si>
  <si>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</si>
  <si>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</si>
  <si>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</si>
  <si>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</si>
  <si>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</si>
  <si>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</si>
  <si>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</si>
  <si>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</si>
  <si>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</si>
  <si>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</si>
  <si>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</si>
  <si>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</si>
  <si>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</si>
  <si>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</si>
  <si>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</si>
  <si>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</si>
  <si>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</si>
  <si>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</si>
  <si>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</si>
  <si>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</si>
  <si>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</si>
  <si>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</si>
  <si>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</si>
  <si>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</si>
  <si>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</si>
  <si>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</si>
  <si>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</si>
  <si>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</si>
  <si>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</si>
  <si>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</si>
  <si>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</si>
  <si>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</si>
  <si>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</si>
  <si>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</si>
  <si>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</si>
  <si>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</si>
  <si>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</si>
  <si>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</si>
  <si>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</si>
  <si>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</si>
  <si>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</si>
  <si>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</si>
  <si>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</si>
  <si>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</si>
  <si>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</si>
  <si>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</si>
  <si>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</si>
  <si>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</si>
  <si>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</si>
  <si>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</si>
  <si>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</si>
  <si>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</si>
  <si>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</si>
  <si>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</si>
  <si>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</si>
  <si>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</si>
  <si>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</si>
  <si>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</si>
  <si>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</si>
  <si>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</si>
  <si>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</si>
  <si>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</si>
  <si>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</si>
  <si>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</si>
  <si>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</si>
  <si>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</si>
  <si>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</si>
  <si>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</si>
  <si>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</si>
  <si>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</si>
  <si>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</si>
  <si>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</si>
  <si>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</si>
  <si>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</si>
  <si>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</si>
  <si>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</si>
  <si>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</si>
  <si>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</si>
  <si>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</si>
  <si>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</si>
  <si>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</si>
  <si>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</si>
  <si>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</si>
  <si>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</si>
  <si>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</si>
  <si>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</si>
  <si>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</si>
  <si>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</si>
  <si>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</si>
  <si>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</si>
  <si>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</si>
  <si>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</si>
  <si>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</si>
  <si>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</si>
  <si>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</si>
  <si>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</si>
  <si>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</si>
  <si>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</si>
  <si>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</si>
  <si>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</si>
  <si>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</si>
  <si>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</si>
  <si>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</si>
  <si>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</si>
  <si>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</si>
  <si>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</si>
  <si>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</si>
  <si>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</si>
  <si>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</si>
  <si>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</si>
  <si>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</si>
  <si>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</si>
  <si>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</si>
  <si>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</si>
  <si>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</si>
  <si>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</si>
  <si>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</si>
  <si>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</si>
  <si>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</si>
  <si>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</si>
  <si>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</si>
  <si>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</si>
  <si>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</si>
  <si>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</si>
  <si>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</si>
  <si>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</si>
  <si>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</si>
  <si>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</si>
  <si>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</si>
  <si>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</si>
  <si>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</si>
  <si>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</si>
  <si>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</si>
  <si>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</si>
  <si>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</si>
  <si>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</si>
  <si>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</si>
  <si>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</si>
  <si>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</si>
  <si>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</si>
  <si>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</si>
  <si>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</si>
  <si>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</si>
  <si>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</si>
  <si>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</si>
  <si>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</si>
  <si>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</si>
  <si>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</si>
  <si>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</si>
  <si>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</si>
  <si>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</si>
  <si>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</si>
  <si>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</si>
  <si>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</si>
  <si>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</si>
  <si>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</si>
  <si>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</si>
  <si>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</si>
  <si>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</si>
  <si>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</si>
  <si>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</si>
  <si>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</si>
  <si>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</si>
  <si>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</si>
  <si>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</si>
  <si>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</si>
  <si>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</si>
  <si>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</si>
  <si>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</si>
  <si>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</si>
  <si>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</si>
  <si>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</si>
  <si>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</si>
  <si>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</si>
  <si>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</si>
  <si>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</si>
  <si>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</si>
  <si>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</si>
  <si>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</si>
  <si>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</si>
  <si>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</si>
  <si>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</si>
  <si>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</si>
  <si>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</si>
  <si>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</si>
  <si>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</si>
  <si>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</si>
  <si>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</si>
  <si>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</si>
  <si>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</si>
  <si>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</si>
  <si>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</si>
  <si>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</si>
  <si>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</si>
  <si>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</si>
  <si>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</si>
  <si>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</si>
  <si>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</si>
  <si>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</si>
  <si>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</si>
  <si>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</si>
  <si>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</si>
  <si>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</si>
  <si>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</si>
  <si>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</si>
  <si>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</si>
  <si>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</si>
  <si>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</si>
  <si>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</si>
  <si>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</si>
  <si>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</si>
  <si>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</si>
  <si>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</si>
  <si>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</si>
  <si>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</si>
  <si>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</si>
  <si>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</si>
  <si>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</si>
  <si>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</si>
  <si>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</si>
  <si>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</si>
  <si>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</si>
  <si>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</si>
  <si>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</si>
  <si>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</si>
  <si>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</si>
  <si>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</si>
  <si>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</si>
  <si>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</si>
  <si>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</si>
  <si>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</si>
  <si>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</si>
  <si>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</si>
  <si>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</si>
  <si>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</si>
  <si>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</si>
  <si>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</si>
  <si>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</si>
  <si>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</si>
  <si>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</si>
  <si>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</si>
  <si>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</si>
  <si>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</si>
  <si>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</si>
  <si>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</si>
  <si>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</si>
  <si>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</si>
  <si>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</si>
  <si>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</si>
  <si>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</si>
  <si>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</si>
  <si>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</si>
  <si>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</si>
  <si>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</si>
  <si>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</si>
  <si>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</si>
  <si>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</si>
  <si>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</si>
  <si>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</si>
  <si>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</si>
  <si>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</si>
  <si>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</si>
  <si>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</si>
  <si>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</si>
  <si>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</si>
  <si>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</si>
  <si>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</si>
  <si>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</si>
  <si>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</si>
  <si>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</si>
  <si>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</si>
  <si>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</si>
  <si>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</si>
  <si>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</si>
  <si>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</si>
  <si>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</si>
  <si>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</si>
  <si>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</si>
  <si>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</si>
  <si>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</si>
  <si>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</si>
  <si>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</si>
  <si>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</si>
  <si>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</si>
  <si>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</si>
  <si>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</si>
  <si>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</si>
  <si>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</si>
  <si>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</si>
  <si>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</si>
  <si>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</si>
  <si>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</si>
  <si>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</si>
  <si>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</si>
  <si>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</si>
  <si>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</si>
  <si>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</si>
  <si>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</si>
  <si>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</si>
  <si>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</si>
  <si>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</si>
  <si>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</si>
  <si>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</si>
  <si>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</si>
  <si>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</si>
  <si>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</si>
  <si>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</si>
  <si>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</si>
  <si>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</si>
  <si>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</si>
  <si>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</si>
  <si>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</si>
  <si>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</si>
  <si>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</si>
  <si>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</si>
  <si>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</si>
  <si>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</si>
  <si>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</si>
  <si>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</si>
  <si>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</si>
  <si>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</si>
  <si>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</si>
  <si>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</si>
  <si>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</si>
  <si>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</si>
  <si>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</si>
  <si>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</si>
  <si>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</si>
  <si>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</si>
  <si>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</si>
  <si>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</si>
  <si>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</si>
  <si>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</si>
  <si>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</si>
  <si>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</si>
  <si>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</si>
  <si>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</si>
  <si>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</si>
  <si>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</si>
  <si>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</si>
  <si>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</si>
  <si>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</si>
  <si>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</si>
  <si>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</si>
  <si>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</si>
  <si>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</si>
  <si>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</si>
  <si>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</si>
  <si>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</si>
  <si>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</si>
  <si>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</si>
  <si>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</si>
  <si>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</si>
  <si>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</si>
  <si>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</si>
  <si>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</si>
  <si>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</si>
  <si>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</si>
  <si>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</si>
  <si>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</si>
  <si>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</si>
  <si>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</si>
  <si>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</si>
  <si>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</si>
  <si>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</si>
  <si>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</si>
  <si>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</si>
  <si>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</si>
  <si>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</si>
  <si>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</si>
  <si>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</si>
  <si>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</si>
  <si>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</si>
  <si>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</si>
  <si>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</si>
  <si>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</si>
  <si>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</si>
  <si>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</si>
  <si>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</si>
  <si>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</si>
  <si>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</si>
  <si>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</si>
  <si>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</si>
  <si>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</si>
  <si>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</si>
  <si>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</si>
  <si>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</si>
  <si>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</si>
  <si>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</si>
  <si>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</si>
  <si>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</si>
  <si>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</si>
  <si>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</si>
  <si>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</si>
  <si>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</si>
  <si>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</si>
  <si>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</si>
  <si>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</si>
  <si>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</si>
  <si>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</si>
  <si>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</si>
  <si>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</si>
  <si>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</si>
  <si>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</si>
  <si>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</si>
  <si>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</si>
  <si>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</si>
  <si>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</si>
  <si>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</si>
  <si>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</si>
  <si>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</si>
  <si>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</si>
  <si>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</si>
  <si>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</si>
  <si>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</si>
  <si>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</si>
  <si>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</si>
  <si>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</si>
  <si>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</si>
  <si>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</si>
  <si>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</si>
  <si>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</si>
  <si>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</si>
  <si>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</si>
  <si>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</si>
  <si>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</si>
  <si>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</si>
  <si>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</si>
  <si>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</si>
  <si>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</si>
  <si>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</si>
  <si>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</si>
  <si>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</si>
  <si>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</si>
  <si>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</si>
  <si>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</si>
  <si>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</si>
  <si>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</si>
  <si>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</si>
  <si>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</si>
  <si>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</si>
  <si>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</si>
  <si>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</si>
  <si>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</si>
  <si>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</si>
  <si>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</si>
  <si>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</si>
  <si>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</si>
  <si>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</si>
  <si>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</si>
  <si>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</si>
  <si>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</si>
  <si>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</si>
  <si>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</si>
  <si>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</si>
  <si>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</si>
  <si>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</si>
  <si>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</si>
  <si>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</si>
  <si>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</si>
  <si>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</si>
  <si>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</si>
  <si>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</si>
  <si>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</si>
  <si>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</si>
  <si>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</si>
  <si>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</si>
  <si>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</si>
  <si>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</si>
  <si>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</si>
  <si>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</si>
  <si>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</si>
  <si>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</si>
  <si>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</si>
  <si>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</si>
  <si>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</si>
  <si>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</si>
  <si>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</si>
  <si>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</si>
  <si>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</si>
  <si>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</si>
  <si>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</si>
  <si>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</si>
  <si>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</si>
  <si>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</si>
  <si>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</si>
  <si>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</si>
  <si>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</si>
  <si>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</si>
  <si>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</si>
  <si>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</si>
  <si>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</si>
  <si>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</si>
  <si>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</si>
  <si>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</si>
  <si>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</si>
  <si>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</si>
  <si>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</si>
  <si>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</si>
  <si>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</si>
  <si>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</si>
  <si>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</si>
  <si>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</si>
  <si>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</si>
  <si>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</si>
  <si>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</si>
  <si>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</si>
  <si>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</si>
  <si>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</si>
  <si>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</si>
  <si>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</si>
  <si>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</si>
  <si>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</si>
  <si>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</si>
  <si>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</si>
  <si>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</si>
  <si>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</si>
  <si>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</si>
  <si>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</si>
  <si>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</si>
  <si>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</si>
  <si>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</si>
  <si>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</si>
  <si>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</si>
  <si>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</si>
  <si>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</si>
  <si>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</si>
  <si>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</si>
  <si>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</si>
  <si>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</si>
  <si>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</si>
  <si>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</si>
  <si>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</si>
  <si>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</si>
  <si>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</si>
  <si>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</si>
  <si>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</si>
  <si>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</si>
  <si>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</si>
  <si>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</si>
  <si>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</si>
  <si>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</si>
  <si>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</si>
  <si>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</si>
  <si>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</si>
  <si>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</si>
  <si>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</si>
  <si>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</si>
  <si>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</si>
  <si>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</si>
  <si>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</si>
  <si>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</si>
  <si>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</si>
  <si>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</si>
  <si>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</si>
  <si>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</si>
  <si>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</si>
  <si>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</si>
  <si>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</si>
  <si>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</si>
  <si>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</si>
  <si>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</si>
  <si>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</si>
  <si>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</si>
  <si>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</si>
  <si>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</si>
  <si>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</si>
  <si>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</si>
  <si>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</si>
  <si>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</si>
  <si>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</si>
  <si>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</si>
  <si>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</si>
  <si>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</si>
  <si>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</si>
  <si>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</si>
  <si>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</si>
  <si>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</si>
  <si>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</si>
  <si>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</si>
  <si>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</si>
  <si>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</si>
  <si>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</si>
  <si>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</si>
  <si>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</si>
  <si>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</si>
  <si>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</si>
  <si>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</si>
  <si>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</si>
  <si>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</si>
  <si>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</si>
  <si>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</si>
  <si>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</si>
  <si>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</si>
  <si>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</si>
  <si>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</si>
  <si>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</si>
  <si>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</si>
  <si>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</si>
  <si>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</si>
  <si>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</si>
  <si>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</si>
  <si>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</si>
  <si>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</si>
  <si>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</si>
  <si>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</si>
  <si>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</si>
  <si>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</si>
  <si>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</si>
  <si>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</si>
  <si>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</si>
  <si>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</si>
  <si>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</si>
  <si>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</si>
  <si>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</si>
  <si>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</si>
  <si>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</si>
  <si>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</si>
  <si>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</si>
  <si>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</si>
  <si>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</si>
  <si>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</si>
  <si>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</si>
  <si>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</si>
  <si>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</si>
  <si>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</si>
  <si>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</si>
  <si>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</si>
  <si>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</si>
  <si>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</si>
  <si>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</si>
  <si>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</si>
  <si>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</si>
  <si>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</si>
  <si>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</si>
  <si>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</si>
  <si>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</si>
  <si>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</si>
  <si>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</si>
  <si>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</si>
  <si>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</si>
  <si>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</si>
  <si>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</si>
  <si>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</si>
  <si>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</si>
  <si>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</si>
  <si>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</si>
  <si>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</si>
  <si>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</si>
  <si>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</si>
  <si>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</si>
  <si>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</si>
  <si>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</si>
  <si>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</si>
  <si>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</si>
  <si>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</si>
  <si>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</si>
  <si>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</si>
  <si>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</si>
  <si>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</si>
  <si>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</si>
  <si>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</si>
  <si>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</si>
  <si>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</si>
  <si>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</si>
  <si>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</si>
  <si>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</si>
  <si>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</si>
  <si>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</si>
  <si>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</si>
  <si>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</si>
  <si>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</si>
  <si>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</si>
  <si>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</si>
  <si>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</si>
  <si>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</si>
  <si>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</si>
  <si>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</si>
  <si>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</si>
  <si>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</si>
  <si>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</si>
  <si>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</si>
  <si>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</si>
  <si>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</si>
  <si>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</si>
  <si>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</si>
  <si>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</si>
  <si>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</si>
  <si>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</si>
  <si>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</si>
  <si>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</si>
  <si>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</si>
  <si>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</si>
  <si>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</si>
  <si>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</si>
  <si>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</si>
  <si>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</si>
  <si>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</si>
  <si>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</si>
  <si>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</si>
  <si>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</si>
  <si>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</si>
  <si>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</si>
  <si>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</si>
  <si>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</si>
  <si>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</si>
  <si>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</si>
  <si>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</si>
  <si>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</si>
  <si>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</si>
  <si>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</si>
  <si>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</si>
  <si>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</si>
  <si>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</si>
  <si>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</si>
  <si>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</si>
  <si>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</si>
  <si>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</si>
  <si>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</si>
  <si>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</si>
  <si>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</si>
  <si>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</si>
  <si>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</si>
  <si>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</si>
  <si>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</si>
  <si>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</si>
  <si>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</si>
  <si>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</si>
  <si>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</si>
  <si>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</si>
  <si>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</si>
  <si>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</si>
  <si>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</si>
  <si>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</si>
  <si>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</si>
  <si>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</si>
  <si>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</si>
  <si>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</si>
  <si>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</si>
  <si>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</si>
  <si>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</si>
  <si>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</si>
  <si>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</si>
  <si>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</si>
  <si>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</si>
  <si>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</si>
  <si>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</si>
  <si>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</si>
  <si>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</si>
  <si>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</si>
  <si>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</si>
  <si>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</si>
  <si>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</si>
  <si>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</si>
  <si>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</si>
  <si>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</si>
  <si>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</si>
  <si>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</si>
  <si>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</si>
  <si>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</si>
  <si>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</si>
  <si>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</si>
  <si>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</si>
  <si>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</si>
  <si>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</si>
  <si>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</si>
  <si>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</si>
  <si>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</si>
  <si>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</si>
  <si>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</si>
  <si>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</si>
  <si>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</si>
  <si>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</si>
  <si>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</si>
  <si>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</si>
  <si>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</si>
  <si>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</si>
  <si>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</si>
  <si>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</si>
  <si>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</si>
  <si>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</si>
  <si>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</si>
  <si>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</si>
  <si>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</si>
  <si>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</si>
  <si>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</si>
  <si>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</si>
  <si>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</si>
  <si>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</si>
  <si>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</si>
  <si>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</si>
  <si>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</si>
  <si>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</si>
  <si>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</si>
  <si>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</si>
  <si>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</si>
  <si>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</si>
  <si>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</si>
  <si>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</si>
  <si>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</si>
  <si>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</si>
  <si>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</si>
  <si>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</si>
  <si>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</si>
  <si>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</si>
  <si>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</si>
  <si>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</si>
  <si>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</si>
  <si>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</si>
  <si>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</si>
  <si>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</si>
  <si>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</si>
  <si>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</si>
  <si>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</si>
  <si>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</si>
  <si>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</si>
  <si>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</si>
  <si>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</si>
  <si>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</si>
  <si>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</si>
  <si>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</si>
  <si>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</si>
  <si>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</si>
  <si>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</si>
  <si>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</si>
  <si>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</si>
  <si>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</si>
  <si>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</si>
  <si>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</si>
  <si>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</si>
  <si>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</si>
  <si>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</si>
  <si>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</si>
  <si>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</si>
  <si>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</si>
  <si>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</si>
  <si>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</si>
  <si>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</si>
  <si>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</si>
  <si>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</si>
  <si>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</si>
  <si>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</si>
  <si>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</si>
  <si>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</si>
  <si>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</si>
  <si>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</si>
  <si>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</si>
  <si>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</si>
  <si>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</si>
  <si>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</si>
  <si>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</si>
  <si>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</si>
  <si>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</si>
  <si>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</si>
  <si>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</si>
  <si>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</si>
  <si>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</si>
  <si>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</si>
  <si>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</si>
  <si>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</si>
  <si>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</si>
  <si>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</si>
  <si>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</si>
  <si>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</si>
  <si>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</si>
  <si>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</si>
  <si>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</si>
  <si>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</si>
  <si>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</si>
  <si>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</si>
  <si>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</si>
  <si>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</si>
  <si>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</si>
  <si>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</si>
  <si>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</si>
  <si>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</si>
  <si>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</si>
  <si>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</si>
  <si>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</si>
  <si>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</si>
  <si>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</si>
  <si>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</si>
  <si>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</si>
  <si>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</si>
  <si>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</si>
  <si>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</si>
  <si>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</si>
  <si>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</si>
  <si>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</si>
  <si>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</si>
  <si>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</si>
  <si>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</si>
  <si>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</si>
  <si>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</si>
  <si>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</si>
  <si>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</si>
  <si>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</si>
  <si>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</si>
  <si>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</si>
  <si>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</si>
  <si>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</si>
  <si>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</si>
  <si>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</si>
  <si>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</si>
  <si>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</si>
  <si>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</si>
  <si>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</si>
  <si>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</si>
  <si>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</si>
  <si>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</si>
  <si>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</si>
  <si>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</si>
  <si>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</si>
  <si>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</si>
  <si>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</si>
  <si>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</si>
  <si>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</si>
  <si>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</si>
  <si>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</si>
  <si>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</si>
  <si>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</si>
  <si>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</si>
  <si>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</si>
  <si>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</si>
  <si>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</si>
  <si>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</si>
  <si>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</si>
  <si>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</si>
  <si>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</si>
  <si>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</si>
  <si>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</si>
  <si>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</si>
  <si>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</si>
  <si>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</si>
  <si>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</si>
  <si>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</si>
  <si>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</si>
  <si>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</si>
  <si>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</si>
  <si>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</si>
  <si>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</si>
  <si>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</si>
  <si>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</si>
  <si>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</si>
  <si>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</si>
  <si>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</si>
  <si>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</si>
  <si>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</si>
  <si>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</si>
  <si>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</si>
  <si>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</si>
  <si>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</si>
  <si>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</si>
  <si>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</si>
  <si>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</si>
  <si>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</si>
  <si>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</si>
  <si>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</si>
  <si>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</si>
  <si>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</si>
  <si>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</si>
  <si>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</si>
  <si>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</si>
  <si>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</si>
  <si>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</si>
  <si>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</si>
  <si>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</si>
  <si>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</si>
  <si>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</si>
  <si>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</si>
  <si>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</si>
  <si>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</si>
  <si>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</si>
  <si>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</si>
  <si>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</si>
  <si>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</si>
  <si>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</si>
  <si>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</si>
  <si>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</si>
  <si>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</si>
  <si>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</si>
  <si>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</si>
  <si>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</si>
  <si>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</si>
  <si>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</si>
  <si>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</si>
  <si>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</si>
  <si>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</si>
  <si>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</si>
  <si>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</si>
  <si>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</si>
  <si>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</si>
  <si>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</si>
  <si>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</si>
  <si>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</si>
  <si>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</si>
  <si>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</si>
  <si>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</si>
  <si>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</si>
  <si>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</si>
  <si>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</si>
  <si>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</si>
  <si>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</si>
  <si>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</si>
  <si>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</si>
  <si>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</si>
  <si>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</si>
  <si>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</si>
  <si>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</si>
  <si>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</si>
  <si>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</si>
  <si>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</si>
  <si>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</si>
  <si>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</si>
  <si>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</si>
  <si>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</si>
  <si>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</si>
  <si>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</si>
  <si>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</si>
  <si>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</si>
  <si>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</si>
  <si>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</si>
  <si>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</si>
  <si>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</si>
  <si>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</si>
  <si>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</si>
  <si>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</si>
  <si>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</si>
  <si>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</si>
  <si>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</si>
  <si>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</si>
  <si>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</si>
  <si>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</si>
  <si>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</si>
  <si>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</si>
  <si>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</si>
  <si>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</si>
  <si>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</si>
  <si>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</si>
  <si>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</si>
  <si>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</si>
  <si>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</si>
  <si>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</si>
  <si>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</si>
  <si>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</si>
  <si>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</si>
  <si>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</si>
  <si>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</si>
  <si>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</si>
  <si>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</si>
  <si>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</si>
  <si>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</si>
  <si>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</si>
  <si>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</si>
  <si>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</si>
  <si>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</si>
  <si>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</si>
  <si>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</si>
  <si>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</si>
  <si>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</si>
  <si>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</si>
  <si>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</si>
  <si>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</si>
  <si>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</si>
  <si>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</si>
  <si>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</si>
  <si>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</si>
  <si>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</si>
  <si>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</si>
  <si>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</si>
  <si>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</si>
  <si>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</si>
  <si>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</si>
  <si>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</si>
  <si>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</si>
  <si>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</si>
  <si>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</si>
  <si>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</si>
  <si>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</si>
  <si>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</si>
  <si>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</si>
  <si>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</si>
  <si>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</si>
  <si>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</si>
  <si>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</si>
  <si>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</si>
  <si>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</si>
  <si>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</si>
  <si>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</si>
  <si>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</si>
  <si>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</si>
  <si>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</si>
  <si>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</si>
  <si>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</si>
  <si>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</si>
  <si>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</si>
  <si>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</si>
  <si>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</si>
  <si>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</si>
  <si>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</si>
  <si>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</si>
  <si>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</si>
  <si>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</si>
  <si>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</si>
  <si>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</si>
  <si>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</si>
  <si>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</si>
  <si>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</si>
  <si>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</si>
  <si>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</si>
  <si>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</si>
  <si>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</si>
  <si>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</si>
  <si>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</si>
  <si>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</si>
  <si>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</si>
  <si>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</si>
  <si>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</si>
  <si>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</si>
  <si>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</si>
  <si>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</si>
  <si>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</si>
  <si>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</si>
  <si>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</si>
  <si>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</si>
  <si>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</si>
  <si>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</si>
  <si>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</si>
  <si>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</si>
  <si>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</si>
  <si>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</si>
  <si>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</si>
  <si>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</si>
  <si>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</si>
  <si>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</si>
  <si>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</si>
  <si>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</si>
  <si>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</si>
  <si>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</si>
  <si>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</si>
  <si>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</si>
  <si>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</si>
  <si>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</si>
  <si>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</si>
  <si>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</si>
  <si>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</si>
  <si>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</si>
  <si>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</si>
  <si>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</si>
  <si>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</si>
  <si>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</si>
  <si>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</si>
  <si>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</si>
  <si>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</si>
  <si>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</si>
  <si>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</si>
  <si>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</si>
  <si>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</si>
  <si>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</si>
  <si>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</si>
  <si>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</si>
  <si>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</si>
  <si>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</si>
  <si>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</si>
  <si>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</si>
  <si>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</si>
  <si>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</si>
  <si>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</si>
  <si>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</si>
  <si>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</si>
  <si>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</si>
  <si>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</si>
  <si>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</si>
  <si>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</si>
  <si>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</si>
  <si>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</si>
  <si>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</si>
  <si>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</si>
  <si>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</si>
  <si>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</si>
  <si>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</si>
  <si>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</si>
  <si>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</si>
  <si>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</si>
  <si>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</si>
  <si>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</si>
  <si>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</si>
  <si>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</si>
  <si>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</si>
  <si>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</si>
  <si>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</si>
  <si>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</si>
  <si>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</si>
  <si>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</si>
  <si>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</si>
  <si>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</si>
  <si>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</si>
  <si>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</si>
  <si>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</si>
  <si>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</si>
  <si>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</si>
  <si>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</si>
  <si>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</si>
  <si>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</si>
  <si>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</si>
  <si>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</si>
  <si>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</si>
  <si>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</si>
  <si>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</si>
  <si>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</si>
  <si>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</si>
  <si>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</si>
  <si>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</si>
  <si>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</si>
  <si>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</si>
  <si>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</si>
  <si>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</si>
  <si>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</si>
  <si>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</si>
  <si>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</si>
  <si>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</si>
  <si>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</si>
  <si>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</si>
  <si>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</si>
  <si>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</si>
  <si>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</si>
  <si>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</si>
  <si>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</si>
  <si>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</si>
  <si>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</si>
  <si>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</si>
  <si>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</si>
  <si>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</si>
  <si>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</si>
  <si>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</si>
  <si>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</si>
  <si>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</si>
  <si>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</si>
  <si>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</si>
  <si>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</si>
  <si>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</si>
  <si>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</si>
  <si>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</si>
  <si>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</si>
  <si>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</si>
  <si>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</si>
  <si>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</si>
  <si>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</si>
  <si>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</si>
  <si>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</si>
  <si>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</si>
  <si>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</si>
  <si>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</si>
  <si>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</si>
  <si>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</si>
  <si>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</si>
  <si>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</si>
  <si>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</si>
  <si>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</si>
  <si>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</si>
  <si>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</si>
  <si>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</si>
  <si>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</si>
  <si>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</si>
  <si>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</si>
  <si>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</si>
  <si>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</si>
  <si>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</si>
  <si>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</si>
  <si>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</si>
  <si>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</si>
  <si>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</si>
  <si>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</si>
  <si>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</si>
  <si>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</si>
  <si>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</si>
  <si>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</si>
  <si>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</si>
  <si>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</si>
  <si>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</si>
  <si>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</si>
  <si>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</si>
  <si>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</si>
  <si>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</si>
  <si>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</si>
  <si>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</si>
  <si>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</si>
  <si>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</si>
  <si>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</si>
  <si>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</si>
  <si>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</si>
  <si>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</si>
  <si>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</si>
  <si>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</si>
  <si>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</si>
  <si>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</si>
  <si>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</si>
  <si>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</si>
  <si>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</si>
  <si>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</si>
  <si>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</si>
  <si>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</si>
  <si>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</si>
  <si>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</si>
  <si>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</si>
  <si>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</si>
  <si>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</si>
  <si>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</si>
  <si>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</si>
  <si>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</si>
  <si>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</si>
  <si>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</si>
  <si>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</si>
  <si>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</si>
  <si>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</si>
  <si>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</si>
  <si>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</si>
  <si>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</si>
  <si>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</si>
  <si>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</si>
  <si>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</si>
  <si>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</si>
  <si>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</si>
  <si>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</si>
  <si>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</si>
  <si>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</si>
  <si>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</si>
  <si>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</si>
  <si>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</si>
  <si>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</si>
  <si>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</si>
  <si>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</si>
  <si>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</si>
  <si>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</si>
  <si>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</si>
  <si>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</si>
  <si>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</si>
  <si>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</si>
  <si>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</si>
  <si>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</si>
  <si>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</si>
  <si>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</si>
  <si>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</si>
  <si>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</si>
  <si>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</si>
  <si>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</si>
  <si>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</si>
  <si>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</si>
  <si>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</si>
  <si>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</si>
  <si>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</si>
  <si>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</si>
  <si>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</si>
  <si>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</si>
  <si>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</si>
  <si>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</si>
  <si>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</si>
  <si>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</si>
  <si>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</si>
  <si>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</si>
  <si>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</si>
  <si>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</si>
  <si>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</si>
  <si>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</si>
  <si>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</si>
  <si>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</si>
  <si>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</si>
  <si>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</si>
  <si>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</si>
  <si>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</si>
  <si>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</si>
  <si>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</si>
  <si>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</si>
  <si>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</si>
  <si>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</si>
  <si>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</si>
  <si>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</si>
  <si>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</si>
  <si>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</si>
  <si>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</si>
  <si>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</si>
  <si>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</si>
  <si>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</si>
  <si>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</si>
  <si>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</si>
  <si>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</si>
  <si>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</si>
  <si>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</si>
  <si>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</si>
  <si>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</si>
  <si>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</si>
  <si>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</si>
  <si>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</si>
  <si>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</si>
  <si>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</si>
  <si>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</si>
  <si>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</si>
  <si>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</si>
  <si>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</si>
  <si>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</si>
  <si>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</si>
  <si>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</si>
  <si>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</si>
  <si>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</si>
  <si>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</si>
  <si>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</si>
  <si>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</si>
  <si>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</si>
  <si>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</si>
  <si>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</si>
  <si>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</si>
  <si>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</si>
  <si>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</si>
  <si>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</si>
  <si>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</si>
  <si>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</si>
  <si>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</si>
  <si>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</si>
  <si>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</si>
  <si>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</si>
  <si>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</si>
  <si>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</si>
  <si>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</si>
  <si>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</si>
  <si>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</si>
  <si>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</si>
  <si>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</si>
  <si>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</si>
  <si>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</si>
  <si>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</si>
  <si>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</si>
  <si>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</si>
  <si>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</si>
  <si>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</si>
  <si>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</si>
  <si>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</si>
  <si>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</si>
  <si>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</si>
  <si>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</si>
  <si>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</si>
  <si>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</si>
  <si>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</si>
  <si>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</si>
  <si>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</si>
  <si>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</si>
  <si>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</si>
  <si>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</si>
  <si>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</si>
  <si>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</si>
  <si>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</si>
  <si>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</si>
  <si>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</si>
  <si>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</si>
  <si>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</si>
  <si>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</si>
  <si>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</si>
  <si>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</si>
  <si>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</si>
  <si>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</si>
  <si>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</si>
  <si>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</si>
  <si>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</si>
  <si>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</si>
  <si>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</si>
  <si>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</si>
  <si>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</si>
  <si>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</si>
  <si>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</si>
  <si>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</si>
  <si>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</si>
  <si>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</si>
  <si>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</si>
  <si>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</si>
  <si>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</si>
  <si>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</si>
  <si>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</si>
  <si>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</si>
  <si>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</si>
  <si>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</si>
  <si>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</si>
  <si>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</si>
  <si>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</si>
  <si>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</si>
  <si>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</si>
  <si>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</si>
  <si>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</si>
  <si>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</si>
  <si>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</si>
  <si>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</si>
  <si>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</si>
  <si>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</si>
  <si>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</si>
  <si>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</si>
  <si>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</si>
  <si>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</si>
  <si>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</si>
  <si>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</si>
  <si>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</si>
  <si>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</si>
  <si>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</si>
  <si>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</si>
  <si>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</si>
  <si>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</si>
  <si>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</si>
  <si>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</si>
  <si>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</si>
  <si>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</si>
  <si>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</si>
  <si>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</si>
  <si>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</si>
  <si>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</si>
  <si>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</si>
  <si>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</si>
  <si>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</si>
  <si>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</si>
  <si>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</si>
  <si>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</si>
  <si>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</si>
  <si>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</si>
  <si>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</si>
  <si>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</si>
  <si>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</si>
  <si>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</si>
  <si>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</si>
  <si>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</si>
  <si>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</si>
  <si>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</si>
  <si>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</si>
  <si>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</si>
  <si>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</si>
  <si>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</si>
  <si>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</si>
  <si>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</si>
  <si>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</si>
  <si>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</si>
  <si>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</si>
  <si>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</si>
  <si>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</si>
  <si>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</si>
  <si>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</si>
  <si>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</si>
  <si>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</si>
  <si>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</si>
  <si>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</si>
  <si>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</si>
  <si>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</si>
  <si>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</si>
  <si>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</si>
  <si>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</si>
  <si>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</si>
  <si>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</si>
  <si>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</si>
  <si>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</si>
  <si>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</si>
  <si>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</si>
  <si>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</si>
  <si>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</si>
  <si>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</si>
  <si>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</si>
  <si>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</si>
  <si>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</si>
  <si>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</si>
  <si>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</si>
  <si>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</si>
  <si>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</si>
  <si>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</si>
  <si>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</si>
  <si>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</si>
  <si>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</si>
  <si>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</si>
  <si>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</si>
  <si>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</si>
  <si>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</si>
  <si>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</si>
  <si>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</si>
  <si>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</si>
  <si>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</si>
  <si>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</si>
  <si>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</si>
  <si>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</si>
  <si>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</si>
  <si>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</si>
  <si>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</si>
  <si>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</si>
  <si>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</si>
  <si>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</si>
  <si>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</si>
  <si>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</si>
  <si>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</si>
  <si>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</si>
  <si>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</si>
  <si>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</si>
  <si>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</si>
  <si>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</si>
  <si>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</si>
  <si>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</si>
  <si>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</si>
  <si>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</si>
  <si>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</si>
  <si>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</si>
  <si>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</si>
  <si>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</si>
  <si>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</si>
  <si>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</si>
  <si>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</si>
  <si>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</si>
  <si>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</si>
  <si>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</si>
  <si>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</si>
  <si>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</si>
  <si>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</si>
  <si>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</si>
  <si>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</si>
  <si>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</si>
  <si>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</si>
  <si>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</si>
  <si>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</si>
  <si>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</si>
  <si>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</si>
  <si>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</si>
  <si>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</si>
  <si>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</si>
  <si>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</si>
  <si>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</si>
  <si>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</si>
  <si>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</si>
  <si>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</si>
  <si>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</si>
  <si>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</si>
  <si>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</si>
  <si>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</si>
  <si>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</si>
  <si>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</si>
  <si>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</si>
  <si>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</si>
  <si>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</si>
  <si>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</si>
  <si>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</si>
  <si>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</si>
  <si>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</si>
  <si>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</si>
  <si>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</si>
  <si>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</si>
  <si>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</si>
  <si>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</si>
  <si>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</si>
  <si>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</si>
  <si>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</si>
  <si>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</si>
  <si>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</si>
  <si>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</si>
  <si>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</si>
  <si>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</si>
  <si>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</si>
  <si>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</si>
  <si>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</si>
  <si>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</si>
  <si>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</si>
  <si>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</si>
  <si>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</si>
  <si>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</si>
  <si>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</si>
  <si>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</si>
  <si>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</si>
  <si>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</si>
  <si>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</si>
  <si>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</si>
  <si>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</si>
  <si>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</si>
  <si>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</si>
  <si>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</si>
  <si>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</si>
  <si>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</si>
  <si>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</si>
  <si>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</si>
  <si>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</si>
  <si>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</si>
  <si>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</si>
  <si>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</si>
  <si>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</si>
  <si>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</si>
  <si>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</si>
  <si>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</si>
  <si>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</si>
  <si>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</si>
  <si>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</si>
  <si>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</si>
  <si>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</si>
  <si>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</si>
  <si>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</si>
  <si>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</si>
  <si>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</si>
  <si>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</si>
  <si>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</si>
  <si>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</si>
  <si>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</si>
  <si>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</si>
  <si>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</si>
  <si>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</si>
  <si>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</si>
  <si>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</si>
  <si>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</si>
  <si>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</si>
  <si>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</si>
  <si>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</si>
  <si>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</si>
  <si>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</si>
  <si>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</si>
  <si>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</si>
  <si>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</si>
  <si>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</si>
  <si>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</si>
  <si>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</si>
  <si>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</si>
  <si>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</si>
  <si>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</si>
  <si>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</si>
  <si>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</si>
  <si>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</si>
  <si>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</si>
  <si>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</si>
  <si>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</si>
  <si>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</si>
  <si>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</si>
  <si>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</si>
  <si>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</si>
  <si>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</si>
  <si>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</si>
  <si>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</si>
  <si>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</si>
  <si>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</si>
  <si>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</si>
  <si>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</si>
  <si>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</si>
  <si>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</si>
  <si>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</si>
  <si>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</si>
  <si>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</si>
  <si>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</si>
  <si>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</si>
  <si>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</si>
  <si>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</si>
  <si>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</si>
  <si>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</si>
  <si>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</si>
  <si>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</si>
  <si>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</si>
  <si>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</si>
  <si>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</si>
  <si>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</si>
  <si>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</si>
  <si>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</si>
  <si>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</si>
  <si>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</si>
  <si>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</si>
  <si>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</si>
  <si>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</si>
  <si>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</si>
  <si>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</si>
  <si>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</si>
  <si>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</si>
  <si>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</si>
  <si>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</si>
  <si>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</si>
  <si>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</si>
  <si>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</si>
  <si>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</si>
  <si>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</si>
  <si>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</si>
  <si>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</si>
  <si>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</si>
  <si>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</si>
  <si>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</si>
  <si>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</si>
  <si>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</si>
  <si>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</si>
  <si>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</si>
  <si>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</si>
  <si>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</si>
  <si>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</si>
  <si>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</si>
  <si>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</si>
  <si>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</si>
  <si>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</si>
  <si>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</si>
  <si>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</si>
  <si>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</si>
  <si>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</si>
  <si>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</si>
  <si>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</si>
  <si>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</si>
  <si>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</si>
  <si>
    <t>北京宸园</t>
    <phoneticPr fontId="3" type="noConversion"/>
  </si>
  <si>
    <t>玺源台</t>
    <phoneticPr fontId="3" type="noConversion"/>
  </si>
  <si>
    <t>西堤红山、蝶翠华庭、丽水莲花等多个，较好</t>
    <phoneticPr fontId="24" type="noConversion"/>
  </si>
  <si>
    <r>
      <t>1</t>
    </r>
    <r>
      <rPr>
        <sz val="11"/>
        <rFont val="宋体"/>
        <family val="3"/>
        <charset val="134"/>
      </rPr>
      <t>、</t>
    </r>
    <r>
      <rPr>
        <sz val="11"/>
        <rFont val="Arial"/>
        <family val="2"/>
      </rPr>
      <t>16</t>
    </r>
    <r>
      <rPr>
        <sz val="11"/>
        <rFont val="宋体"/>
        <family val="3"/>
        <charset val="134"/>
      </rPr>
      <t>号线等多个地铁线路；</t>
    </r>
    <r>
      <rPr>
        <sz val="11"/>
        <rFont val="Arial"/>
        <family val="2"/>
      </rPr>
      <t>45</t>
    </r>
    <r>
      <rPr>
        <sz val="11"/>
        <rFont val="宋体"/>
        <family val="3"/>
        <charset val="134"/>
      </rPr>
      <t>、</t>
    </r>
    <r>
      <rPr>
        <sz val="11"/>
        <rFont val="Arial"/>
        <family val="2"/>
      </rPr>
      <t>85</t>
    </r>
    <r>
      <rPr>
        <sz val="11"/>
        <rFont val="宋体"/>
        <family val="3"/>
        <charset val="134"/>
      </rPr>
      <t>、</t>
    </r>
    <r>
      <rPr>
        <sz val="11"/>
        <rFont val="Arial"/>
        <family val="2"/>
      </rPr>
      <t>414</t>
    </r>
    <r>
      <rPr>
        <sz val="11"/>
        <rFont val="宋体"/>
        <family val="3"/>
        <charset val="134"/>
      </rPr>
      <t>、</t>
    </r>
    <r>
      <rPr>
        <sz val="11"/>
        <rFont val="Arial"/>
        <family val="2"/>
      </rPr>
      <t>663</t>
    </r>
    <r>
      <rPr>
        <sz val="11"/>
        <rFont val="宋体"/>
        <family val="3"/>
        <charset val="134"/>
      </rPr>
      <t>等多条</t>
    </r>
    <phoneticPr fontId="24" type="noConversion"/>
  </si>
  <si>
    <t>广发银行、渤海银行；光耀东方广场；北京小学分校、首都师范大学附属中心朝阳学校</t>
    <phoneticPr fontId="24" type="noConversion"/>
  </si>
  <si>
    <t>莲花池公园、东风迎宾公园、润枫公园；中国人民公安大学</t>
    <phoneticPr fontId="24" type="noConversion"/>
  </si>
  <si>
    <t>距离市中心</t>
  </si>
  <si>
    <t>较近</t>
  </si>
  <si>
    <t>较远</t>
    <phoneticPr fontId="3" type="noConversion"/>
  </si>
  <si>
    <t>较远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</si>
</sst>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23" xfId="0" applyFont="1" applyBorder="1" applyAlignment="1" applyProtection="1">
      <alignment horizontal="left" vertical="center" wrapText="1"/>
      <protection locked="0"/>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23" xfId="0" applyFont="1" applyBorder="1" applyAlignment="1" applyProtection="1">
      <alignment horizontal="center" vertical="center" wrapText="1"/>
      <protection locked="0"/>
    </xf>
  </cellXfs>
  <cellStyles count="22">
    <cellStyle name="百分比" xfId="17" builtinId="5"/>
    <cellStyle name="百分比 2" xfId="14" xr:uid="{00000000-0005-0000-0000-000001000000}"/>
    <cellStyle name="百分比 3" xfId="21" xr:uid="{00000000-0005-0000-0000-000002000000}"/>
    <cellStyle name="常规" xfId="0" builtinId="0"/>
    <cellStyle name="常规 11" xfId="18" xr:uid="{00000000-0005-0000-0000-000004000000}"/>
    <cellStyle name="常规 13" xfId="20" xr:uid="{00000000-0005-0000-0000-000005000000}"/>
    <cellStyle name="常规 16" xfId="10" xr:uid="{00000000-0005-0000-0000-000006000000}"/>
    <cellStyle name="常规 16 2" xfId="19"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20" customWidth="1"/>
    <col min="2" max="2" width="81" style="836" customWidth="1"/>
    <col min="3" max="16384" width="9" style="829"/>
  </cols>
  <sheetData>
    <row r="1" spans="1:2" s="823" customFormat="1" ht="16.2" thickBot="1">
      <c r="A1" s="822" t="s">
        <v>515</v>
      </c>
      <c r="B1" s="821" t="s">
        <v>594</v>
      </c>
    </row>
    <row r="2" spans="1:2" s="826" customFormat="1" ht="16.2"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6.2" thickBot="1">
      <c r="A5" s="830" t="s">
        <v>519</v>
      </c>
      <c r="B5" s="831" t="str">
        <f>'预评函-封皮'!B49</f>
        <v>康正预评字号</v>
      </c>
    </row>
    <row r="6" spans="1:2" s="826" customFormat="1" ht="16.2"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6.2" thickBot="1">
      <c r="A18" s="830" t="s">
        <v>528</v>
      </c>
      <c r="B18" s="831" t="str">
        <f>'预评函-1'!A24</f>
        <v>本次评估采用的主估价方法为比较法和假设开发法。</v>
      </c>
    </row>
    <row r="19" spans="1:2" s="826" customFormat="1" ht="16.2"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48212</v>
      </c>
    </row>
    <row r="21" spans="1:2">
      <c r="A21" s="827" t="s">
        <v>531</v>
      </c>
      <c r="B21" s="828">
        <f ca="1">'预评函-2'!D7</f>
        <v>48244</v>
      </c>
    </row>
    <row r="22" spans="1:2">
      <c r="A22" s="827" t="s">
        <v>532</v>
      </c>
      <c r="B22" s="828" t="str">
        <f ca="1">'预评函-2'!D6</f>
        <v>肆亿捌仟贰佰壹拾贰万元整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46574</v>
      </c>
    </row>
    <row r="31" spans="1:2">
      <c r="A31" s="827" t="s">
        <v>570</v>
      </c>
      <c r="B31" s="828">
        <f ca="1">'预评函-2'!D15</f>
        <v>46605</v>
      </c>
    </row>
    <row r="32" spans="1:2">
      <c r="A32" s="827" t="s">
        <v>537</v>
      </c>
      <c r="B32" s="828" t="str">
        <f ca="1">'预评函-2'!D14</f>
        <v>肆亿陆仟伍佰柒拾肆万元整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ht="31.2">
      <c r="A42" s="827" t="s">
        <v>584</v>
      </c>
      <c r="B42" s="828" t="str">
        <f>'预评函-3'!B2</f>
        <v>建筑面积</v>
      </c>
    </row>
    <row r="43" spans="1:2">
      <c r="A43" s="827" t="s">
        <v>585</v>
      </c>
      <c r="B43" s="828">
        <f>'预评函-3'!B4</f>
        <v>9993.2799999999988</v>
      </c>
    </row>
    <row r="44" spans="1:2" ht="3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6.2" thickBot="1">
      <c r="A57" s="830" t="s">
        <v>593</v>
      </c>
      <c r="B57" s="831" t="str">
        <f>'预评函-3'!A6</f>
        <v>估价师知悉的法定优先受偿款</v>
      </c>
    </row>
    <row r="58" spans="1:2" s="826" customFormat="1" ht="16.2"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6.2" thickBot="1">
      <c r="A69" s="830" t="s">
        <v>555</v>
      </c>
      <c r="B69" s="832">
        <f>'预评函-4'!C31</f>
        <v>42551</v>
      </c>
    </row>
    <row r="70" spans="1:2" ht="16.2"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6.2" thickBot="1">
      <c r="A73" s="830" t="s">
        <v>559</v>
      </c>
      <c r="B73" s="831">
        <f ca="1">'预评函-4'!B5</f>
        <v>0</v>
      </c>
    </row>
    <row r="74" spans="1:2" ht="16.2"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30" customWidth="1"/>
    <col min="2" max="2" width="23.21875" style="1087" customWidth="1"/>
    <col min="3" max="3" width="13" style="1127" customWidth="1"/>
    <col min="4" max="4" width="5.77734375" style="1125" customWidth="1"/>
    <col min="5" max="5" width="7.109375" style="1125" customWidth="1"/>
    <col min="6" max="6" width="10.6640625" style="1125" customWidth="1"/>
    <col min="7" max="7" width="7.44140625" style="1125" customWidth="1"/>
    <col min="8" max="8" width="11.88671875" style="1127" customWidth="1"/>
    <col min="9" max="9" width="11.6640625" style="1127" customWidth="1"/>
    <col min="10" max="10" width="9" style="1127" customWidth="1"/>
    <col min="11" max="19" width="9" style="1125" customWidth="1"/>
    <col min="20" max="23" width="9" style="1127" customWidth="1"/>
    <col min="24" max="28" width="15.109375" style="1127" customWidth="1"/>
    <col min="29" max="16384" width="9" style="1087"/>
  </cols>
  <sheetData>
    <row r="1" spans="1:28" s="1122" customFormat="1" ht="43.2">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3"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29" t="s">
        <v>379</v>
      </c>
      <c r="C54" s="1127" t="s">
        <v>577</v>
      </c>
    </row>
    <row r="55" spans="1:4">
      <c r="A55" s="4183"/>
      <c r="B55" s="1129" t="s">
        <v>380</v>
      </c>
      <c r="C55" s="1127" t="s">
        <v>578</v>
      </c>
    </row>
    <row r="56" spans="1:4">
      <c r="A56" s="4183"/>
      <c r="B56" s="1129" t="s">
        <v>381</v>
      </c>
      <c r="C56" s="1127" t="s">
        <v>582</v>
      </c>
    </row>
    <row r="57" spans="1:4">
      <c r="A57" s="4183"/>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40" zoomScaleNormal="100" workbookViewId="0">
      <selection activeCell="C60" sqref="C60"/>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4" t="s">
        <v>2481</v>
      </c>
      <c r="J2" s="4185"/>
      <c r="K2" s="4185"/>
      <c r="L2" s="4185"/>
      <c r="M2" s="4185"/>
      <c r="N2" s="4185"/>
      <c r="O2" s="4185"/>
      <c r="P2" s="4185"/>
      <c r="Q2" s="4185"/>
      <c r="R2" s="4186"/>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3.5</v>
      </c>
      <c r="L7" s="3737" t="s">
        <v>3713</v>
      </c>
      <c r="M7" s="3727"/>
      <c r="N7" s="2241"/>
      <c r="O7" s="2241"/>
      <c r="P7" s="2241"/>
      <c r="Q7" s="2241"/>
      <c r="R7" s="2242"/>
    </row>
    <row r="8" spans="1:18">
      <c r="A8" s="2244"/>
      <c r="B8" s="2245"/>
      <c r="C8" s="2245"/>
      <c r="D8" s="2245"/>
      <c r="E8" s="2245"/>
      <c r="F8" s="2246"/>
      <c r="I8" s="4184" t="s">
        <v>3712</v>
      </c>
      <c r="J8" s="4185"/>
      <c r="K8" s="4185"/>
      <c r="L8" s="4185"/>
      <c r="M8" s="4185"/>
      <c r="N8" s="4185"/>
      <c r="O8" s="4185"/>
      <c r="P8" s="4185"/>
      <c r="Q8" s="4185"/>
      <c r="R8" s="4186"/>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22.857142857142858</v>
      </c>
      <c r="K10" s="3725">
        <f t="shared" si="0"/>
        <v>20</v>
      </c>
      <c r="L10" s="3725">
        <f t="shared" si="0"/>
        <v>5.7142857142857144</v>
      </c>
      <c r="M10" s="3725">
        <f t="shared" si="0"/>
        <v>8.5714285714285712</v>
      </c>
      <c r="N10" s="3725">
        <f t="shared" si="0"/>
        <v>12.857142857142858</v>
      </c>
      <c r="O10" s="3725">
        <f t="shared" si="0"/>
        <v>17.142857142857142</v>
      </c>
      <c r="P10" s="3725">
        <f t="shared" si="0"/>
        <v>14.285714285714286</v>
      </c>
      <c r="Q10" s="3725">
        <f t="shared" si="0"/>
        <v>5.7142857142857144</v>
      </c>
      <c r="R10" s="3740">
        <f t="shared" si="0"/>
        <v>107.14285714285714</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20</v>
      </c>
      <c r="K11" s="3725">
        <f t="shared" si="1"/>
        <v>17.142857142857142</v>
      </c>
      <c r="L11" s="3725">
        <f t="shared" si="1"/>
        <v>4.2857142857142856</v>
      </c>
      <c r="M11" s="3725">
        <f t="shared" si="1"/>
        <v>7.1428571428571432</v>
      </c>
      <c r="N11" s="3725">
        <f t="shared" si="1"/>
        <v>11.428571428571429</v>
      </c>
      <c r="O11" s="3725">
        <f t="shared" si="1"/>
        <v>14.285714285714286</v>
      </c>
      <c r="P11" s="3725">
        <f t="shared" si="1"/>
        <v>11.428571428571429</v>
      </c>
      <c r="Q11" s="3725">
        <f t="shared" si="1"/>
        <v>4.2857142857142856</v>
      </c>
      <c r="R11" s="3740">
        <f t="shared" si="1"/>
        <v>90</v>
      </c>
    </row>
    <row r="12" spans="1:18" ht="15" thickBot="1">
      <c r="A12" s="3758" t="s">
        <v>2413</v>
      </c>
      <c r="B12" s="3756">
        <v>40</v>
      </c>
      <c r="C12" s="3759" t="s">
        <v>2414</v>
      </c>
      <c r="D12" s="3755">
        <v>4.4999999999999998E-2</v>
      </c>
      <c r="E12" s="3759" t="s">
        <v>2415</v>
      </c>
      <c r="F12" s="3757">
        <f>ROUND(1-(1/(POWER(1+D12,B12))),4)</f>
        <v>0.82809999999999995</v>
      </c>
      <c r="I12" s="3738" t="s">
        <v>2484</v>
      </c>
      <c r="J12" s="3739">
        <f t="shared" ref="J12:R12" si="2">J6/$K$7</f>
        <v>17.142857142857142</v>
      </c>
      <c r="K12" s="3739">
        <f t="shared" si="2"/>
        <v>14.285714285714286</v>
      </c>
      <c r="L12" s="3739">
        <f t="shared" si="2"/>
        <v>2.8571428571428572</v>
      </c>
      <c r="M12" s="3739">
        <f t="shared" si="2"/>
        <v>5.7142857142857144</v>
      </c>
      <c r="N12" s="3739">
        <f t="shared" si="2"/>
        <v>10</v>
      </c>
      <c r="O12" s="3739">
        <f t="shared" si="2"/>
        <v>11.428571428571429</v>
      </c>
      <c r="P12" s="3739">
        <f t="shared" si="2"/>
        <v>8.5714285714285712</v>
      </c>
      <c r="Q12" s="3739">
        <f t="shared" si="2"/>
        <v>2.8571428571428572</v>
      </c>
      <c r="R12" s="3744">
        <f t="shared" si="2"/>
        <v>72.857142857142861</v>
      </c>
    </row>
    <row r="13" spans="1:18">
      <c r="A13" s="2247" t="s">
        <v>2416</v>
      </c>
      <c r="B13" s="2249"/>
      <c r="C13" s="2249"/>
      <c r="D13" s="2245"/>
      <c r="E13" s="2245"/>
      <c r="F13" s="2246"/>
      <c r="I13" s="3726" t="s">
        <v>3715</v>
      </c>
      <c r="J13" s="3742">
        <v>2.04</v>
      </c>
      <c r="K13" s="3727" t="s">
        <v>3716</v>
      </c>
      <c r="L13" s="3743">
        <v>0.92130000000000001</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 t="shared" ref="J15:R15" si="3">J10/$L$13</f>
        <v>24.809663363880233</v>
      </c>
      <c r="K15" s="3725">
        <f t="shared" si="3"/>
        <v>21.708455443395202</v>
      </c>
      <c r="L15" s="3725">
        <f t="shared" si="3"/>
        <v>6.2024158409700583</v>
      </c>
      <c r="M15" s="3725">
        <f t="shared" si="3"/>
        <v>9.3036237614550856</v>
      </c>
      <c r="N15" s="3725">
        <f t="shared" si="3"/>
        <v>13.95543564218263</v>
      </c>
      <c r="O15" s="3725">
        <f t="shared" si="3"/>
        <v>18.607247522910171</v>
      </c>
      <c r="P15" s="3725">
        <f t="shared" si="3"/>
        <v>15.506039602425146</v>
      </c>
      <c r="Q15" s="3725">
        <f t="shared" si="3"/>
        <v>6.2024158409700583</v>
      </c>
      <c r="R15" s="3740">
        <f t="shared" si="3"/>
        <v>116.29529701818858</v>
      </c>
    </row>
    <row r="16" spans="1:18">
      <c r="A16" s="2247" t="s">
        <v>2419</v>
      </c>
      <c r="B16" s="2694"/>
      <c r="C16" s="2694"/>
      <c r="D16" s="2245"/>
      <c r="E16" s="2245"/>
      <c r="F16" s="2246"/>
      <c r="I16" s="2254" t="s">
        <v>2483</v>
      </c>
      <c r="J16" s="3725">
        <f t="shared" ref="J16:R16" si="4">J11/$L$13</f>
        <v>21.708455443395202</v>
      </c>
      <c r="K16" s="3725">
        <f t="shared" si="4"/>
        <v>18.607247522910171</v>
      </c>
      <c r="L16" s="3725">
        <f t="shared" si="4"/>
        <v>4.6518118807275428</v>
      </c>
      <c r="M16" s="3725">
        <f t="shared" si="4"/>
        <v>7.7530198012125728</v>
      </c>
      <c r="N16" s="3725">
        <f t="shared" si="4"/>
        <v>12.404831681940117</v>
      </c>
      <c r="O16" s="3725">
        <f t="shared" si="4"/>
        <v>15.506039602425146</v>
      </c>
      <c r="P16" s="3725">
        <f t="shared" si="4"/>
        <v>12.404831681940117</v>
      </c>
      <c r="Q16" s="3725">
        <f t="shared" si="4"/>
        <v>4.6518118807275428</v>
      </c>
      <c r="R16" s="3740">
        <f t="shared" si="4"/>
        <v>97.688049495278406</v>
      </c>
    </row>
    <row r="17" spans="1:18" ht="15" thickBot="1">
      <c r="A17" s="3758" t="s">
        <v>2418</v>
      </c>
      <c r="B17" s="3760">
        <v>4810</v>
      </c>
      <c r="C17" s="3761"/>
      <c r="D17" s="2245"/>
      <c r="E17" s="2245"/>
      <c r="F17" s="2246"/>
      <c r="I17" s="3730" t="s">
        <v>2484</v>
      </c>
      <c r="J17" s="3731">
        <f t="shared" ref="J17:R17" si="5">J12/$L$13</f>
        <v>18.607247522910171</v>
      </c>
      <c r="K17" s="3731">
        <f t="shared" si="5"/>
        <v>15.506039602425146</v>
      </c>
      <c r="L17" s="3731">
        <f t="shared" si="5"/>
        <v>3.1012079204850291</v>
      </c>
      <c r="M17" s="3731">
        <f t="shared" si="5"/>
        <v>6.2024158409700583</v>
      </c>
      <c r="N17" s="3731">
        <f t="shared" si="5"/>
        <v>10.854227721697601</v>
      </c>
      <c r="O17" s="3731">
        <f t="shared" si="5"/>
        <v>12.404831681940117</v>
      </c>
      <c r="P17" s="3731">
        <f t="shared" si="5"/>
        <v>9.3036237614550856</v>
      </c>
      <c r="Q17" s="3731">
        <f t="shared" si="5"/>
        <v>3.1012079204850291</v>
      </c>
      <c r="R17" s="3741">
        <f t="shared" si="5"/>
        <v>79.080801972368235</v>
      </c>
    </row>
    <row r="18" spans="1:18" ht="15" thickBot="1">
      <c r="A18" s="3763" t="s">
        <v>2417</v>
      </c>
      <c r="B18" s="3764">
        <f>ROUND(B17*F11/F12,2)</f>
        <v>5541.87</v>
      </c>
      <c r="C18" s="3765">
        <f>ROUND(F11/F12,4)</f>
        <v>1.1521999999999999</v>
      </c>
      <c r="D18" s="2252"/>
      <c r="E18" s="2252"/>
      <c r="F18" s="2253"/>
    </row>
    <row r="19" spans="1:18" s="3746" customFormat="1" ht="1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6">ROUND(100*(1-(1-E23)*F23),1)</f>
        <v>89.2</v>
      </c>
      <c r="I23" s="2696">
        <v>15</v>
      </c>
      <c r="J23" s="2695">
        <v>74.099999999999994</v>
      </c>
      <c r="K23" s="2695">
        <f t="shared" ref="K23:K30" si="7">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6"/>
        <v>94.3</v>
      </c>
      <c r="I24" s="2696">
        <v>20</v>
      </c>
      <c r="J24" s="2695">
        <v>81</v>
      </c>
      <c r="K24" s="2695">
        <f t="shared" si="7"/>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6"/>
        <v>97.7</v>
      </c>
      <c r="I25" s="2696">
        <v>25</v>
      </c>
      <c r="J25" s="2695">
        <v>86.3</v>
      </c>
      <c r="K25" s="2695">
        <f t="shared" si="7"/>
        <v>5.2999999999999972</v>
      </c>
      <c r="L25" s="2275" t="s">
        <v>2471</v>
      </c>
      <c r="N25" s="2697">
        <v>8</v>
      </c>
    </row>
    <row r="26" spans="1:18">
      <c r="A26" s="2257"/>
      <c r="B26" s="2258"/>
      <c r="C26" s="2258"/>
      <c r="D26" s="2258"/>
      <c r="E26" s="2258"/>
      <c r="F26" s="2258"/>
      <c r="G26" s="2259"/>
      <c r="I26" s="2696">
        <v>30</v>
      </c>
      <c r="J26" s="2695">
        <v>90.5</v>
      </c>
      <c r="K26" s="2695">
        <f t="shared" si="7"/>
        <v>4.2000000000000028</v>
      </c>
      <c r="L26" s="2275" t="s">
        <v>2472</v>
      </c>
      <c r="N26" s="2697">
        <v>5</v>
      </c>
    </row>
    <row r="27" spans="1:18">
      <c r="A27" s="2257" t="s">
        <v>2431</v>
      </c>
      <c r="B27" s="2258"/>
      <c r="C27" s="2258"/>
      <c r="D27" s="2258"/>
      <c r="E27" s="2258"/>
      <c r="F27" s="2258"/>
      <c r="G27" s="2259"/>
      <c r="I27" s="2696">
        <v>35</v>
      </c>
      <c r="J27" s="2695">
        <v>93.8</v>
      </c>
      <c r="K27" s="2695">
        <f t="shared" si="7"/>
        <v>3.2999999999999972</v>
      </c>
      <c r="L27" s="2275" t="s">
        <v>2473</v>
      </c>
      <c r="N27" s="2697">
        <v>3</v>
      </c>
    </row>
    <row r="28" spans="1:18">
      <c r="A28" s="2257" t="s">
        <v>2432</v>
      </c>
      <c r="B28" s="2258"/>
      <c r="C28" s="2258"/>
      <c r="D28" s="2258"/>
      <c r="E28" s="2258"/>
      <c r="F28" s="2258"/>
      <c r="G28" s="2259"/>
      <c r="I28" s="2696">
        <v>40</v>
      </c>
      <c r="J28" s="2695">
        <v>96.4</v>
      </c>
      <c r="K28" s="2695">
        <f t="shared" si="7"/>
        <v>2.6000000000000085</v>
      </c>
      <c r="L28" s="2275" t="s">
        <v>2474</v>
      </c>
      <c r="N28" s="2697">
        <v>2</v>
      </c>
    </row>
    <row r="29" spans="1:18">
      <c r="A29" s="2257" t="s">
        <v>2433</v>
      </c>
      <c r="B29" s="2258"/>
      <c r="C29" s="2258"/>
      <c r="D29" s="2258"/>
      <c r="E29" s="2258"/>
      <c r="F29" s="2258"/>
      <c r="G29" s="2259"/>
      <c r="I29" s="2696">
        <v>45</v>
      </c>
      <c r="J29" s="2695">
        <v>98.4</v>
      </c>
      <c r="K29" s="2695">
        <f t="shared" si="7"/>
        <v>2</v>
      </c>
    </row>
    <row r="30" spans="1:18">
      <c r="A30" s="2257" t="s">
        <v>2434</v>
      </c>
      <c r="B30" s="2258"/>
      <c r="C30" s="2258"/>
      <c r="D30" s="2258"/>
      <c r="E30" s="2258"/>
      <c r="F30" s="2258"/>
      <c r="G30" s="2259"/>
      <c r="I30" s="2696">
        <v>50</v>
      </c>
      <c r="J30" s="2695">
        <v>100</v>
      </c>
      <c r="K30" s="2695">
        <f t="shared" si="7"/>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8">J36-J35</f>
        <v>9.2999999999999972</v>
      </c>
      <c r="L36" s="2275" t="s">
        <v>2468</v>
      </c>
      <c r="N36" s="2573" t="s">
        <v>2469</v>
      </c>
    </row>
    <row r="37" spans="1:14">
      <c r="A37" s="2257" t="s">
        <v>2441</v>
      </c>
      <c r="B37" s="2258"/>
      <c r="C37" s="2258"/>
      <c r="D37" s="2258"/>
      <c r="E37" s="2258"/>
      <c r="F37" s="2258"/>
      <c r="G37" s="2259"/>
      <c r="I37" s="2696">
        <v>20</v>
      </c>
      <c r="J37" s="2695">
        <v>83.6</v>
      </c>
      <c r="K37" s="2695">
        <f t="shared" si="8"/>
        <v>7.2999999999999972</v>
      </c>
      <c r="L37" s="2275" t="s">
        <v>2467</v>
      </c>
      <c r="N37" s="2697">
        <v>10</v>
      </c>
    </row>
    <row r="38" spans="1:14">
      <c r="A38" s="2257" t="s">
        <v>2442</v>
      </c>
      <c r="B38" s="2258"/>
      <c r="C38" s="2258"/>
      <c r="D38" s="2258"/>
      <c r="E38" s="2258"/>
      <c r="F38" s="2258"/>
      <c r="G38" s="2259"/>
      <c r="I38" s="2696">
        <v>25</v>
      </c>
      <c r="J38" s="2695">
        <v>89.3</v>
      </c>
      <c r="K38" s="2695">
        <f t="shared" si="8"/>
        <v>5.7000000000000028</v>
      </c>
      <c r="L38" s="2275" t="s">
        <v>2471</v>
      </c>
      <c r="N38" s="2697">
        <v>8</v>
      </c>
    </row>
    <row r="39" spans="1:14">
      <c r="A39" s="2257"/>
      <c r="B39" s="2258"/>
      <c r="C39" s="2258"/>
      <c r="D39" s="2258"/>
      <c r="E39" s="2258"/>
      <c r="F39" s="2258"/>
      <c r="G39" s="2259"/>
      <c r="I39" s="2696">
        <v>30</v>
      </c>
      <c r="J39" s="2695">
        <v>93.8</v>
      </c>
      <c r="K39" s="2695">
        <f t="shared" si="8"/>
        <v>4.5</v>
      </c>
      <c r="L39" s="2275" t="s">
        <v>2472</v>
      </c>
      <c r="N39" s="2697">
        <v>6</v>
      </c>
    </row>
    <row r="40" spans="1:14">
      <c r="A40" s="2260" t="s">
        <v>2443</v>
      </c>
      <c r="B40" s="2261"/>
      <c r="C40" s="2261"/>
      <c r="D40" s="2261"/>
      <c r="E40" s="2261"/>
      <c r="F40" s="2261"/>
      <c r="G40" s="2262"/>
      <c r="I40" s="2696">
        <v>35</v>
      </c>
      <c r="J40" s="2695">
        <v>97.2</v>
      </c>
      <c r="K40" s="2695">
        <f t="shared" si="8"/>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8"/>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9">J46-J45</f>
        <v>5.0999999999999943</v>
      </c>
    </row>
    <row r="47" spans="1:14">
      <c r="I47" s="2696">
        <v>60</v>
      </c>
      <c r="J47" s="2695">
        <v>97.7</v>
      </c>
      <c r="K47" s="2695">
        <f t="shared" si="9"/>
        <v>3.4000000000000057</v>
      </c>
    </row>
    <row r="53" spans="1:15" ht="15" thickBot="1"/>
    <row r="54" spans="1:15" ht="15" thickBot="1">
      <c r="A54" s="2709" t="s">
        <v>3365</v>
      </c>
      <c r="B54" s="2699"/>
      <c r="C54" s="2699"/>
      <c r="D54" s="2699"/>
      <c r="E54" s="2699"/>
      <c r="I54" s="4187" t="s">
        <v>3379</v>
      </c>
      <c r="J54" s="4187"/>
      <c r="K54" s="4187"/>
      <c r="L54" s="4187"/>
      <c r="M54" s="4187"/>
    </row>
    <row r="55" spans="1:1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c r="A56" s="1928" t="s">
        <v>3369</v>
      </c>
      <c r="B56" s="2714">
        <f>B57+B58</f>
        <v>9993.2799999999988</v>
      </c>
      <c r="C56" s="2714">
        <f>E56/B56</f>
        <v>3224.4148067501364</v>
      </c>
      <c r="D56" s="2720"/>
      <c r="E56" s="2721">
        <f>E57+E58</f>
        <v>32222480</v>
      </c>
      <c r="F56" s="2723">
        <f>E56/$E$63</f>
        <v>0.47713773980397217</v>
      </c>
      <c r="I56" s="2255"/>
      <c r="J56" s="2255"/>
      <c r="K56" s="2255"/>
      <c r="L56" s="2255"/>
      <c r="M56" s="2255"/>
      <c r="O56" s="2251"/>
    </row>
    <row r="57" spans="1:15">
      <c r="A57" s="2711" t="s">
        <v>3370</v>
      </c>
      <c r="B57" s="2700">
        <f>'数据-汇总表'!F31</f>
        <v>5508</v>
      </c>
      <c r="C57" s="2725"/>
      <c r="D57" s="2703">
        <v>3000</v>
      </c>
      <c r="E57" s="2728">
        <f>D57*B57</f>
        <v>16524000</v>
      </c>
      <c r="F57" s="2723"/>
      <c r="I57" s="2707">
        <f>E57</f>
        <v>16524000</v>
      </c>
      <c r="J57" s="2707">
        <f>E59*B57/B56</f>
        <v>2203200</v>
      </c>
      <c r="K57" s="2707">
        <f>O57*B57</f>
        <v>5508000</v>
      </c>
      <c r="L57" s="2707">
        <f>E61*B57/B56</f>
        <v>12522420.318454003</v>
      </c>
      <c r="M57" s="2707">
        <f>E62*B57/B56</f>
        <v>1431619.8829613503</v>
      </c>
      <c r="O57" s="3772">
        <v>1000</v>
      </c>
    </row>
    <row r="58" spans="1:15">
      <c r="A58" s="2711" t="s">
        <v>3371</v>
      </c>
      <c r="B58" s="2700">
        <f>'数据-汇总表'!G31</f>
        <v>4485.28</v>
      </c>
      <c r="C58" s="2725"/>
      <c r="D58" s="2703">
        <v>3500</v>
      </c>
      <c r="E58" s="2728">
        <f>D58*B58</f>
        <v>15698480</v>
      </c>
      <c r="F58" s="2723"/>
      <c r="I58" s="2707">
        <f>E58</f>
        <v>15698480</v>
      </c>
      <c r="J58" s="2707">
        <f>E59-J57</f>
        <v>1794111.9999999995</v>
      </c>
      <c r="K58" s="2707">
        <f>E60-K57</f>
        <v>487967.99999999907</v>
      </c>
      <c r="L58" s="2707">
        <f>E61-L57</f>
        <v>10197269.681545997</v>
      </c>
      <c r="M58" s="2707">
        <f>E62-M57</f>
        <v>1165798.1170386497</v>
      </c>
      <c r="O58" s="3753">
        <f>K58/B58</f>
        <v>108.79320800485122</v>
      </c>
    </row>
    <row r="59" spans="1:15">
      <c r="A59" s="1927" t="s">
        <v>3372</v>
      </c>
      <c r="B59" s="2715">
        <f>B56</f>
        <v>9993.2799999999988</v>
      </c>
      <c r="C59" s="2701">
        <v>400</v>
      </c>
      <c r="D59" s="2726"/>
      <c r="E59" s="2729">
        <f>C59*B59</f>
        <v>3997311.9999999995</v>
      </c>
      <c r="F59" s="2723">
        <f t="shared" ref="F59:F62" si="10">E59/$E$63</f>
        <v>5.9190615153498286E-2</v>
      </c>
    </row>
    <row r="60" spans="1:15">
      <c r="A60" s="1927" t="s">
        <v>3373</v>
      </c>
      <c r="B60" s="2715">
        <f>B56</f>
        <v>9993.2799999999988</v>
      </c>
      <c r="C60" s="2701">
        <v>600</v>
      </c>
      <c r="D60" s="2726"/>
      <c r="E60" s="2729">
        <f>C60*B60</f>
        <v>5995967.9999999991</v>
      </c>
      <c r="F60" s="2723">
        <f t="shared" si="10"/>
        <v>8.8785922730247421E-2</v>
      </c>
    </row>
    <row r="61" spans="1:15">
      <c r="A61" s="1927" t="s">
        <v>3375</v>
      </c>
      <c r="B61" s="2701">
        <v>6491.34</v>
      </c>
      <c r="C61" s="2715">
        <f>E61/B56</f>
        <v>2273.4967898427744</v>
      </c>
      <c r="D61" s="2702">
        <f>D58</f>
        <v>3500</v>
      </c>
      <c r="E61" s="2729">
        <f>D61*B61</f>
        <v>22719690</v>
      </c>
      <c r="F61" s="2723">
        <f t="shared" si="10"/>
        <v>0.33642418385074363</v>
      </c>
    </row>
    <row r="62" spans="1:15">
      <c r="A62" s="1927" t="s">
        <v>3374</v>
      </c>
      <c r="B62" s="2705"/>
      <c r="C62" s="2715">
        <f>E62/B56</f>
        <v>259.91646386371644</v>
      </c>
      <c r="D62" s="2704">
        <v>0.04</v>
      </c>
      <c r="E62" s="2729">
        <f>(E56+E59+E60+E61)*D62</f>
        <v>2597418</v>
      </c>
      <c r="F62" s="2723">
        <f t="shared" si="10"/>
        <v>3.8461538461538464E-2</v>
      </c>
      <c r="I62" s="4188" t="s">
        <v>3387</v>
      </c>
      <c r="J62" s="4188"/>
      <c r="K62" s="4188"/>
      <c r="L62" s="4188"/>
      <c r="M62" s="4188"/>
    </row>
    <row r="63" spans="1:15" ht="15" thickBot="1">
      <c r="A63" s="2712" t="s">
        <v>3376</v>
      </c>
      <c r="B63" s="2716">
        <f>B56</f>
        <v>9993.2799999999988</v>
      </c>
      <c r="C63" s="2727">
        <f>C56+C59+C60+C62+C61</f>
        <v>6757.828060456628</v>
      </c>
      <c r="D63" s="3771">
        <f>E63/B63</f>
        <v>6757.828060456628</v>
      </c>
      <c r="E63" s="2706">
        <f>E56+E59+E60+E62+E61</f>
        <v>67532868</v>
      </c>
      <c r="F63" s="2724">
        <f>F56+F59+F60+F61+F62</f>
        <v>0.99999999999999989</v>
      </c>
      <c r="I63" s="2707">
        <f>I57+I58</f>
        <v>32222480</v>
      </c>
      <c r="J63" s="2707">
        <f t="shared" ref="J63:M63" si="11">J57+J58</f>
        <v>3997311.9999999995</v>
      </c>
      <c r="K63" s="2707">
        <f t="shared" si="11"/>
        <v>5995967.9999999991</v>
      </c>
      <c r="L63" s="2707">
        <f t="shared" si="11"/>
        <v>22719690</v>
      </c>
      <c r="M63" s="2707">
        <f t="shared" si="11"/>
        <v>2597418</v>
      </c>
    </row>
    <row r="64" spans="1:15">
      <c r="B64" s="2698"/>
      <c r="C64" s="2698"/>
      <c r="D64" s="2698"/>
      <c r="I64" s="2708">
        <f>I63/$E$63</f>
        <v>0.47713773980397217</v>
      </c>
      <c r="J64" s="2708">
        <f t="shared" ref="J64:M64" si="12">J63/$E$63</f>
        <v>5.9190615153498286E-2</v>
      </c>
      <c r="K64" s="2708">
        <f t="shared" si="12"/>
        <v>8.8785922730247421E-2</v>
      </c>
      <c r="L64" s="2708">
        <f t="shared" si="12"/>
        <v>0.33642418385074363</v>
      </c>
      <c r="M64" s="2708">
        <f t="shared" si="12"/>
        <v>3.8461538461538464E-2</v>
      </c>
    </row>
    <row r="66" spans="2:4">
      <c r="B66" s="2698"/>
      <c r="C66" s="2698"/>
      <c r="D66" s="2698"/>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zoomScaleSheetLayoutView="110" workbookViewId="0">
      <selection activeCell="J19" sqref="J19"/>
    </sheetView>
  </sheetViews>
  <sheetFormatPr defaultColWidth="10" defaultRowHeight="13.2"/>
  <cols>
    <col min="1" max="1" width="16.88671875" style="1287" customWidth="1"/>
    <col min="2" max="2" width="10" style="1287" customWidth="1"/>
    <col min="3" max="3" width="11.44140625" style="1287" customWidth="1"/>
    <col min="4" max="4" width="10" style="1287" customWidth="1"/>
    <col min="5" max="5" width="12.6640625" style="1287" customWidth="1"/>
    <col min="6" max="6" width="10" style="1287" customWidth="1"/>
    <col min="7" max="7" width="10.77734375" style="1287" customWidth="1"/>
    <col min="8" max="8" width="10" style="1287" customWidth="1"/>
    <col min="9" max="9" width="11.10937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8" thickBot="1">
      <c r="A1" s="1773" t="s">
        <v>2084</v>
      </c>
      <c r="B1" s="4196"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7"/>
      <c r="D1" s="4197"/>
      <c r="E1" s="4197"/>
      <c r="F1" s="4197"/>
      <c r="G1" s="4197"/>
      <c r="H1" s="4197"/>
      <c r="I1" s="4198"/>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8"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8"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9" t="s">
        <v>2093</v>
      </c>
      <c r="E8" s="1794" t="s">
        <v>3846</v>
      </c>
      <c r="F8" s="1795"/>
      <c r="G8" s="1976"/>
      <c r="H8" s="1976"/>
      <c r="I8" s="1976"/>
      <c r="J8" s="1832"/>
      <c r="K8" s="1935"/>
      <c r="L8" s="1934"/>
      <c r="M8" s="1934"/>
      <c r="N8" s="1832"/>
      <c r="O8" s="1334"/>
      <c r="P8" s="1832"/>
      <c r="Q8" s="1832"/>
      <c r="R8" s="1832"/>
    </row>
    <row r="9" spans="1:30" ht="13.8" thickBot="1">
      <c r="A9" s="1796" t="s">
        <v>2094</v>
      </c>
      <c r="B9" s="1797" t="s">
        <v>3846</v>
      </c>
      <c r="C9" s="1798"/>
      <c r="D9" s="4200"/>
      <c r="E9" s="1797"/>
      <c r="F9" s="1799"/>
      <c r="G9" s="1977"/>
      <c r="H9" s="1977"/>
      <c r="I9" s="1977"/>
      <c r="J9" s="1832"/>
      <c r="K9" s="1937"/>
      <c r="L9" s="1934"/>
      <c r="M9" s="1934"/>
      <c r="N9" s="1832"/>
      <c r="O9" s="1334"/>
      <c r="P9" s="1832"/>
      <c r="Q9" s="1832"/>
      <c r="R9" s="1832"/>
    </row>
    <row r="10" spans="1:30" ht="13.8"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206"/>
      <c r="C16" s="4207"/>
      <c r="D16" s="4208"/>
      <c r="E16" s="1811" t="s">
        <v>2110</v>
      </c>
      <c r="F16" s="4209"/>
      <c r="G16" s="4210"/>
      <c r="H16" s="4210"/>
      <c r="I16" s="4211"/>
      <c r="J16" s="1832"/>
      <c r="K16" s="1938"/>
      <c r="L16" s="1334"/>
      <c r="M16" s="1334"/>
      <c r="N16" s="1832"/>
      <c r="O16" s="1334"/>
      <c r="P16" s="1832"/>
      <c r="Q16" s="1832"/>
      <c r="R16" s="1832"/>
    </row>
    <row r="17" spans="1:28">
      <c r="A17" s="198" t="s">
        <v>2111</v>
      </c>
      <c r="B17" s="187" t="s">
        <v>2112</v>
      </c>
      <c r="C17" s="9">
        <f>'数据-汇总表'!E3</f>
        <v>9993.2799999999988</v>
      </c>
      <c r="D17" s="937" t="s">
        <v>2113</v>
      </c>
      <c r="E17" s="4212" t="s">
        <v>2114</v>
      </c>
      <c r="F17" s="4213"/>
      <c r="G17" s="4213"/>
      <c r="H17" s="4213"/>
      <c r="I17" s="4214"/>
      <c r="J17" s="1832"/>
      <c r="K17" s="1939"/>
      <c r="L17" s="1334"/>
      <c r="M17" s="1334"/>
      <c r="N17" s="1832"/>
      <c r="O17" s="1334"/>
      <c r="P17" s="1832"/>
      <c r="Q17" s="1832"/>
      <c r="R17" s="1832"/>
      <c r="S17" s="1832"/>
      <c r="T17" s="1832"/>
      <c r="U17" s="1832"/>
      <c r="V17" s="1832"/>
    </row>
    <row r="18" spans="1:28" ht="24.6" thickBot="1">
      <c r="A18" s="1812" t="s">
        <v>2115</v>
      </c>
      <c r="B18" s="759" t="s">
        <v>2116</v>
      </c>
      <c r="C18" s="2693">
        <f>'数据-汇总表'!D3</f>
        <v>2700</v>
      </c>
      <c r="D18" s="761" t="s">
        <v>2117</v>
      </c>
      <c r="E18" s="4215" t="s">
        <v>2118</v>
      </c>
      <c r="F18" s="4216"/>
      <c r="G18" s="4216"/>
      <c r="H18" s="4216"/>
      <c r="I18" s="4217"/>
      <c r="J18" s="1832"/>
      <c r="K18" s="1939"/>
      <c r="L18" s="1334"/>
      <c r="M18" s="1334"/>
      <c r="N18" s="1832"/>
      <c r="O18" s="1334"/>
      <c r="P18" s="1832"/>
      <c r="Q18" s="1832"/>
      <c r="R18" s="1832"/>
      <c r="S18" s="1832"/>
      <c r="T18" s="1832"/>
      <c r="U18" s="1832"/>
      <c r="V18" s="1832"/>
    </row>
    <row r="19" spans="1:28" ht="37.200000000000003"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202" t="s">
        <v>2122</v>
      </c>
      <c r="C20" s="4203"/>
      <c r="D20" s="4204" t="s">
        <v>2123</v>
      </c>
      <c r="E20" s="4205"/>
      <c r="F20" s="1965" t="s">
        <v>1043</v>
      </c>
      <c r="G20" s="1976"/>
      <c r="H20" s="1976"/>
      <c r="I20" s="1976"/>
      <c r="J20" s="1832"/>
      <c r="K20" s="4201"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36.6" thickBot="1">
      <c r="A21" s="1952"/>
      <c r="B21" s="1953" t="s">
        <v>2125</v>
      </c>
      <c r="C21" s="1881" t="s">
        <v>1044</v>
      </c>
      <c r="D21" s="1141" t="s">
        <v>2126</v>
      </c>
      <c r="E21" s="1954" t="s">
        <v>1044</v>
      </c>
      <c r="F21" s="1966"/>
      <c r="G21" s="1976"/>
      <c r="H21" s="1976"/>
      <c r="I21" s="1976"/>
      <c r="J21" s="1832"/>
      <c r="K21" s="420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36.6" thickBot="1">
      <c r="A22" s="1952"/>
      <c r="B22" s="1955" t="s">
        <v>2127</v>
      </c>
      <c r="C22" s="1881" t="s">
        <v>1045</v>
      </c>
      <c r="D22" s="1976"/>
      <c r="E22" s="1976"/>
      <c r="F22" s="1976"/>
      <c r="G22" s="1976"/>
      <c r="H22" s="1976"/>
      <c r="I22" s="1976"/>
      <c r="J22" s="1832"/>
      <c r="K22" s="4201"/>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8"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8" thickTop="1">
      <c r="A27" s="4190"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190"/>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190"/>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191"/>
      <c r="B30" s="187" t="s">
        <v>2134</v>
      </c>
      <c r="C30" s="4192"/>
      <c r="D30" s="4193"/>
      <c r="E30" s="1976"/>
      <c r="F30" s="1976"/>
      <c r="G30" s="1976"/>
      <c r="H30" s="1976"/>
      <c r="I30" s="1976"/>
      <c r="J30" s="1832"/>
      <c r="K30" s="1937"/>
      <c r="L30" s="1934"/>
      <c r="M30" s="1934"/>
      <c r="N30" s="1832"/>
      <c r="O30" s="1334"/>
      <c r="P30" s="1832"/>
      <c r="Q30" s="1832"/>
      <c r="R30" s="1832"/>
      <c r="S30" s="1832"/>
      <c r="T30" s="1832"/>
      <c r="U30" s="1832"/>
      <c r="V30" s="1832"/>
    </row>
    <row r="31" spans="1:28">
      <c r="A31" s="4194"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195"/>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195"/>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189" t="s">
        <v>2144</v>
      </c>
      <c r="T34" s="207" t="str">
        <f>NUMBERSTRING(7-K34,1)&amp;"通"</f>
        <v>七通</v>
      </c>
      <c r="U34" s="1832"/>
      <c r="V34" s="1832"/>
    </row>
    <row r="35" spans="1:30">
      <c r="A35" s="1823"/>
      <c r="B35" s="4189" t="s">
        <v>2145</v>
      </c>
      <c r="C35" s="4189"/>
      <c r="D35" s="4189"/>
      <c r="E35" s="4189"/>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89"/>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8"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4"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2">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54"/>
  <sheetViews>
    <sheetView workbookViewId="0">
      <selection activeCell="C16" sqref="C16"/>
    </sheetView>
  </sheetViews>
  <sheetFormatPr defaultColWidth="9" defaultRowHeight="13.8"/>
  <cols>
    <col min="1" max="1" width="13.21875" style="4107" customWidth="1"/>
    <col min="2" max="2" width="13.33203125" style="4109" customWidth="1"/>
    <col min="3" max="3" width="10.44140625" style="4109" bestFit="1" customWidth="1"/>
    <col min="4" max="4" width="13.44140625" style="4109" customWidth="1"/>
    <col min="5" max="5" width="11.88671875" style="4109" customWidth="1"/>
    <col min="6" max="6" width="12.44140625" style="4109" customWidth="1"/>
    <col min="7" max="7" width="12.109375" style="4109" customWidth="1"/>
    <col min="8" max="8" width="19.21875" style="4109" bestFit="1" customWidth="1"/>
    <col min="9" max="16384" width="9" style="4109"/>
  </cols>
  <sheetData>
    <row r="1" spans="1:8" s="4092" customFormat="1" ht="14.4">
      <c r="A1" s="4091" t="s">
        <v>3856</v>
      </c>
      <c r="B1" s="4092" t="s">
        <v>3857</v>
      </c>
      <c r="C1" s="4092" t="s">
        <v>3886</v>
      </c>
    </row>
    <row r="2" spans="1:8" s="4092" customFormat="1" ht="14.4">
      <c r="A2" s="4093">
        <v>45470</v>
      </c>
      <c r="B2" s="4092" t="s">
        <v>3858</v>
      </c>
      <c r="C2" s="4097" t="s">
        <v>3887</v>
      </c>
    </row>
    <row r="3" spans="1:8" s="4092" customFormat="1" ht="14.4">
      <c r="A3" s="4094"/>
      <c r="B3" s="4092" t="s">
        <v>3859</v>
      </c>
      <c r="C3" s="4092">
        <v>5300</v>
      </c>
      <c r="D3" s="4118" t="s">
        <v>3888</v>
      </c>
      <c r="G3" s="4095"/>
    </row>
    <row r="4" spans="1:8" s="4092" customFormat="1" ht="14.4">
      <c r="A4" s="4094"/>
      <c r="B4" s="4092" t="s">
        <v>3860</v>
      </c>
      <c r="C4" s="4092" t="s">
        <v>3861</v>
      </c>
    </row>
    <row r="5" spans="1:8" s="4092" customFormat="1" ht="14.4">
      <c r="A5" s="4094"/>
      <c r="B5" s="4092" t="s">
        <v>3862</v>
      </c>
      <c r="C5" s="4092">
        <v>44600</v>
      </c>
    </row>
    <row r="6" spans="1:8" s="4092" customFormat="1" ht="14.4">
      <c r="A6" s="4094"/>
      <c r="B6" s="4092" t="s">
        <v>3863</v>
      </c>
      <c r="C6" s="4092">
        <v>80974</v>
      </c>
      <c r="E6" s="4092" t="s">
        <v>3864</v>
      </c>
      <c r="F6" s="4096">
        <v>46270</v>
      </c>
    </row>
    <row r="7" spans="1:8" s="4092" customFormat="1" ht="14.4">
      <c r="A7" s="4094"/>
      <c r="B7" s="4092" t="s">
        <v>3865</v>
      </c>
      <c r="C7" s="4092">
        <v>7588</v>
      </c>
      <c r="E7" s="4092" t="s">
        <v>3866</v>
      </c>
      <c r="F7" s="4096">
        <v>47366</v>
      </c>
    </row>
    <row r="8" spans="1:8" s="4092" customFormat="1" ht="14.4">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ht="14.4">
      <c r="A15" s="4094"/>
      <c r="B15" s="4109" t="s">
        <v>3898</v>
      </c>
      <c r="C15" s="4092" t="s">
        <v>3868</v>
      </c>
      <c r="D15" s="4092">
        <v>2700</v>
      </c>
      <c r="E15" s="4092">
        <v>2.04</v>
      </c>
      <c r="F15" s="4092">
        <f>D15*E15</f>
        <v>5508</v>
      </c>
    </row>
    <row r="16" spans="1:8" s="4092" customFormat="1" ht="14.4">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ht="14.4">
      <c r="A19" s="4094"/>
      <c r="B19" s="4117" t="s">
        <v>3885</v>
      </c>
    </row>
    <row r="20" spans="1:13" s="4092" customFormat="1">
      <c r="A20" s="4094"/>
      <c r="B20" s="4100"/>
    </row>
    <row r="21" spans="1:13" s="4092" customFormat="1">
      <c r="A21" s="4094"/>
      <c r="B21" s="4100"/>
    </row>
    <row r="22" spans="1:13" s="4092" customFormat="1" ht="14.4">
      <c r="A22" s="4094"/>
      <c r="B22" s="4101" t="s">
        <v>3869</v>
      </c>
      <c r="C22" s="4121" t="s">
        <v>3892</v>
      </c>
      <c r="D22" s="4102"/>
      <c r="E22" s="4105"/>
      <c r="F22" s="4105"/>
      <c r="G22" s="4105"/>
      <c r="H22" s="4105"/>
      <c r="I22" s="4105"/>
      <c r="J22" s="4105"/>
      <c r="K22" s="4105"/>
      <c r="L22" s="4105"/>
      <c r="M22" s="4105"/>
    </row>
    <row r="23" spans="1:13" s="4092" customFormat="1" ht="14.4">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ht="14.4">
      <c r="A26" s="4103">
        <v>45952</v>
      </c>
      <c r="B26" s="4100" t="s">
        <v>3870</v>
      </c>
      <c r="C26" s="4097" t="s">
        <v>3893</v>
      </c>
    </row>
    <row r="27" spans="1:13" s="4092" customFormat="1">
      <c r="A27" s="4094"/>
    </row>
    <row r="28" spans="1:13" s="4092" customFormat="1">
      <c r="A28" s="4094"/>
    </row>
    <row r="29" spans="1:13" s="4092" customFormat="1" ht="14.4">
      <c r="A29" s="4094"/>
      <c r="B29" s="4092" t="s">
        <v>3862</v>
      </c>
      <c r="C29" s="4092">
        <v>9000</v>
      </c>
      <c r="D29" s="4096">
        <v>45923</v>
      </c>
      <c r="E29" s="4218" t="s">
        <v>3895</v>
      </c>
      <c r="F29" s="4099"/>
      <c r="G29" s="4099"/>
    </row>
    <row r="30" spans="1:13" s="4092" customFormat="1">
      <c r="A30" s="4094"/>
      <c r="C30" s="4092">
        <v>13300</v>
      </c>
      <c r="D30" s="4096">
        <v>45940</v>
      </c>
      <c r="E30" s="4219"/>
      <c r="F30" s="4099"/>
      <c r="G30" s="4099"/>
    </row>
    <row r="31" spans="1:13" s="4092" customFormat="1">
      <c r="A31" s="4094"/>
      <c r="C31" s="4092">
        <v>22300</v>
      </c>
      <c r="D31" s="4096">
        <v>46016</v>
      </c>
      <c r="E31" s="4219"/>
      <c r="F31" s="4099"/>
      <c r="G31" s="4099"/>
    </row>
    <row r="32" spans="1:13" s="4092" customFormat="1">
      <c r="A32" s="4094"/>
      <c r="E32" s="4219"/>
      <c r="F32" s="4099"/>
      <c r="G32" s="4099"/>
    </row>
    <row r="33" spans="1:38" s="4092" customFormat="1">
      <c r="A33" s="4094"/>
      <c r="C33" s="4092">
        <f>C29+C30+C31+C32</f>
        <v>44600</v>
      </c>
      <c r="E33" s="4219"/>
      <c r="F33" s="4099"/>
      <c r="G33" s="4099"/>
    </row>
    <row r="34" spans="1:38" s="4092" customFormat="1">
      <c r="A34" s="4094"/>
      <c r="B34" s="4099"/>
      <c r="C34" s="4099"/>
      <c r="D34" s="4099"/>
      <c r="E34" s="4099"/>
      <c r="F34" s="4099"/>
      <c r="G34" s="4099"/>
    </row>
    <row r="35" spans="1:38" s="4104" customFormat="1" ht="14.4">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ht="14.4">
      <c r="A38" s="4094"/>
      <c r="B38" s="4106" t="s">
        <v>3897</v>
      </c>
      <c r="C38" s="4123" t="s">
        <v>3896</v>
      </c>
      <c r="D38" s="4106"/>
      <c r="E38" s="4106"/>
      <c r="F38" s="4106"/>
      <c r="G38" s="4106"/>
      <c r="H38" s="4105"/>
    </row>
    <row r="39" spans="1:38" s="4092" customFormat="1" ht="14.4">
      <c r="B39" s="4105"/>
      <c r="C39" s="4105"/>
      <c r="D39" s="4105"/>
      <c r="E39" s="4105"/>
      <c r="F39" s="4102"/>
      <c r="G39" s="4105"/>
      <c r="H39" s="4105"/>
    </row>
    <row r="40" spans="1:38" ht="14.4">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ht="14.4">
      <c r="A43" s="4094"/>
      <c r="B43" s="4092" t="s">
        <v>3872</v>
      </c>
      <c r="C43" s="4092"/>
      <c r="D43" s="4092"/>
      <c r="E43" s="4092"/>
      <c r="F43" s="4092"/>
      <c r="G43" s="4092"/>
      <c r="H43" s="4092"/>
    </row>
    <row r="44" spans="1:38" ht="14.4">
      <c r="A44" s="4094"/>
      <c r="B44" s="4110"/>
      <c r="C44" s="4110" t="s">
        <v>1138</v>
      </c>
      <c r="D44" s="4110" t="s">
        <v>3873</v>
      </c>
      <c r="E44" s="4110" t="s">
        <v>3874</v>
      </c>
      <c r="F44" s="4110"/>
      <c r="G44" s="4111" t="s">
        <v>3875</v>
      </c>
      <c r="H44" s="4092"/>
    </row>
    <row r="45" spans="1:38" ht="14.4">
      <c r="A45" s="4094"/>
      <c r="B45" s="4112" t="s">
        <v>3877</v>
      </c>
      <c r="C45" s="4112">
        <f>C46+C47</f>
        <v>9993.2799999999988</v>
      </c>
      <c r="D45" s="4112">
        <f>E45/C45</f>
        <v>3948.8296135002724</v>
      </c>
      <c r="E45" s="4112">
        <f>E46+E47</f>
        <v>39461760</v>
      </c>
      <c r="F45" s="4110"/>
      <c r="G45" s="4113">
        <v>1</v>
      </c>
      <c r="H45" s="4092"/>
    </row>
    <row r="46" spans="1:38" ht="14.4">
      <c r="A46" s="4094"/>
      <c r="B46" s="4110" t="s">
        <v>3879</v>
      </c>
      <c r="C46" s="4114">
        <f>'数据-汇总表'!F31</f>
        <v>5508</v>
      </c>
      <c r="D46" s="4110">
        <v>3500</v>
      </c>
      <c r="E46" s="4110">
        <f>D46*C46</f>
        <v>19278000</v>
      </c>
      <c r="F46" s="4110"/>
      <c r="G46" s="4110"/>
      <c r="H46" s="4092"/>
    </row>
    <row r="47" spans="1:38" ht="14.4">
      <c r="A47" s="4094"/>
      <c r="B47" s="4110" t="s">
        <v>3880</v>
      </c>
      <c r="C47" s="4115">
        <f>'数据-汇总表'!G31</f>
        <v>4485.28</v>
      </c>
      <c r="D47" s="4110">
        <v>4500</v>
      </c>
      <c r="E47" s="4110">
        <f>D47*C47</f>
        <v>20183760</v>
      </c>
      <c r="F47" s="4110"/>
      <c r="G47" s="4110"/>
      <c r="H47" s="4092" t="s">
        <v>3876</v>
      </c>
    </row>
    <row r="48" spans="1:38" ht="14.4">
      <c r="A48" s="4094"/>
      <c r="B48" s="4112" t="s">
        <v>3881</v>
      </c>
      <c r="C48" s="4112">
        <f>C45</f>
        <v>9993.2799999999988</v>
      </c>
      <c r="D48" s="4116">
        <v>3000</v>
      </c>
      <c r="E48" s="4112">
        <f>D48*C48</f>
        <v>29979839.999999996</v>
      </c>
      <c r="F48" s="4110"/>
      <c r="G48" s="4113">
        <v>1</v>
      </c>
      <c r="H48" s="4092" t="s">
        <v>3878</v>
      </c>
    </row>
    <row r="49" spans="1:8" ht="14.4">
      <c r="A49" s="4094"/>
      <c r="B49" s="4112" t="s">
        <v>3882</v>
      </c>
      <c r="C49" s="4112">
        <f>C45</f>
        <v>9993.2799999999988</v>
      </c>
      <c r="D49" s="4112">
        <v>1500</v>
      </c>
      <c r="E49" s="4112">
        <f>D49*C49</f>
        <v>14989919.999999998</v>
      </c>
      <c r="F49" s="4110"/>
      <c r="G49" s="4113">
        <v>1</v>
      </c>
      <c r="H49" s="4092"/>
    </row>
    <row r="50" spans="1:8" ht="14.4">
      <c r="A50" s="4094"/>
      <c r="B50" s="4112" t="s">
        <v>3883</v>
      </c>
      <c r="C50" s="4112">
        <v>0</v>
      </c>
      <c r="D50" s="4112">
        <f>D47</f>
        <v>4500</v>
      </c>
      <c r="E50" s="4112">
        <f t="shared" ref="E50" si="0">D50*C50</f>
        <v>0</v>
      </c>
      <c r="F50" s="4110"/>
      <c r="G50" s="4110"/>
      <c r="H50" s="4092"/>
    </row>
    <row r="51" spans="1:8" ht="14.4">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9" sqref="P29"/>
    </sheetView>
  </sheetViews>
  <sheetFormatPr defaultColWidth="8.88671875" defaultRowHeight="13.8"/>
  <cols>
    <col min="1" max="1" width="10.6640625" style="1145" customWidth="1"/>
    <col min="2" max="2" width="11" style="1145" customWidth="1"/>
    <col min="3" max="3" width="10.33203125" style="1145" customWidth="1"/>
    <col min="4" max="4" width="9.109375" style="1145" customWidth="1"/>
    <col min="5" max="8" width="10" style="1145" customWidth="1"/>
    <col min="9" max="9" width="10.6640625" style="1145" customWidth="1"/>
    <col min="10" max="10" width="9.44140625" style="1145" customWidth="1"/>
    <col min="11" max="11" width="11" style="1145" customWidth="1"/>
    <col min="12" max="14" width="9.44140625" style="1145" customWidth="1"/>
    <col min="15" max="15" width="9.88671875" style="1145" customWidth="1"/>
    <col min="16" max="16" width="9.77734375" style="1145" customWidth="1"/>
    <col min="17" max="17" width="9.33203125" style="1145" hidden="1" customWidth="1"/>
    <col min="18" max="18" width="9.21875" style="1145" hidden="1" customWidth="1"/>
    <col min="19" max="19" width="10.88671875" style="1145" hidden="1" customWidth="1"/>
    <col min="20" max="21" width="10.77734375" style="1145" hidden="1" customWidth="1"/>
    <col min="22" max="22" width="10.88671875" style="1145" hidden="1" customWidth="1"/>
    <col min="23" max="27" width="10.77734375" style="1145" hidden="1" customWidth="1"/>
    <col min="28" max="28" width="10.88671875" style="1145" hidden="1" customWidth="1"/>
    <col min="29" max="29" width="11" style="1145" bestFit="1" customWidth="1"/>
    <col min="30" max="30" width="10" style="1145" bestFit="1" customWidth="1"/>
    <col min="31" max="31" width="9.77734375" style="1145" customWidth="1"/>
    <col min="32" max="46" width="9.44140625" style="1145" customWidth="1"/>
    <col min="47" max="47" width="18.109375" style="1145" customWidth="1"/>
    <col min="48" max="50" width="9.77734375" style="1145" customWidth="1"/>
    <col min="51" max="55" width="10.44140625" style="1145" bestFit="1" customWidth="1"/>
    <col min="56" max="56" width="9.44140625" style="1145" bestFit="1" customWidth="1"/>
    <col min="57" max="63" width="9.109375" style="1145" bestFit="1" customWidth="1"/>
    <col min="64" max="64" width="9.44140625" style="1145" bestFit="1" customWidth="1"/>
    <col min="65" max="65" width="9.109375" style="1145" bestFit="1" customWidth="1"/>
    <col min="66" max="66" width="9.44140625" style="1145" bestFit="1" customWidth="1"/>
    <col min="67" max="69" width="9.109375" style="1145" bestFit="1" customWidth="1"/>
    <col min="70" max="70" width="9.44140625" style="1145" bestFit="1" customWidth="1"/>
    <col min="71" max="71" width="9" style="1145" customWidth="1"/>
    <col min="72" max="72" width="9.109375" style="1145" bestFit="1" customWidth="1"/>
    <col min="73" max="16384" width="8.8867187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3.2">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2">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3.2">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5.2">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2">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2">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2">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2">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3.2">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3.2">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3.2">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3.2">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3.2">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1875" defaultRowHeight="13.8"/>
  <cols>
    <col min="1" max="1" width="12.109375" style="1199" customWidth="1"/>
    <col min="2" max="2" width="10.21875" style="1199" customWidth="1"/>
    <col min="3" max="3" width="18.44140625" style="1199" customWidth="1"/>
    <col min="4" max="4" width="11.6640625" style="1199" customWidth="1"/>
    <col min="5" max="5" width="13.33203125" style="1199" customWidth="1"/>
    <col min="6" max="8" width="11.44140625" style="1199" customWidth="1"/>
    <col min="9" max="9" width="11.109375" style="1199" customWidth="1"/>
    <col min="10" max="10" width="3.109375" style="1199" customWidth="1"/>
    <col min="11" max="16" width="10" style="1199" customWidth="1"/>
    <col min="17" max="17" width="2.6640625" style="1199" customWidth="1"/>
    <col min="18" max="18" width="9.6640625" style="1199" bestFit="1" customWidth="1"/>
    <col min="19" max="19" width="10.6640625" style="1199" bestFit="1" customWidth="1"/>
    <col min="20" max="16384" width="9.21875" style="1199"/>
  </cols>
  <sheetData>
    <row r="1" spans="1:16" ht="18" thickBot="1">
      <c r="A1" s="1198" t="s">
        <v>1116</v>
      </c>
      <c r="B1" s="796"/>
      <c r="C1" s="796"/>
      <c r="D1" s="796"/>
      <c r="E1" s="796"/>
      <c r="F1" s="796"/>
      <c r="G1" s="796"/>
      <c r="H1" s="796"/>
      <c r="I1" s="796"/>
      <c r="J1" s="796"/>
      <c r="K1" s="796"/>
      <c r="L1" s="796"/>
      <c r="M1" s="796"/>
      <c r="N1" s="796"/>
      <c r="O1" s="796"/>
      <c r="P1" s="796"/>
    </row>
    <row r="2" spans="1:16" ht="14.4">
      <c r="A2" s="4229" t="s">
        <v>1117</v>
      </c>
      <c r="B2" s="4229"/>
      <c r="C2" s="4229"/>
      <c r="D2" s="548" t="s">
        <v>1093</v>
      </c>
      <c r="E2" s="1200" t="s">
        <v>1094</v>
      </c>
      <c r="F2" s="1973"/>
      <c r="G2" s="1967"/>
      <c r="H2" s="1968"/>
      <c r="I2" s="1741" t="s">
        <v>1118</v>
      </c>
      <c r="J2" s="1973"/>
      <c r="K2" s="1973"/>
      <c r="L2" s="1973"/>
      <c r="M2" s="1973"/>
      <c r="N2" s="1974"/>
      <c r="O2" s="1973"/>
      <c r="P2" s="1973"/>
    </row>
    <row r="3" spans="1:16" ht="15" thickBot="1">
      <c r="A3" s="4230" t="s">
        <v>1091</v>
      </c>
      <c r="B3" s="4230"/>
      <c r="C3" s="4230"/>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4.4">
      <c r="A4" s="4231"/>
      <c r="B4" s="4232"/>
      <c r="C4" s="4233"/>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ht="14.4">
      <c r="A5" s="24" t="s">
        <v>1095</v>
      </c>
      <c r="B5" s="4234" t="s">
        <v>1096</v>
      </c>
      <c r="C5" s="4234"/>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4" t="s">
        <v>1097</v>
      </c>
      <c r="C6" s="4234"/>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 thickBot="1">
      <c r="A7" s="4226"/>
      <c r="B7" s="4227"/>
      <c r="C7" s="4228"/>
      <c r="D7" s="1202" t="s">
        <v>1093</v>
      </c>
      <c r="E7" s="1206" t="s">
        <v>1100</v>
      </c>
      <c r="F7" s="1973"/>
      <c r="G7" s="1970" t="s">
        <v>1101</v>
      </c>
      <c r="H7" s="1971"/>
      <c r="I7" s="2690"/>
      <c r="J7" s="1973"/>
      <c r="K7" s="1973"/>
      <c r="L7" s="1973"/>
      <c r="M7" s="1973"/>
      <c r="N7" s="1973"/>
      <c r="O7" s="1973"/>
      <c r="P7" s="1973"/>
    </row>
    <row r="8" spans="1:16" ht="14.4">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ht="14.4">
      <c r="A9" s="1207"/>
      <c r="B9" s="1208"/>
      <c r="C9" s="25" t="s">
        <v>1105</v>
      </c>
      <c r="D9" s="4039">
        <f t="shared" si="0"/>
        <v>0</v>
      </c>
      <c r="E9" s="4058"/>
      <c r="F9" s="1973"/>
      <c r="G9" s="1973"/>
      <c r="H9" s="1973"/>
      <c r="I9" s="1973"/>
      <c r="J9" s="1973"/>
      <c r="K9" s="1973"/>
      <c r="L9" s="1973"/>
      <c r="M9" s="1973"/>
      <c r="N9" s="1973"/>
      <c r="O9" s="1973"/>
      <c r="P9" s="1973"/>
    </row>
    <row r="10" spans="1:16" ht="14.4">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ht="14.4">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ht="14.4">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ht="14.4">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ht="14.4">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 thickBot="1">
      <c r="A16" s="1205"/>
      <c r="B16" s="1208"/>
      <c r="C16" s="26" t="s">
        <v>1109</v>
      </c>
      <c r="D16" s="3878">
        <f>SUM(D8:D15)</f>
        <v>1645.56</v>
      </c>
      <c r="E16" s="4049">
        <f>SUM(E8:E15)</f>
        <v>6090.5599999999995</v>
      </c>
      <c r="F16" s="1973"/>
      <c r="G16" s="1973"/>
      <c r="H16" s="1209" t="s">
        <v>1121</v>
      </c>
      <c r="I16" s="1210"/>
      <c r="J16" s="796"/>
      <c r="K16" s="4223" t="s">
        <v>1121</v>
      </c>
      <c r="L16" s="4224"/>
      <c r="M16" s="4224"/>
      <c r="N16" s="4224"/>
      <c r="O16" s="4224"/>
      <c r="P16" s="4225"/>
    </row>
    <row r="17" spans="1:19" ht="14.4">
      <c r="A17" s="1211" t="s">
        <v>1122</v>
      </c>
      <c r="B17" s="1212" t="s">
        <v>1123</v>
      </c>
      <c r="C17" s="1213" t="s">
        <v>1124</v>
      </c>
      <c r="D17" s="1214" t="s">
        <v>1112</v>
      </c>
      <c r="E17" s="1215" t="s">
        <v>1113</v>
      </c>
      <c r="F17" s="1216"/>
      <c r="G17" s="1217"/>
      <c r="H17" s="1218" t="s">
        <v>1125</v>
      </c>
      <c r="I17" s="1219" t="s">
        <v>1110</v>
      </c>
      <c r="J17" s="796"/>
      <c r="K17" s="4220" t="s">
        <v>1126</v>
      </c>
      <c r="L17" s="4221"/>
      <c r="M17" s="4222"/>
      <c r="N17" s="4220" t="s">
        <v>1127</v>
      </c>
      <c r="O17" s="4221"/>
      <c r="P17" s="4222"/>
      <c r="R17" s="1201" t="s">
        <v>1128</v>
      </c>
      <c r="S17" s="30"/>
    </row>
    <row r="18" spans="1:19" ht="14.4">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ht="14.4">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ht="14.4">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ht="14.4">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ht="14.4">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ht="14.4">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ht="14.4">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ht="14.4">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ht="14.4">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8.2"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ht="14.4">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ht="14.4">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4.4">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ht="14.4">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tabSelected="1"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J34" sqref="J34"/>
    </sheetView>
  </sheetViews>
  <sheetFormatPr defaultColWidth="13.77734375" defaultRowHeight="13.2"/>
  <cols>
    <col min="1" max="1" width="31.6640625" style="1287" customWidth="1"/>
    <col min="2" max="2" width="12" style="1235" customWidth="1"/>
    <col min="3" max="3" width="12.77734375" style="1235" customWidth="1"/>
    <col min="4" max="4" width="9.109375" style="1288" customWidth="1"/>
    <col min="5" max="5" width="15" style="1235" bestFit="1" customWidth="1"/>
    <col min="6" max="10" width="8.88671875" style="1235" customWidth="1"/>
    <col min="11" max="12" width="12.33203125" style="1167" customWidth="1"/>
    <col min="13" max="13" width="8.6640625" style="1235" customWidth="1"/>
    <col min="14" max="14" width="11.88671875" style="1235" customWidth="1"/>
    <col min="15" max="15" width="8.44140625" style="1235" customWidth="1"/>
    <col min="16" max="17" width="10.88671875" style="1235" customWidth="1"/>
    <col min="18" max="19" width="12.44140625" style="1235" customWidth="1"/>
    <col min="20" max="20" width="12.109375" style="1235" customWidth="1"/>
    <col min="21" max="21" width="7.44140625" style="1235" customWidth="1"/>
    <col min="22" max="22" width="6.33203125" style="1235" customWidth="1"/>
    <col min="23" max="30" width="6.77734375" style="1235" customWidth="1"/>
    <col min="31" max="31" width="8" style="1235" customWidth="1"/>
    <col min="32" max="33" width="7.21875" style="1235" customWidth="1"/>
    <col min="34" max="34" width="9.6640625" style="1235" customWidth="1"/>
    <col min="35" max="39" width="8" style="1235" customWidth="1"/>
    <col min="40" max="40" width="13.77734375" style="48"/>
    <col min="41" max="45" width="14.33203125" style="3532" customWidth="1"/>
    <col min="46" max="67" width="13.77734375" style="48"/>
    <col min="68" max="16384" width="13.7773437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4"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3.8">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10000</v>
      </c>
      <c r="M6" s="4061">
        <f t="shared" ref="M6:M14" si="1">ROUND(K6*L6/10000,0)</f>
        <v>5375</v>
      </c>
      <c r="N6" s="3496">
        <v>0</v>
      </c>
      <c r="O6" s="4061">
        <f>IF($N$5="成新度","——",ROUND(M6*N6,0))</f>
        <v>0</v>
      </c>
      <c r="P6" s="3887">
        <f>IF($N$5="成新度","——",M6-O6)</f>
        <v>5375</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1856</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53750000</v>
      </c>
      <c r="AQ6" s="4039">
        <f>ROUND($L$14*$N$14*S6/10000,0)</f>
        <v>0</v>
      </c>
      <c r="AR6" s="4039">
        <f>ROUND($L$14*(1-$N$14)*S6/10000,0)</f>
        <v>1856</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3.8">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5500</v>
      </c>
      <c r="M7" s="4061">
        <f t="shared" si="1"/>
        <v>366</v>
      </c>
      <c r="N7" s="3496">
        <v>0</v>
      </c>
      <c r="O7" s="4061">
        <f t="shared" ref="O7:O14" si="3">IF($N$5="成新度","——",ROUND(M7*N7,0))</f>
        <v>0</v>
      </c>
      <c r="P7" s="3887">
        <f t="shared" ref="P7:P14" si="4">IF($N$5="成新度","——",M7-O7)</f>
        <v>366</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230</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230</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3.8">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3.8">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3.8">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3.8">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3.8">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3.8">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4">
      <c r="A14" s="1263" t="s">
        <v>1191</v>
      </c>
      <c r="B14" s="1260" t="s">
        <v>1192</v>
      </c>
      <c r="C14" s="1264" t="s">
        <v>1191</v>
      </c>
      <c r="D14" s="3504"/>
      <c r="E14" s="575"/>
      <c r="F14" s="3506"/>
      <c r="G14" s="3507"/>
      <c r="H14" s="3510"/>
      <c r="I14" s="3510"/>
      <c r="J14" s="3510"/>
      <c r="K14" s="4059">
        <f>SUMIF('数据-汇总表'!C$19:C$33,A14,'数据-汇总表'!E$19:E$33)</f>
        <v>3792.72</v>
      </c>
      <c r="L14" s="4062">
        <f>L7</f>
        <v>5500</v>
      </c>
      <c r="M14" s="4061">
        <f t="shared" si="1"/>
        <v>2086</v>
      </c>
      <c r="N14" s="3499">
        <f>N6</f>
        <v>0</v>
      </c>
      <c r="O14" s="4061">
        <f t="shared" si="3"/>
        <v>0</v>
      </c>
      <c r="P14" s="3887">
        <f t="shared" si="4"/>
        <v>2086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4">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7960</v>
      </c>
      <c r="M16" s="4064">
        <f>SUM(M6:M14)</f>
        <v>7827</v>
      </c>
      <c r="N16" s="3502">
        <f>ROUND(SUMPRODUCT(M6:M14,N6:N14)/M16,3)</f>
        <v>0</v>
      </c>
      <c r="O16" s="4064">
        <f>SUM(O6:O14)</f>
        <v>0</v>
      </c>
      <c r="P16" s="4064">
        <f>SUM(P6:P14)</f>
        <v>7827</v>
      </c>
      <c r="Q16" s="3503">
        <f>ROUND(SUMPRODUCT(Q6:Q13,K6:K13)/SUMPRODUCT((Q6:Q13&gt;0)*(K6:K13)),2)</f>
        <v>0.19</v>
      </c>
      <c r="R16" s="4077">
        <f ca="1">SUM(R6:R13)</f>
        <v>2700.0099999999998</v>
      </c>
      <c r="S16" s="4078">
        <f>SUM(S6:S13)</f>
        <v>3792.72</v>
      </c>
      <c r="T16" s="4079">
        <f>IF(SUMIF(T6:T13,"&lt;9E307")=M14,SUMIF(T6:T13,"&lt;9E307"),"有误，请检查")</f>
        <v>2086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8"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4">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4">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4">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4">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4">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4.4"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4">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4">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29.4"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4">
      <c r="A30" s="1274" t="s">
        <v>1209</v>
      </c>
      <c r="B30" s="4072">
        <v>150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4">
      <c r="A31" s="1272" t="s">
        <v>1210</v>
      </c>
      <c r="B31" s="4067">
        <f>B30-B32</f>
        <v>150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4">
      <c r="A33" s="1271" t="s">
        <v>1212</v>
      </c>
      <c r="B33" s="4090">
        <v>0.02</v>
      </c>
      <c r="C33" s="3868" t="s">
        <v>3839</v>
      </c>
      <c r="D33" s="1985"/>
      <c r="E33" s="1973"/>
      <c r="F33" s="1973"/>
      <c r="G33" s="1973">
        <f>B33*L16</f>
        <v>159.20000000000002</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4">
      <c r="A34" s="1272" t="s">
        <v>1213</v>
      </c>
      <c r="B34" s="3515">
        <v>7.0000000000000007E-2</v>
      </c>
      <c r="C34" s="2095" t="s">
        <v>2202</v>
      </c>
      <c r="D34" s="1993" t="s">
        <v>2207</v>
      </c>
      <c r="E34" s="1991"/>
      <c r="F34" s="1973"/>
      <c r="G34" s="1973"/>
      <c r="H34" s="1973">
        <f ca="1">假设开发法!C18*10000/2600</f>
        <v>1446.1538461538462</v>
      </c>
      <c r="I34" s="1973"/>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4">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4">
      <c r="A36" s="2583" t="s">
        <v>3305</v>
      </c>
      <c r="B36" s="3515">
        <v>0.02</v>
      </c>
      <c r="C36" s="3869" t="s">
        <v>3840</v>
      </c>
      <c r="D36" s="1988"/>
      <c r="E36" s="1974"/>
      <c r="F36" s="1974"/>
      <c r="G36" s="1973">
        <f>B36*L16</f>
        <v>159.20000000000002</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0.01</v>
      </c>
      <c r="C37" s="3869" t="s">
        <v>3841</v>
      </c>
      <c r="D37" s="1985"/>
      <c r="E37" s="1973"/>
      <c r="F37" s="1973"/>
      <c r="G37" s="1973">
        <f>B37*L16</f>
        <v>79.600000000000009</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4">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4">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4">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4.4"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4">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4">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4">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4">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4">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4">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4">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4">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4">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4">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4">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4">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4">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4">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4">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4">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4">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4">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4">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3.8"/>
  <cols>
    <col min="1" max="1" width="9.44140625" style="1199" customWidth="1"/>
    <col min="2" max="3" width="24.44140625" style="1144" customWidth="1"/>
    <col min="4" max="4" width="2.6640625" style="1144" customWidth="1"/>
    <col min="5" max="5" width="5.88671875" style="1144" customWidth="1"/>
    <col min="6" max="7" width="27" style="1144" customWidth="1"/>
    <col min="8" max="8" width="11.88671875" style="1862" customWidth="1"/>
    <col min="9" max="9" width="16.77734375" style="1862" customWidth="1"/>
    <col min="10" max="10" width="2.6640625" style="1862" customWidth="1"/>
    <col min="11" max="11" width="11.88671875" style="1862" customWidth="1"/>
    <col min="12" max="12" width="16.77734375" style="1862" customWidth="1"/>
    <col min="13" max="13" width="2.6640625" style="1862" customWidth="1"/>
    <col min="14" max="14" width="11.88671875" style="1862" customWidth="1"/>
    <col min="15" max="15" width="16.77734375" style="1862" customWidth="1"/>
    <col min="16" max="16" width="2.6640625" style="1862" customWidth="1"/>
    <col min="17" max="17" width="11.88671875" style="1862" customWidth="1"/>
    <col min="18" max="18" width="16.77734375" style="549" customWidth="1"/>
    <col min="19" max="29" width="9" style="549"/>
    <col min="30" max="16384" width="9" style="1199"/>
  </cols>
  <sheetData>
    <row r="1" spans="1:29" s="1846" customFormat="1" ht="18" thickBot="1">
      <c r="A1" s="4235" t="s">
        <v>2193</v>
      </c>
      <c r="B1" s="4236"/>
      <c r="C1" s="4236"/>
      <c r="D1" s="4236"/>
      <c r="E1" s="4236"/>
      <c r="F1" s="4236"/>
      <c r="G1" s="4236"/>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4"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48.6"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4.4"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7.399999999999999">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 thickBot="1">
      <c r="A13" s="1869" t="s">
        <v>2194</v>
      </c>
      <c r="B13" s="1865"/>
      <c r="C13" s="1865"/>
      <c r="D13" s="1864"/>
      <c r="E13" s="1865"/>
      <c r="F13" s="1865"/>
      <c r="G13" s="1865"/>
    </row>
    <row r="14" spans="1:29" ht="14.4" thickBot="1">
      <c r="A14" s="1870"/>
      <c r="B14" s="1870"/>
      <c r="C14" s="1871" t="s">
        <v>2179</v>
      </c>
      <c r="D14" s="1852"/>
      <c r="E14" s="1872"/>
      <c r="F14" s="1872"/>
      <c r="G14" s="1849" t="s">
        <v>2180</v>
      </c>
    </row>
    <row r="15" spans="1:29" ht="66">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6">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2.8">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52.8">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4.4"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4.4"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23" sqref="L23"/>
    </sheetView>
  </sheetViews>
  <sheetFormatPr defaultColWidth="9" defaultRowHeight="14.4"/>
  <cols>
    <col min="1" max="1" width="25" style="1886" customWidth="1"/>
    <col min="2" max="9" width="15.77734375" style="1886" customWidth="1"/>
    <col min="10" max="16384" width="9" style="1886"/>
  </cols>
  <sheetData>
    <row r="1" spans="1:11" ht="16.2">
      <c r="A1" s="1885" t="s">
        <v>653</v>
      </c>
      <c r="B1" s="1885">
        <f>SUM(B14:B23)</f>
        <v>9993.2799999999988</v>
      </c>
      <c r="C1" s="1995"/>
      <c r="D1" s="1995"/>
      <c r="E1" s="1995"/>
      <c r="F1" s="1995"/>
      <c r="G1" s="1996"/>
      <c r="H1" s="1996"/>
      <c r="I1" s="1996"/>
      <c r="J1" s="1996"/>
      <c r="K1" s="1996"/>
    </row>
    <row r="2" spans="1:11" ht="16.2">
      <c r="A2" s="1885" t="s">
        <v>641</v>
      </c>
      <c r="B2" s="1885">
        <f>SUM(C14:C23)</f>
        <v>2700</v>
      </c>
      <c r="C2" s="1995"/>
      <c r="D2" s="1995"/>
      <c r="E2" s="1995"/>
      <c r="F2" s="1995"/>
      <c r="G2" s="1996"/>
      <c r="H2" s="1996"/>
      <c r="I2" s="1996"/>
      <c r="J2" s="1996"/>
      <c r="K2" s="1996"/>
    </row>
    <row r="3" spans="1:11" ht="15.6">
      <c r="A3" s="1885" t="s">
        <v>650</v>
      </c>
      <c r="B3" s="1887">
        <f>项目基本情况!D3</f>
        <v>46038</v>
      </c>
      <c r="C3" s="1995"/>
      <c r="D3" s="1995"/>
      <c r="E3" s="1995"/>
      <c r="F3" s="1995"/>
      <c r="G3" s="1996"/>
      <c r="H3" s="1996"/>
      <c r="I3" s="1996"/>
      <c r="J3" s="1996"/>
      <c r="K3" s="1996"/>
    </row>
    <row r="4" spans="1:11" ht="31.2">
      <c r="A4" s="1885" t="s">
        <v>649</v>
      </c>
      <c r="B4" s="1885" t="s">
        <v>648</v>
      </c>
      <c r="C4" s="1885" t="s">
        <v>647</v>
      </c>
      <c r="D4" s="1885" t="s">
        <v>646</v>
      </c>
      <c r="E4" s="1995"/>
      <c r="F4" s="1996"/>
      <c r="G4" s="1996"/>
      <c r="H4" s="1996"/>
      <c r="I4" s="1996"/>
      <c r="J4" s="1996"/>
      <c r="K4" s="1996"/>
    </row>
    <row r="5" spans="1:11" ht="15.6">
      <c r="A5" s="1885" t="s">
        <v>645</v>
      </c>
      <c r="B5" s="1885">
        <f ca="1">SUM(D14:D23)</f>
        <v>48212</v>
      </c>
      <c r="C5" s="1885">
        <f ca="1">ROUND(B5*10000/$B$1,0)</f>
        <v>48244</v>
      </c>
      <c r="D5" s="1885">
        <f ca="1">ROUND(B5*10000/$B$2,0)</f>
        <v>178563</v>
      </c>
      <c r="E5" s="1995"/>
      <c r="F5" s="1996"/>
      <c r="G5" s="1996"/>
      <c r="H5" s="1996"/>
      <c r="I5" s="1996"/>
      <c r="J5" s="1996"/>
      <c r="K5" s="1996"/>
    </row>
    <row r="6" spans="1:11" ht="15.6">
      <c r="A6" s="1885" t="s">
        <v>644</v>
      </c>
      <c r="B6" s="1885">
        <f ca="1">SUM(G14:G23)</f>
        <v>46574</v>
      </c>
      <c r="C6" s="1885">
        <f ca="1">ROUND(B6*10000/$B$1,0)</f>
        <v>46605</v>
      </c>
      <c r="D6" s="1885">
        <f ca="1">ROUND(B6*10000/$B$2,0)</f>
        <v>172496</v>
      </c>
      <c r="E6" s="1995"/>
      <c r="F6" s="1996"/>
      <c r="G6" s="1996"/>
      <c r="H6" s="1996"/>
      <c r="I6" s="1996"/>
      <c r="J6" s="1996"/>
      <c r="K6" s="1996"/>
    </row>
    <row r="7" spans="1:11" ht="15.6">
      <c r="A7" s="1885" t="s">
        <v>652</v>
      </c>
      <c r="B7" s="1885">
        <f>SUM(H14:H23)</f>
        <v>0</v>
      </c>
      <c r="C7" s="1885" t="str">
        <f>IF(B7=H14,结果表!H110,ROUND(B7*10000/$B$1,0))</f>
        <v>——</v>
      </c>
      <c r="D7" s="1885">
        <f>ROUND(B7*10000/$B$2,0)</f>
        <v>0</v>
      </c>
      <c r="E7" s="1995"/>
      <c r="F7" s="1996"/>
      <c r="G7" s="1996"/>
      <c r="H7" s="1996"/>
      <c r="I7" s="1996"/>
      <c r="J7" s="1996"/>
      <c r="K7" s="1996"/>
    </row>
    <row r="8" spans="1:11" ht="15.6">
      <c r="A8" s="1885" t="s">
        <v>581</v>
      </c>
      <c r="B8" s="1885">
        <f>SUM(I14:I23)</f>
        <v>0</v>
      </c>
      <c r="C8" s="1885" t="str">
        <f>IF(B8=I14,结果表!H112,ROUND(B8*10000/$B$1,0))</f>
        <v>——</v>
      </c>
      <c r="D8" s="1885">
        <f>ROUND(B8*10000/$B$2,0)</f>
        <v>0</v>
      </c>
      <c r="E8" s="1995"/>
      <c r="F8" s="1996"/>
      <c r="G8" s="1996"/>
      <c r="H8" s="1996"/>
      <c r="I8" s="1996"/>
      <c r="J8" s="1996"/>
      <c r="K8" s="1996"/>
    </row>
    <row r="9" spans="1:11" ht="15.6">
      <c r="A9" s="1885" t="s">
        <v>643</v>
      </c>
      <c r="B9" s="2681"/>
      <c r="C9" s="2682"/>
      <c r="D9" s="2682"/>
      <c r="E9" s="1995"/>
      <c r="F9" s="1996"/>
      <c r="G9" s="1996"/>
      <c r="H9" s="1996"/>
      <c r="I9" s="1996"/>
      <c r="J9" s="1996"/>
      <c r="K9" s="1996"/>
    </row>
    <row r="10" spans="1:11" ht="15.6">
      <c r="A10" s="1885" t="s">
        <v>642</v>
      </c>
      <c r="B10" s="1885">
        <f>IF(E10="",0,ROUND(B1*(E10*365/G10)/10000,0))</f>
        <v>0</v>
      </c>
      <c r="C10" s="1885" t="s">
        <v>3253</v>
      </c>
      <c r="D10" s="1885" t="s">
        <v>3254</v>
      </c>
      <c r="E10" s="3875"/>
      <c r="F10" s="2569" t="s">
        <v>3255</v>
      </c>
      <c r="G10" s="3876"/>
      <c r="H10" s="1996"/>
      <c r="I10" s="1996"/>
      <c r="J10" s="1996"/>
      <c r="K10" s="1996"/>
    </row>
    <row r="11" spans="1:11" ht="15.6">
      <c r="A11" s="1885" t="s">
        <v>658</v>
      </c>
      <c r="B11" s="3874"/>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8" t="s">
        <v>657</v>
      </c>
      <c r="B13" s="1889" t="s">
        <v>654</v>
      </c>
      <c r="C13" s="1889" t="s">
        <v>656</v>
      </c>
      <c r="D13" s="1889" t="s">
        <v>655</v>
      </c>
      <c r="E13" s="1885" t="s">
        <v>647</v>
      </c>
      <c r="F13" s="1885" t="s">
        <v>646</v>
      </c>
      <c r="G13" s="1889" t="s">
        <v>640</v>
      </c>
      <c r="H13" s="1889" t="s">
        <v>651</v>
      </c>
      <c r="I13" s="1889" t="s">
        <v>639</v>
      </c>
      <c r="J13" s="1996"/>
      <c r="K13" s="1996"/>
    </row>
    <row r="14" spans="1:11" ht="15.6">
      <c r="A14" s="1890" t="s">
        <v>638</v>
      </c>
      <c r="B14" s="3872">
        <f>结果表!B118</f>
        <v>9993.2799999999988</v>
      </c>
      <c r="C14" s="3872">
        <f>结果表!C118</f>
        <v>2700</v>
      </c>
      <c r="D14" s="3872">
        <f ca="1">结果表!H118</f>
        <v>48212</v>
      </c>
      <c r="E14" s="3872">
        <f ca="1">ROUND(D14*10000/B14,0)</f>
        <v>48244</v>
      </c>
      <c r="F14" s="3872">
        <f ca="1">ROUND(D14*10000/C14,0)</f>
        <v>178563</v>
      </c>
      <c r="G14" s="3872">
        <f ca="1">结果表!D122</f>
        <v>46574</v>
      </c>
      <c r="H14" s="3872"/>
      <c r="I14" s="3872"/>
      <c r="J14" s="1996"/>
      <c r="K14" s="1996"/>
    </row>
    <row r="15" spans="1:11" ht="15.6">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5.6">
      <c r="A16" s="1890" t="s">
        <v>636</v>
      </c>
      <c r="B16" s="3873"/>
      <c r="C16" s="3873"/>
      <c r="D16" s="3873"/>
      <c r="E16" s="3872" t="e">
        <f t="shared" si="0"/>
        <v>#DIV/0!</v>
      </c>
      <c r="F16" s="3872" t="e">
        <f t="shared" si="1"/>
        <v>#DIV/0!</v>
      </c>
      <c r="G16" s="3874"/>
      <c r="H16" s="3874"/>
      <c r="I16" s="3873"/>
      <c r="J16" s="1996"/>
      <c r="K16" s="1996"/>
    </row>
    <row r="17" spans="1:11" ht="15.6">
      <c r="A17" s="1890" t="s">
        <v>635</v>
      </c>
      <c r="B17" s="3873"/>
      <c r="C17" s="3873"/>
      <c r="D17" s="3873"/>
      <c r="E17" s="3872" t="e">
        <f t="shared" si="0"/>
        <v>#DIV/0!</v>
      </c>
      <c r="F17" s="3872" t="e">
        <f t="shared" si="1"/>
        <v>#DIV/0!</v>
      </c>
      <c r="G17" s="3874"/>
      <c r="H17" s="3874"/>
      <c r="I17" s="3873"/>
      <c r="J17" s="1996"/>
      <c r="K17" s="1996"/>
    </row>
    <row r="18" spans="1:11" ht="15.6">
      <c r="A18" s="1890" t="s">
        <v>634</v>
      </c>
      <c r="B18" s="3873"/>
      <c r="C18" s="3873"/>
      <c r="D18" s="3873"/>
      <c r="E18" s="3872" t="e">
        <f t="shared" si="0"/>
        <v>#DIV/0!</v>
      </c>
      <c r="F18" s="3872" t="e">
        <f t="shared" si="1"/>
        <v>#DIV/0!</v>
      </c>
      <c r="G18" s="3873"/>
      <c r="H18" s="3873"/>
      <c r="I18" s="3873"/>
      <c r="J18" s="1996"/>
      <c r="K18" s="1996"/>
    </row>
    <row r="19" spans="1:11" ht="15.6">
      <c r="A19" s="1890" t="s">
        <v>633</v>
      </c>
      <c r="B19" s="3873"/>
      <c r="C19" s="3873"/>
      <c r="D19" s="3873"/>
      <c r="E19" s="3872" t="e">
        <f t="shared" si="0"/>
        <v>#DIV/0!</v>
      </c>
      <c r="F19" s="3872" t="e">
        <f t="shared" si="1"/>
        <v>#DIV/0!</v>
      </c>
      <c r="G19" s="3873"/>
      <c r="H19" s="3873"/>
      <c r="I19" s="3873"/>
      <c r="J19" s="1996"/>
      <c r="K19" s="1996"/>
    </row>
    <row r="20" spans="1:11" ht="15.6">
      <c r="A20" s="1890" t="s">
        <v>632</v>
      </c>
      <c r="B20" s="3873"/>
      <c r="C20" s="3873"/>
      <c r="D20" s="3873"/>
      <c r="E20" s="3872" t="e">
        <f t="shared" si="0"/>
        <v>#DIV/0!</v>
      </c>
      <c r="F20" s="3872" t="e">
        <f t="shared" si="1"/>
        <v>#DIV/0!</v>
      </c>
      <c r="G20" s="3873"/>
      <c r="H20" s="3873"/>
      <c r="I20" s="3873"/>
      <c r="J20" s="1996"/>
      <c r="K20" s="1996"/>
    </row>
    <row r="21" spans="1:11" ht="15.6">
      <c r="A21" s="1890" t="s">
        <v>631</v>
      </c>
      <c r="B21" s="3873"/>
      <c r="C21" s="3873"/>
      <c r="D21" s="3873"/>
      <c r="E21" s="3872" t="e">
        <f t="shared" si="0"/>
        <v>#DIV/0!</v>
      </c>
      <c r="F21" s="3872" t="e">
        <f t="shared" si="1"/>
        <v>#DIV/0!</v>
      </c>
      <c r="G21" s="3873"/>
      <c r="H21" s="3873"/>
      <c r="I21" s="3873"/>
      <c r="J21" s="1996"/>
      <c r="K21" s="1996"/>
    </row>
    <row r="22" spans="1:11" ht="15.6">
      <c r="A22" s="1890" t="s">
        <v>630</v>
      </c>
      <c r="B22" s="3873"/>
      <c r="C22" s="3873"/>
      <c r="D22" s="3873"/>
      <c r="E22" s="3872" t="e">
        <f t="shared" si="0"/>
        <v>#DIV/0!</v>
      </c>
      <c r="F22" s="3872" t="e">
        <f t="shared" si="1"/>
        <v>#DIV/0!</v>
      </c>
      <c r="G22" s="3873"/>
      <c r="H22" s="3873"/>
      <c r="I22" s="3873"/>
      <c r="J22" s="1996"/>
      <c r="K22" s="1996"/>
    </row>
    <row r="23" spans="1:11" ht="15.6">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D119" sqref="D119:E119"/>
    </sheetView>
  </sheetViews>
  <sheetFormatPr defaultColWidth="12.6640625" defaultRowHeight="21.75" customHeight="1"/>
  <cols>
    <col min="1" max="2" width="12.6640625" style="1235"/>
    <col min="3" max="4" width="12.6640625" style="1235" customWidth="1"/>
    <col min="5" max="9" width="12.6640625" style="1235"/>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2"/>
    <col min="36" max="16384" width="12.6640625" style="1235"/>
  </cols>
  <sheetData>
    <row r="1" spans="1:12" ht="21.75" customHeight="1" thickBot="1">
      <c r="A1" s="1198" t="s">
        <v>1246</v>
      </c>
      <c r="B1" s="475"/>
      <c r="C1" s="1289"/>
      <c r="D1" s="475"/>
      <c r="E1" s="475"/>
      <c r="F1" s="1290" t="s">
        <v>1247</v>
      </c>
      <c r="G1" s="1135" t="s">
        <v>4656</v>
      </c>
      <c r="H1" s="1290" t="str">
        <f>IF(G1="现房","——","估价对象范围")</f>
        <v>估价对象范围</v>
      </c>
      <c r="I1" s="1291" t="s">
        <v>4657</v>
      </c>
    </row>
    <row r="2" spans="1:12" ht="21.75" customHeight="1" thickBot="1">
      <c r="A2" s="4280" t="str">
        <f>项目基本情况!S2</f>
        <v>北京市朝阳区呼家楼南里CY00-0310-9001地块出让国有建设用地使用权</v>
      </c>
      <c r="B2" s="4281"/>
      <c r="C2" s="4281"/>
      <c r="D2" s="4281"/>
      <c r="E2" s="4281"/>
      <c r="F2" s="4281"/>
      <c r="G2" s="4281"/>
      <c r="H2" s="4281"/>
      <c r="I2" s="4282"/>
    </row>
    <row r="3" spans="1:12" ht="13.2">
      <c r="A3" s="4284" t="s">
        <v>1248</v>
      </c>
      <c r="B3" s="4285"/>
      <c r="C3" s="4285"/>
      <c r="D3" s="4285"/>
      <c r="E3" s="4285"/>
      <c r="F3" s="4285"/>
      <c r="G3" s="4285"/>
      <c r="H3" s="4285"/>
      <c r="I3" s="4285"/>
    </row>
    <row r="4" spans="1:12" ht="14.4">
      <c r="A4" s="1293" t="s">
        <v>1249</v>
      </c>
      <c r="B4" s="1294" t="s">
        <v>1250</v>
      </c>
      <c r="C4" s="3788" t="s">
        <v>4642</v>
      </c>
      <c r="D4" s="3788" t="s">
        <v>4643</v>
      </c>
      <c r="E4" s="4286" t="s">
        <v>1251</v>
      </c>
      <c r="F4" s="4287"/>
      <c r="G4" s="4287"/>
      <c r="H4" s="4287"/>
      <c r="I4" s="428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273" t="s">
        <v>1252</v>
      </c>
      <c r="B5" s="4263">
        <v>25</v>
      </c>
      <c r="C5" s="4239"/>
      <c r="D5" s="4283"/>
      <c r="E5" s="49" t="s">
        <v>1253</v>
      </c>
      <c r="F5" s="1295"/>
      <c r="G5" s="1295"/>
      <c r="H5" s="1295"/>
      <c r="I5" s="962"/>
    </row>
    <row r="6" spans="1:12" ht="13.2">
      <c r="A6" s="4273"/>
      <c r="B6" s="4263"/>
      <c r="C6" s="4240"/>
      <c r="D6" s="4283"/>
      <c r="E6" s="49" t="s">
        <v>1254</v>
      </c>
      <c r="F6" s="1295"/>
      <c r="G6" s="1295"/>
      <c r="H6" s="1295"/>
      <c r="I6" s="962"/>
    </row>
    <row r="7" spans="1:12" ht="13.2">
      <c r="A7" s="4273"/>
      <c r="B7" s="4263"/>
      <c r="C7" s="4241"/>
      <c r="D7" s="4283"/>
      <c r="E7" s="49" t="s">
        <v>1255</v>
      </c>
      <c r="F7" s="1295"/>
      <c r="G7" s="1295"/>
      <c r="H7" s="1295"/>
      <c r="I7" s="962"/>
    </row>
    <row r="8" spans="1:12" ht="13.2">
      <c r="A8" s="4273" t="s">
        <v>1256</v>
      </c>
      <c r="B8" s="4263">
        <v>15</v>
      </c>
      <c r="C8" s="4239"/>
      <c r="D8" s="4283"/>
      <c r="E8" s="49" t="s">
        <v>1257</v>
      </c>
      <c r="F8" s="1295"/>
      <c r="G8" s="1295"/>
      <c r="H8" s="1295"/>
      <c r="I8" s="962"/>
    </row>
    <row r="9" spans="1:12" ht="13.2">
      <c r="A9" s="4273"/>
      <c r="B9" s="4263"/>
      <c r="C9" s="4241"/>
      <c r="D9" s="4283"/>
      <c r="E9" s="49" t="s">
        <v>1258</v>
      </c>
      <c r="F9" s="1295"/>
      <c r="G9" s="1295"/>
      <c r="H9" s="1295"/>
      <c r="I9" s="962"/>
    </row>
    <row r="10" spans="1:12" ht="13.2">
      <c r="A10" s="4273" t="s">
        <v>1259</v>
      </c>
      <c r="B10" s="4263">
        <v>15</v>
      </c>
      <c r="C10" s="4239"/>
      <c r="D10" s="4283"/>
      <c r="E10" s="49" t="s">
        <v>1260</v>
      </c>
      <c r="F10" s="1295"/>
      <c r="G10" s="1295"/>
      <c r="H10" s="1295"/>
      <c r="I10" s="962"/>
    </row>
    <row r="11" spans="1:12" ht="13.2">
      <c r="A11" s="4273"/>
      <c r="B11" s="4263"/>
      <c r="C11" s="4241"/>
      <c r="D11" s="4283"/>
      <c r="E11" s="49" t="s">
        <v>1261</v>
      </c>
      <c r="F11" s="1295"/>
      <c r="G11" s="1295"/>
      <c r="H11" s="1295"/>
      <c r="I11" s="962"/>
    </row>
    <row r="12" spans="1:12" ht="13.2">
      <c r="A12" s="4273" t="s">
        <v>1262</v>
      </c>
      <c r="B12" s="4263">
        <v>15</v>
      </c>
      <c r="C12" s="4239"/>
      <c r="D12" s="4283"/>
      <c r="E12" s="49" t="s">
        <v>1263</v>
      </c>
      <c r="F12" s="1295"/>
      <c r="G12" s="1295"/>
      <c r="H12" s="1295"/>
      <c r="I12" s="962"/>
    </row>
    <row r="13" spans="1:12" ht="13.2">
      <c r="A13" s="4273"/>
      <c r="B13" s="4263"/>
      <c r="C13" s="4241"/>
      <c r="D13" s="4283"/>
      <c r="E13" s="49" t="s">
        <v>1264</v>
      </c>
      <c r="F13" s="1295"/>
      <c r="G13" s="1295"/>
      <c r="H13" s="1295"/>
      <c r="I13" s="962"/>
    </row>
    <row r="14" spans="1:12" ht="13.2">
      <c r="A14" s="4273" t="s">
        <v>1265</v>
      </c>
      <c r="B14" s="4263">
        <v>30</v>
      </c>
      <c r="C14" s="4239">
        <v>5</v>
      </c>
      <c r="D14" s="4283">
        <v>5</v>
      </c>
      <c r="E14" s="49" t="s">
        <v>1266</v>
      </c>
      <c r="F14" s="1295"/>
      <c r="G14" s="1295"/>
      <c r="H14" s="1295"/>
      <c r="I14" s="962"/>
    </row>
    <row r="15" spans="1:12" ht="13.2">
      <c r="A15" s="4273"/>
      <c r="B15" s="4263"/>
      <c r="C15" s="4240"/>
      <c r="D15" s="4283"/>
      <c r="E15" s="49" t="s">
        <v>1267</v>
      </c>
      <c r="F15" s="1295"/>
      <c r="G15" s="1295"/>
      <c r="H15" s="1295"/>
      <c r="I15" s="962"/>
    </row>
    <row r="16" spans="1:12" ht="13.2">
      <c r="A16" s="4273"/>
      <c r="B16" s="4263"/>
      <c r="C16" s="4241"/>
      <c r="D16" s="4283"/>
      <c r="E16" s="49" t="s">
        <v>1268</v>
      </c>
      <c r="F16" s="1295"/>
      <c r="G16" s="1295"/>
      <c r="H16" s="1295"/>
      <c r="I16" s="962"/>
    </row>
    <row r="17" spans="1:36" ht="14.4">
      <c r="A17" s="1296" t="s">
        <v>1269</v>
      </c>
      <c r="B17" s="3787"/>
      <c r="C17" s="3877">
        <f>SUM(C5:C16)</f>
        <v>5</v>
      </c>
      <c r="D17" s="3877">
        <f>SUM(D5:D16)</f>
        <v>5</v>
      </c>
      <c r="E17" s="47"/>
      <c r="F17" s="47"/>
      <c r="G17" s="47"/>
      <c r="H17" s="47"/>
      <c r="I17" s="47"/>
      <c r="K17" s="187"/>
      <c r="L17" s="187" t="s">
        <v>1270</v>
      </c>
      <c r="M17" s="187" t="s">
        <v>1271</v>
      </c>
    </row>
    <row r="18" spans="1:36" ht="31.95" customHeight="1" thickBot="1">
      <c r="A18" s="1297" t="s">
        <v>1272</v>
      </c>
      <c r="B18" s="1220"/>
      <c r="C18" s="3878">
        <f>ROUND(C17/SUM(C17:D17),2)</f>
        <v>0.5</v>
      </c>
      <c r="D18" s="3878">
        <f>1-C18</f>
        <v>0.5</v>
      </c>
      <c r="E18" s="4248" t="s">
        <v>2047</v>
      </c>
      <c r="F18" s="4249"/>
      <c r="G18" s="4249"/>
      <c r="H18" s="4249"/>
      <c r="I18" s="4249"/>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4.4">
      <c r="A19" s="1298" t="s">
        <v>1274</v>
      </c>
      <c r="B19" s="1299" t="s">
        <v>1275</v>
      </c>
      <c r="C19" s="3879">
        <f ca="1">SUMIF(INDIRECT("'"&amp;C4&amp;"'"&amp;"!A:A"),结果表!B19,INDIRECT("'"&amp;C4&amp;"'"&amp;"!B:B"))</f>
        <v>45803</v>
      </c>
      <c r="D19" s="3880">
        <f ca="1">SUMIF(INDIRECT("'"&amp;D4&amp;"'"&amp;"!A:A"),结果表!B19,INDIRECT("'"&amp;D4&amp;"'"&amp;"!B:B"))</f>
        <v>50621</v>
      </c>
      <c r="E19" s="1298" t="s">
        <v>1276</v>
      </c>
      <c r="F19" s="1299" t="s">
        <v>1275</v>
      </c>
      <c r="G19" s="3886">
        <f ca="1">ROUND(C19*$C$18+D19*$D$18,0)</f>
        <v>48212</v>
      </c>
      <c r="H19" s="1300" t="s">
        <v>1277</v>
      </c>
      <c r="I19" s="47">
        <f ca="1">ROUND(C19*$C$18+D19*$D$18,4)</f>
        <v>48212</v>
      </c>
      <c r="K19" s="187" t="s">
        <v>1278</v>
      </c>
      <c r="L19" s="2773">
        <f>IF(C1="",'数据-汇总表'!D3,SUMIF(项目类型,C1,'数据-汇总表'!D17:D26)+SUMIF(项目类型,C1,'数据-汇总表'!H17:H27))</f>
        <v>2700</v>
      </c>
      <c r="M19" s="2773">
        <f>IF(C1="",'数据-汇总表'!D3,SUMIF(项目类型,C1,'数据-汇总表'!D17:D26))</f>
        <v>2700</v>
      </c>
    </row>
    <row r="20" spans="1:36" ht="14.4">
      <c r="A20" s="1301"/>
      <c r="B20" s="25" t="s">
        <v>1279</v>
      </c>
      <c r="C20" s="3881">
        <f ca="1">SUMIF(INDIRECT("'"&amp;C4&amp;"'"&amp;"!A:A"),结果表!B20,INDIRECT("'"&amp;C4&amp;"'"&amp;"!B:B"))</f>
        <v>45834</v>
      </c>
      <c r="D20" s="3882">
        <f ca="1">SUMIF(INDIRECT("'"&amp;D4&amp;"'"&amp;"!A:A"),结果表!B20,INDIRECT("'"&amp;D4&amp;"'"&amp;"!B:B"))</f>
        <v>50655</v>
      </c>
      <c r="E20" s="1301"/>
      <c r="F20" s="25" t="s">
        <v>1279</v>
      </c>
      <c r="G20" s="3887">
        <f ca="1">ROUND(C20*$C$18+D20*$D$18,0)</f>
        <v>48245</v>
      </c>
      <c r="H20" s="555" t="s">
        <v>1280</v>
      </c>
      <c r="I20" s="47"/>
    </row>
    <row r="21" spans="1:36" ht="15" customHeight="1" thickBot="1">
      <c r="A21" s="313"/>
      <c r="B21" s="3602" t="s">
        <v>3670</v>
      </c>
      <c r="C21" s="3883">
        <f ca="1">SUMIF(INDIRECT("'"&amp;C4&amp;"'"&amp;"!A:A"),结果表!B21,INDIRECT("'"&amp;C4&amp;"'"&amp;"!B:B"))</f>
        <v>169641</v>
      </c>
      <c r="D21" s="3884">
        <f ca="1">SUMIF(INDIRECT("'"&amp;D4&amp;"'"&amp;"!A:A"),结果表!B21,INDIRECT("'"&amp;D4&amp;"'"&amp;"!B:B"))</f>
        <v>187485</v>
      </c>
      <c r="E21" s="1301"/>
      <c r="F21" s="26" t="s">
        <v>1281</v>
      </c>
      <c r="G21" s="3887">
        <f ca="1">ROUND(C21*$C$18+D21*$D$18,0)</f>
        <v>178563</v>
      </c>
      <c r="H21" s="555" t="s">
        <v>1280</v>
      </c>
      <c r="I21" s="47"/>
    </row>
    <row r="22" spans="1:36" ht="15" thickBot="1">
      <c r="A22" s="1238" t="s">
        <v>1282</v>
      </c>
      <c r="B22" s="1302"/>
      <c r="C22" s="2683"/>
      <c r="D22" s="3885">
        <f ca="1">IF(C19&lt;D19,D19/C19-1,C19/D19-1)</f>
        <v>0.10518961640067248</v>
      </c>
      <c r="E22" s="3593"/>
      <c r="F22" s="3595"/>
      <c r="G22" s="3888">
        <f ca="1">ROUND(G19/('数据-汇总表'!D3/666.67),0)</f>
        <v>11904</v>
      </c>
      <c r="H22" s="3594" t="s">
        <v>3668</v>
      </c>
      <c r="I22" s="47"/>
    </row>
    <row r="23" spans="1:36" ht="13.8" thickBot="1">
      <c r="A23" s="475"/>
      <c r="B23" s="475"/>
      <c r="C23" s="475"/>
      <c r="D23" s="475"/>
      <c r="E23" s="47"/>
      <c r="F23" s="47"/>
      <c r="G23" s="47"/>
      <c r="H23" s="47"/>
      <c r="I23" s="47"/>
    </row>
    <row r="24" spans="1:36" ht="14.4">
      <c r="A24" s="4270" t="s">
        <v>1283</v>
      </c>
      <c r="B24" s="1299" t="s">
        <v>1275</v>
      </c>
      <c r="C24" s="3886">
        <f>IF(B30=0,0,D30)</f>
        <v>0</v>
      </c>
      <c r="D24" s="3889"/>
      <c r="E24" s="47"/>
      <c r="F24" s="47"/>
      <c r="G24" s="47"/>
      <c r="H24" s="47"/>
      <c r="I24" s="47"/>
    </row>
    <row r="25" spans="1:36" ht="14.4">
      <c r="A25" s="4271"/>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4">
      <c r="A27" s="4141" t="s">
        <v>4660</v>
      </c>
      <c r="B27" s="3892">
        <f>'数据-基础表'!A3</f>
        <v>2700</v>
      </c>
      <c r="C27" s="3892">
        <v>5</v>
      </c>
      <c r="D27" s="3893">
        <f>ROUND(C27*B27/10000,0)</f>
        <v>1</v>
      </c>
      <c r="E27" s="47"/>
      <c r="F27" s="47"/>
      <c r="G27" s="47"/>
      <c r="H27" s="47"/>
      <c r="I27" s="47"/>
    </row>
    <row r="28" spans="1:36" ht="13.8">
      <c r="A28" s="1303"/>
      <c r="B28" s="3892"/>
      <c r="C28" s="3892"/>
      <c r="D28" s="3893"/>
      <c r="E28" s="47"/>
      <c r="F28" s="47"/>
      <c r="G28" s="47"/>
      <c r="H28" s="47"/>
      <c r="I28" s="47"/>
    </row>
    <row r="29" spans="1:36" ht="13.8">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6" thickTop="1" thickBot="1">
      <c r="A32" s="1304" t="s">
        <v>1289</v>
      </c>
      <c r="B32" s="1213"/>
      <c r="C32" s="3894">
        <f ca="1">IF(D32="总价",G19-C24,G20-C25)</f>
        <v>48212</v>
      </c>
      <c r="D32" s="1305" t="s">
        <v>4658</v>
      </c>
      <c r="E32" s="47"/>
      <c r="F32" s="47"/>
      <c r="G32" s="47"/>
      <c r="H32" s="47"/>
      <c r="I32" s="47"/>
    </row>
    <row r="33" spans="1:19" ht="14.4">
      <c r="A33" s="544" t="s">
        <v>1290</v>
      </c>
      <c r="B33" s="49"/>
      <c r="C33" s="1306"/>
      <c r="D33" s="1307"/>
      <c r="E33" s="1308" t="s">
        <v>1291</v>
      </c>
      <c r="F33" s="1309" t="str">
        <f>IF(D32="楼面单价","取值（单价）","取值（总价）")</f>
        <v>取值（总价）</v>
      </c>
      <c r="G33" s="47"/>
      <c r="H33" s="47"/>
      <c r="I33" s="47"/>
    </row>
    <row r="34" spans="1:19" ht="14.4">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 thickBot="1">
      <c r="A36" s="4276" t="s">
        <v>1296</v>
      </c>
      <c r="B36" s="1316" t="s">
        <v>1297</v>
      </c>
      <c r="C36" s="3900"/>
      <c r="D36" s="1317"/>
      <c r="E36" s="1241"/>
      <c r="F36" s="1318"/>
      <c r="G36" s="47"/>
      <c r="H36" s="47"/>
      <c r="I36" s="47"/>
    </row>
    <row r="37" spans="1:19" ht="15" thickBot="1">
      <c r="A37" s="4277"/>
      <c r="B37" s="1229" t="s">
        <v>1298</v>
      </c>
      <c r="C37" s="3901"/>
      <c r="D37" s="796"/>
      <c r="E37" s="796"/>
      <c r="F37" s="1318"/>
      <c r="G37" s="47"/>
      <c r="H37" s="47"/>
      <c r="I37" s="47"/>
    </row>
    <row r="38" spans="1:19" ht="15" thickBot="1">
      <c r="A38" s="4278"/>
      <c r="B38" s="1319" t="s">
        <v>1299</v>
      </c>
      <c r="C38" s="3902">
        <f>E40+E41</f>
        <v>1638</v>
      </c>
      <c r="D38" s="1320" t="s">
        <v>1300</v>
      </c>
      <c r="E38" s="796"/>
      <c r="F38" s="1318"/>
      <c r="G38" s="47"/>
      <c r="H38" s="47"/>
      <c r="I38" s="47"/>
    </row>
    <row r="39" spans="1:19" ht="14.4">
      <c r="A39" s="1301" t="s">
        <v>1301</v>
      </c>
      <c r="B39" s="1321" t="s">
        <v>1302</v>
      </c>
      <c r="C39" s="1322" t="s">
        <v>1303</v>
      </c>
      <c r="D39" s="1322" t="s">
        <v>1304</v>
      </c>
      <c r="E39" s="1323" t="s">
        <v>1305</v>
      </c>
      <c r="F39" s="1318"/>
      <c r="G39" s="47"/>
      <c r="H39" s="47"/>
      <c r="I39" s="47"/>
    </row>
    <row r="40" spans="1:19" ht="13.8">
      <c r="A40" s="1324" t="s">
        <v>1306</v>
      </c>
      <c r="B40" s="3903">
        <f>'数据-汇总表'!G20</f>
        <v>665.56</v>
      </c>
      <c r="C40" s="3904">
        <f>ROUND(信息!C6*0.2*0.25,0)</f>
        <v>4049</v>
      </c>
      <c r="D40" s="4142">
        <v>3.0499999999999999E-2</v>
      </c>
      <c r="E40" s="3898">
        <f>ROUND(B40*C40*(1+D40)/10000,0)</f>
        <v>278</v>
      </c>
      <c r="F40" s="1318"/>
      <c r="G40" s="47"/>
      <c r="H40" s="47"/>
      <c r="I40" s="47"/>
    </row>
    <row r="41" spans="1:19" ht="13.8">
      <c r="A41" s="1324" t="s">
        <v>1307</v>
      </c>
      <c r="B41" s="4140" t="s">
        <v>4659</v>
      </c>
      <c r="C41" s="3904">
        <f>信息!C33</f>
        <v>44600</v>
      </c>
      <c r="D41" s="4142">
        <v>3.0499999999999999E-2</v>
      </c>
      <c r="E41" s="3898">
        <f>ROUND(C41*D41,0)</f>
        <v>1360</v>
      </c>
      <c r="F41" s="1318"/>
      <c r="G41" s="47"/>
      <c r="H41" s="47"/>
      <c r="I41" s="47"/>
    </row>
    <row r="42" spans="1:19" ht="14.4" thickBot="1">
      <c r="A42" s="1325"/>
      <c r="B42" s="3905"/>
      <c r="C42" s="3906"/>
      <c r="D42" s="3906"/>
      <c r="E42" s="3899"/>
      <c r="F42" s="1318"/>
      <c r="G42" s="47"/>
      <c r="H42" s="47"/>
      <c r="I42" s="47"/>
    </row>
    <row r="43" spans="1:19" ht="13.2">
      <c r="A43" s="1149"/>
      <c r="B43" s="1149"/>
      <c r="C43" s="1149"/>
      <c r="D43" s="1149"/>
      <c r="E43" s="1149"/>
      <c r="F43" s="1326"/>
      <c r="G43" s="1326"/>
      <c r="H43" s="1326"/>
      <c r="I43" s="1327"/>
    </row>
    <row r="44" spans="1:19" ht="17.399999999999999">
      <c r="A44" s="1146" t="s">
        <v>1308</v>
      </c>
      <c r="B44" s="1328"/>
      <c r="C44" s="1328"/>
      <c r="D44" s="1329"/>
      <c r="E44" s="1329"/>
      <c r="F44" s="1330"/>
      <c r="G44" s="1330"/>
      <c r="H44" s="1330"/>
      <c r="I44" s="1330"/>
      <c r="J44" s="1331" t="s">
        <v>1309</v>
      </c>
      <c r="K44" s="4"/>
      <c r="L44" s="4"/>
      <c r="M44" s="4"/>
      <c r="N44" s="4"/>
      <c r="O44" s="4"/>
    </row>
    <row r="45" spans="1:19" ht="14.25" customHeight="1" thickBot="1">
      <c r="A45" s="4267" t="s">
        <v>1310</v>
      </c>
      <c r="B45" s="4268"/>
      <c r="C45" s="4269"/>
      <c r="D45" s="56">
        <f ca="1">ROUND(H101*F45,0)</f>
        <v>48212</v>
      </c>
      <c r="E45" s="57" t="s">
        <v>1311</v>
      </c>
      <c r="F45" s="58">
        <v>1</v>
      </c>
      <c r="G45" s="59" t="s">
        <v>1312</v>
      </c>
      <c r="H45" s="47"/>
      <c r="I45" s="47"/>
      <c r="J45" s="4338" t="s">
        <v>1313</v>
      </c>
      <c r="K45" s="4338"/>
      <c r="L45" s="4338"/>
      <c r="M45" s="4338"/>
      <c r="N45" s="4338"/>
      <c r="O45" s="4338"/>
    </row>
    <row r="46" spans="1:19" ht="14.25" customHeight="1">
      <c r="A46" s="4264" t="s">
        <v>1314</v>
      </c>
      <c r="B46" s="4265"/>
      <c r="C46" s="4265"/>
      <c r="D46" s="4265"/>
      <c r="E46" s="4265"/>
      <c r="F46" s="4265"/>
      <c r="G46" s="4266"/>
      <c r="H46" s="1332"/>
      <c r="I46" s="60"/>
      <c r="J46" s="1893">
        <v>1</v>
      </c>
      <c r="K46" s="4315" t="s">
        <v>1315</v>
      </c>
      <c r="L46" s="4315"/>
      <c r="M46" s="4339"/>
      <c r="N46" s="4339"/>
      <c r="O46" s="4339"/>
    </row>
    <row r="47" spans="1:19" ht="12" customHeight="1">
      <c r="A47" s="61" t="s">
        <v>1316</v>
      </c>
      <c r="B47" s="62"/>
      <c r="C47" s="63"/>
      <c r="D47" s="756" t="s">
        <v>1317</v>
      </c>
      <c r="E47" s="187" t="s">
        <v>1318</v>
      </c>
      <c r="F47" s="64" t="s">
        <v>1319</v>
      </c>
      <c r="G47" s="1908" t="s">
        <v>1320</v>
      </c>
      <c r="H47" s="1909"/>
      <c r="I47" s="60"/>
      <c r="J47" s="1893">
        <v>2</v>
      </c>
      <c r="K47" s="4315" t="s">
        <v>1321</v>
      </c>
      <c r="L47" s="4315"/>
      <c r="M47" s="4340">
        <f>'数据-取费表'!B2</f>
        <v>46038</v>
      </c>
      <c r="N47" s="4340"/>
      <c r="O47" s="4340"/>
    </row>
    <row r="48" spans="1:19" ht="26.4">
      <c r="A48" s="4279" t="s">
        <v>1322</v>
      </c>
      <c r="B48" s="4238"/>
      <c r="C48" s="4238"/>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315" t="s">
        <v>1324</v>
      </c>
      <c r="L48" s="4315"/>
      <c r="M48" s="4341">
        <f ca="1">H101</f>
        <v>48212</v>
      </c>
      <c r="N48" s="4341"/>
      <c r="O48" s="4341"/>
      <c r="R48" s="3619" t="s">
        <v>3685</v>
      </c>
      <c r="S48" s="3620"/>
    </row>
    <row r="49" spans="1:35" ht="25.5" customHeight="1">
      <c r="A49" s="3781" t="s">
        <v>1325</v>
      </c>
      <c r="B49" s="4262" t="s">
        <v>1326</v>
      </c>
      <c r="C49" s="4262"/>
      <c r="D49" s="3908">
        <v>0</v>
      </c>
      <c r="E49" s="208" t="s">
        <v>1327</v>
      </c>
      <c r="F49" s="3774" t="s">
        <v>26</v>
      </c>
      <c r="G49" s="4322"/>
      <c r="H49" s="3614" t="s">
        <v>2050</v>
      </c>
      <c r="I49" s="3615"/>
      <c r="J49" s="1893">
        <v>4</v>
      </c>
      <c r="K49" s="4315" t="str">
        <f>IF(项目基本情况!E8="房地产抵押价值","房地产抵押价值","抵押担保权已注销时的房地产抵押价值")</f>
        <v>房地产抵押价值</v>
      </c>
      <c r="L49" s="4315"/>
      <c r="M49" s="4341">
        <f ca="1">IF(项目基本情况!E8="房地产抵押价值",H107,H109)</f>
        <v>46574</v>
      </c>
      <c r="N49" s="4341"/>
      <c r="O49" s="4341"/>
      <c r="R49" s="3621" t="s">
        <v>3686</v>
      </c>
      <c r="S49" s="3619" t="s">
        <v>3687</v>
      </c>
    </row>
    <row r="50" spans="1:35" ht="25.5" customHeight="1">
      <c r="A50" s="3782"/>
      <c r="B50" s="4262" t="s">
        <v>1328</v>
      </c>
      <c r="C50" s="4262"/>
      <c r="D50" s="3909"/>
      <c r="E50" s="215"/>
      <c r="F50" s="3774"/>
      <c r="G50" s="4323"/>
      <c r="H50" s="1340" t="s">
        <v>2051</v>
      </c>
      <c r="I50" s="3615"/>
      <c r="J50" s="4338" t="s">
        <v>1329</v>
      </c>
      <c r="K50" s="4338"/>
      <c r="L50" s="4338"/>
      <c r="M50" s="4338"/>
      <c r="N50" s="4338"/>
      <c r="O50" s="4338"/>
      <c r="R50" s="3621" t="s">
        <v>3688</v>
      </c>
      <c r="S50" s="3619" t="s">
        <v>3689</v>
      </c>
    </row>
    <row r="51" spans="1:35" ht="20.399999999999999" customHeight="1">
      <c r="A51" s="3783"/>
      <c r="B51" s="4262" t="s">
        <v>1330</v>
      </c>
      <c r="C51" s="4262"/>
      <c r="D51" s="741"/>
      <c r="E51" s="211"/>
      <c r="F51" s="3774"/>
      <c r="G51" s="4324"/>
      <c r="H51" s="1340" t="s">
        <v>2052</v>
      </c>
      <c r="I51" s="3615"/>
      <c r="J51" s="1894" t="s">
        <v>1331</v>
      </c>
      <c r="K51" s="4315" t="s">
        <v>1332</v>
      </c>
      <c r="L51" s="4315"/>
      <c r="M51" s="1894" t="s">
        <v>1333</v>
      </c>
      <c r="N51" s="1894" t="s">
        <v>1334</v>
      </c>
      <c r="O51" s="1894" t="s">
        <v>1335</v>
      </c>
      <c r="R51" s="3621" t="s">
        <v>3690</v>
      </c>
      <c r="S51" s="3620" t="s">
        <v>3691</v>
      </c>
    </row>
    <row r="52" spans="1:35" ht="24" customHeight="1">
      <c r="A52" s="1747" t="s">
        <v>1336</v>
      </c>
      <c r="B52" s="4262" t="s">
        <v>1337</v>
      </c>
      <c r="C52" s="4262"/>
      <c r="D52" s="741">
        <f ca="1">ROUND(D45*F52/(1+F52),0)</f>
        <v>1404</v>
      </c>
      <c r="E52" s="937" t="s">
        <v>1338</v>
      </c>
      <c r="F52" s="1912">
        <v>0.03</v>
      </c>
      <c r="G52" s="932" t="s">
        <v>3734</v>
      </c>
      <c r="H52" s="1906"/>
      <c r="I52" s="1333"/>
      <c r="J52" s="1893">
        <v>1</v>
      </c>
      <c r="K52" s="4316" t="s">
        <v>1339</v>
      </c>
      <c r="L52" s="4316"/>
      <c r="M52" s="3911">
        <f>D48</f>
        <v>0</v>
      </c>
      <c r="N52" s="1893" t="str">
        <f>E48</f>
        <v>销售额×税（费）率</v>
      </c>
      <c r="O52" s="3811">
        <f>F48</f>
        <v>0</v>
      </c>
      <c r="R52" s="3619" t="s">
        <v>3692</v>
      </c>
      <c r="S52" s="3619" t="s">
        <v>3696</v>
      </c>
    </row>
    <row r="53" spans="1:35" ht="12" customHeight="1">
      <c r="A53" s="1747" t="s">
        <v>1340</v>
      </c>
      <c r="B53" s="4274" t="s">
        <v>2198</v>
      </c>
      <c r="C53" s="4275"/>
      <c r="D53" s="741">
        <f ca="1">IF(G53="2016年5月1日之前项目",ROUND(D45*F53/(1+F53),0),H63)</f>
        <v>3981</v>
      </c>
      <c r="E53" s="937" t="str">
        <f>IF(G53="2016年5月1日之前项目","全额计税","进销项计算")</f>
        <v>进销项计算</v>
      </c>
      <c r="F53" s="1912">
        <f>IF(G53="2016年5月1日之前项目",5%,9%)</f>
        <v>0.09</v>
      </c>
      <c r="G53" s="3870"/>
      <c r="H53" s="1906"/>
      <c r="I53" s="1333"/>
      <c r="J53" s="1893">
        <v>2</v>
      </c>
      <c r="K53" s="4316" t="s">
        <v>1341</v>
      </c>
      <c r="L53" s="4316"/>
      <c r="M53" s="3911">
        <f t="shared" ref="M53:O54" ca="1" si="0">D55</f>
        <v>24</v>
      </c>
      <c r="N53" s="1893" t="str">
        <f t="shared" si="0"/>
        <v>销售额×税（费）率</v>
      </c>
      <c r="O53" s="3811" t="str">
        <f t="shared" si="0"/>
        <v>免征</v>
      </c>
      <c r="R53" s="3619" t="s">
        <v>3693</v>
      </c>
      <c r="S53" s="3620" t="s">
        <v>3700</v>
      </c>
    </row>
    <row r="54" spans="1:35" ht="12" customHeight="1">
      <c r="A54" s="1747" t="s">
        <v>1342</v>
      </c>
      <c r="B54" s="4274" t="s">
        <v>2199</v>
      </c>
      <c r="C54" s="4275"/>
      <c r="D54" s="741">
        <f ca="1">IF(G54="2016年5月1日之前项目",C68,H63)</f>
        <v>3981</v>
      </c>
      <c r="E54" s="3795" t="str">
        <f>IF(G54="2016年5月1日之前项目","差额计税","进销项计算")</f>
        <v>进销项计算</v>
      </c>
      <c r="F54" s="1912">
        <f>IF(G54="2016年5月1日之前项目",5%,9%)</f>
        <v>0.09</v>
      </c>
      <c r="G54" s="3870"/>
      <c r="H54" s="1914"/>
      <c r="I54" s="1333"/>
      <c r="J54" s="1893">
        <v>3</v>
      </c>
      <c r="K54" s="4316" t="s">
        <v>1343</v>
      </c>
      <c r="L54" s="4316"/>
      <c r="M54" s="3911" t="e">
        <f t="shared" ca="1" si="0"/>
        <v>#VALUE!</v>
      </c>
      <c r="N54" s="1893" t="str">
        <f t="shared" si="0"/>
        <v>增值额×税（费）率</v>
      </c>
      <c r="O54" s="3812" t="str">
        <f t="shared" si="0"/>
        <v>免征</v>
      </c>
      <c r="P54" s="47"/>
      <c r="R54" s="3621" t="s">
        <v>3694</v>
      </c>
      <c r="S54" s="3620" t="s">
        <v>3697</v>
      </c>
    </row>
    <row r="55" spans="1:35" ht="24" customHeight="1">
      <c r="A55" s="4237" t="s">
        <v>1344</v>
      </c>
      <c r="B55" s="4238"/>
      <c r="C55" s="4238"/>
      <c r="D55" s="3907">
        <f ca="1">IF(H55="个人住宅",0,ROUND(D45*I55,0))</f>
        <v>24</v>
      </c>
      <c r="E55" s="937" t="s">
        <v>1345</v>
      </c>
      <c r="F55" s="1912" t="str">
        <f>IF(H55="正常",I55,"免征")</f>
        <v>免征</v>
      </c>
      <c r="G55" s="1913"/>
      <c r="H55" s="1911"/>
      <c r="I55" s="65">
        <f>'数据-取费表'!B50</f>
        <v>5.0000000000000001E-4</v>
      </c>
      <c r="J55" s="1893">
        <f>IF(H59="非个人房产","",4)</f>
        <v>4</v>
      </c>
      <c r="K55" s="4316" t="str">
        <f>IF(H59="非个人房产","——","个人所得税")</f>
        <v>个人所得税</v>
      </c>
      <c r="L55" s="4316"/>
      <c r="M55" s="3912">
        <f ca="1">D59</f>
        <v>482</v>
      </c>
      <c r="N55" s="1516" t="str">
        <f>E59</f>
        <v>差额计税</v>
      </c>
      <c r="O55" s="3813">
        <f>F59</f>
        <v>0.01</v>
      </c>
      <c r="R55" s="3621" t="s">
        <v>3695</v>
      </c>
      <c r="S55" s="3620" t="s">
        <v>3698</v>
      </c>
    </row>
    <row r="56" spans="1:35" ht="25.2">
      <c r="A56" s="4237" t="s">
        <v>1346</v>
      </c>
      <c r="B56" s="4238"/>
      <c r="C56" s="4238"/>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343" t="str">
        <f>IF(项目基本情况!K6="上海银行","其他处置费用","")</f>
        <v/>
      </c>
      <c r="L56" s="4344"/>
      <c r="M56" s="3911" t="str">
        <f>IF(项目基本情况!K6="上海银行",M69,"")</f>
        <v/>
      </c>
      <c r="N56" s="4343" t="str">
        <f>IF(项目基本情况!K6="上海银行","包含处置中涉及的律师、诉讼、拍卖、评估等费用","")</f>
        <v/>
      </c>
      <c r="O56" s="4347"/>
      <c r="R56" s="3620"/>
      <c r="S56" s="3620" t="s">
        <v>3699</v>
      </c>
    </row>
    <row r="57" spans="1:35" ht="13.2">
      <c r="A57" s="1747" t="s">
        <v>1325</v>
      </c>
      <c r="B57" s="4274" t="s">
        <v>1349</v>
      </c>
      <c r="C57" s="4275"/>
      <c r="D57" s="3908">
        <v>0</v>
      </c>
      <c r="E57" s="208" t="s">
        <v>1327</v>
      </c>
      <c r="F57" s="187"/>
      <c r="G57" s="1913"/>
      <c r="H57" s="1917"/>
      <c r="I57" s="1334"/>
      <c r="J57" s="4316">
        <f>IF(AND(J55="",J56=""),4,IF(项目基本情况!K6="上海银行",结果表!J56+1,结果表!J55+1))</f>
        <v>5</v>
      </c>
      <c r="K57" s="4316" t="s">
        <v>1350</v>
      </c>
      <c r="L57" s="1895" t="s">
        <v>1351</v>
      </c>
      <c r="M57" s="1896"/>
      <c r="N57" s="3913">
        <f ca="1">SUMIF(M52:M56,"&lt;9e307")</f>
        <v>506</v>
      </c>
      <c r="O57" s="1897"/>
      <c r="P57" s="1998">
        <f ca="1">N57/M49</f>
        <v>1.086443079829948E-2</v>
      </c>
      <c r="R57" s="4253" t="s">
        <v>3746</v>
      </c>
      <c r="S57" s="4254"/>
    </row>
    <row r="58" spans="1:35" ht="25.2">
      <c r="A58" s="1747" t="s">
        <v>1336</v>
      </c>
      <c r="B58" s="4274" t="s">
        <v>1352</v>
      </c>
      <c r="C58" s="4262"/>
      <c r="D58" s="3907">
        <f ca="1">IF(H58="转让取得",C81,C97)</f>
        <v>21496</v>
      </c>
      <c r="E58" s="937" t="s">
        <v>1347</v>
      </c>
      <c r="F58" s="187" t="s">
        <v>26</v>
      </c>
      <c r="G58" s="1913"/>
      <c r="H58" s="1916"/>
      <c r="I58" s="1334"/>
      <c r="J58" s="4316"/>
      <c r="K58" s="4316"/>
      <c r="L58" s="1895" t="s">
        <v>1353</v>
      </c>
      <c r="M58" s="1898"/>
      <c r="N58" s="1899" t="str">
        <f ca="1">NUMBERSTRING(INT(N57*10000),2)&amp;"元整"</f>
        <v>伍佰零陆万元整</v>
      </c>
      <c r="O58" s="1900"/>
      <c r="R58" s="4255"/>
      <c r="S58" s="4256"/>
    </row>
    <row r="59" spans="1:35" ht="24.6" thickBot="1">
      <c r="A59" s="4320" t="s">
        <v>1354</v>
      </c>
      <c r="B59" s="4321"/>
      <c r="C59" s="4321"/>
      <c r="D59" s="3910">
        <f ca="1">IF(H59="非个人房产","——",IF(H59="个人住宅（满五唯一有凭证）",0,IF(H59="个人其他（无凭证）",ROUND(D45/(1+'数据-取费表'!C43)*F59,0),ROUND(C67*F59,0))))</f>
        <v>482</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318">
        <f>J57+1</f>
        <v>6</v>
      </c>
      <c r="K59" s="4316" t="s">
        <v>1355</v>
      </c>
      <c r="L59" s="1893" t="s">
        <v>1351</v>
      </c>
      <c r="M59" s="1901"/>
      <c r="N59" s="2684">
        <f ca="1">M49-N57</f>
        <v>46068</v>
      </c>
      <c r="O59" s="1902"/>
      <c r="R59" s="3619" t="s">
        <v>3701</v>
      </c>
      <c r="S59" s="3619" t="s">
        <v>3702</v>
      </c>
    </row>
    <row r="60" spans="1:35" ht="12" customHeight="1" thickBot="1">
      <c r="A60" s="1335"/>
      <c r="B60" s="475"/>
      <c r="C60" s="475"/>
      <c r="D60" s="475"/>
      <c r="E60" s="1148"/>
      <c r="F60" s="1334"/>
      <c r="G60" s="1334"/>
      <c r="H60" s="60"/>
      <c r="I60" s="47"/>
      <c r="J60" s="4319"/>
      <c r="K60" s="4316"/>
      <c r="L60" s="1895" t="s">
        <v>1353</v>
      </c>
      <c r="M60" s="1898"/>
      <c r="N60" s="1899" t="str">
        <f ca="1">NUMBERSTRING(INT(N59*10000),2)&amp;"元整"</f>
        <v>肆亿陆仟零陆拾捌万元整</v>
      </c>
      <c r="O60" s="1900"/>
      <c r="R60" s="3619" t="s">
        <v>3703</v>
      </c>
      <c r="S60" s="3619" t="s">
        <v>3745</v>
      </c>
    </row>
    <row r="61" spans="1:35" ht="15" thickBot="1">
      <c r="A61" s="4260" t="s">
        <v>3743</v>
      </c>
      <c r="B61" s="4261"/>
      <c r="C61" s="4261"/>
      <c r="D61" s="4261"/>
      <c r="E61" s="3802"/>
      <c r="F61" s="4250" t="s">
        <v>3744</v>
      </c>
      <c r="G61" s="4251"/>
      <c r="H61" s="4251"/>
      <c r="I61" s="4252"/>
      <c r="J61" s="3784">
        <f>J59+1</f>
        <v>7</v>
      </c>
      <c r="K61" s="4316" t="s">
        <v>1356</v>
      </c>
      <c r="L61" s="4316"/>
      <c r="M61" s="1903"/>
      <c r="N61" s="2685">
        <f ca="1">ROUND(N59*10000/'数据-汇总表'!E3,0)</f>
        <v>46099</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21.6">
      <c r="A63" s="71" t="s">
        <v>328</v>
      </c>
      <c r="B63" s="3805" t="s">
        <v>3751</v>
      </c>
      <c r="C63" s="3914">
        <f ca="1">ROUND(C64+C65,0)</f>
        <v>48212</v>
      </c>
      <c r="D63" s="3797"/>
      <c r="E63" s="4257" t="s">
        <v>3748</v>
      </c>
      <c r="F63" s="1747">
        <v>1</v>
      </c>
      <c r="G63" s="2862" t="s">
        <v>3735</v>
      </c>
      <c r="H63" s="3367">
        <f ca="1">H64-H66</f>
        <v>3981</v>
      </c>
      <c r="I63" s="2789"/>
      <c r="J63" s="4345" t="s">
        <v>1360</v>
      </c>
      <c r="K63" s="926" t="s">
        <v>1361</v>
      </c>
      <c r="L63" s="3933">
        <f ca="1">IF(M49&gt;10000,M49*0.5%,IF(AND(M49&gt;1000,M49&lt;=10000),M49*1%,IF(AND(M49&gt;100,M49&lt;=1000),M49*3%,IF(AND(M49&gt;10,M49&lt;=100),M49*5%,M49*8%))))</f>
        <v>232.87</v>
      </c>
      <c r="M63" s="2773">
        <f ca="1">ROUND(L63,1)</f>
        <v>232.9</v>
      </c>
      <c r="N63" s="1905"/>
      <c r="Z63" s="1292"/>
      <c r="AI63" s="1235"/>
    </row>
    <row r="64" spans="1:35" ht="14.25" customHeight="1">
      <c r="A64" s="67" t="s">
        <v>323</v>
      </c>
      <c r="B64" s="3806" t="s">
        <v>3752</v>
      </c>
      <c r="C64" s="3786">
        <f ca="1">D45</f>
        <v>48212</v>
      </c>
      <c r="D64" s="3798"/>
      <c r="E64" s="4258"/>
      <c r="F64" s="1747">
        <v>2</v>
      </c>
      <c r="G64" s="2862" t="s">
        <v>3736</v>
      </c>
      <c r="H64" s="3367">
        <f ca="1">ROUND(H65*I64/(1+I64),0)</f>
        <v>3981</v>
      </c>
      <c r="I64" s="3819">
        <v>0.09</v>
      </c>
      <c r="J64" s="4345"/>
      <c r="K64" s="926" t="s">
        <v>1362</v>
      </c>
      <c r="L64" s="3933">
        <f ca="1">IF(M49&gt;2000,M49*0.5%,IF(AND(M49&gt;1000,M49&lt;=2000),M49*0.6%,IF(AND(M49&gt;500,M49&lt;=1000),M49*0.7%,IF(AND(M49&gt;200,M49&lt;=500),M49*0.8%,IF(AND(M49&gt;100,M49&lt;=200),M49*0.9%,IF(AND(M49&gt;50,M49&lt;=100),M49*1%,IF(AND(M49&gt;20,M49&lt;=50),M49*1.5%,IF(AND(M49&gt;10,M49&lt;=20),M49*2%,IF(AND(M49&gt;1,M49&lt;=10),M49*2.5%)))))))))</f>
        <v>232.87</v>
      </c>
      <c r="M64" s="2773">
        <f t="shared" ref="M64:M65" ca="1" si="1">ROUND(L64,1)</f>
        <v>232.9</v>
      </c>
      <c r="N64" s="1906" t="s">
        <v>1363</v>
      </c>
      <c r="Z64" s="1292"/>
      <c r="AI64" s="1235"/>
    </row>
    <row r="65" spans="1:35" ht="14.25" customHeight="1">
      <c r="A65" s="67" t="s">
        <v>324</v>
      </c>
      <c r="B65" s="3806" t="s">
        <v>3753</v>
      </c>
      <c r="C65" s="3915"/>
      <c r="D65" s="3799"/>
      <c r="E65" s="4258"/>
      <c r="F65" s="67" t="s">
        <v>323</v>
      </c>
      <c r="G65" s="3820" t="s">
        <v>3739</v>
      </c>
      <c r="H65" s="3367">
        <f ca="1">D45</f>
        <v>48212</v>
      </c>
      <c r="I65" s="2789"/>
      <c r="J65" s="4345"/>
      <c r="K65" s="926" t="s">
        <v>1364</v>
      </c>
      <c r="L65" s="3933">
        <f ca="1">IF(M49&gt;1000,M49*0.1%,IF(AND(M49&gt;500,M49&lt;=1000),M49*0.5%,IF(AND(M49&gt;50,M49&lt;=500),M49*1%,IF(AND(M49&gt;1,M49&lt;=50),M49*1.5%))))</f>
        <v>46.573999999999998</v>
      </c>
      <c r="M65" s="2773">
        <f t="shared" ca="1" si="1"/>
        <v>46.6</v>
      </c>
      <c r="N65" s="1906" t="s">
        <v>1363</v>
      </c>
      <c r="Z65" s="1292"/>
      <c r="AI65" s="1235"/>
    </row>
    <row r="66" spans="1:35" ht="14.25" customHeight="1">
      <c r="A66" s="71" t="s">
        <v>325</v>
      </c>
      <c r="B66" s="3807" t="s">
        <v>3754</v>
      </c>
      <c r="C66" s="3915"/>
      <c r="D66" s="3800"/>
      <c r="E66" s="4258"/>
      <c r="F66" s="2515">
        <v>3</v>
      </c>
      <c r="G66" s="2862" t="s">
        <v>3737</v>
      </c>
      <c r="H66" s="2773">
        <f>ROUND(H67*I67,0)+ROUND(H68*I68,0)</f>
        <v>0</v>
      </c>
      <c r="I66" s="2789"/>
      <c r="J66" s="4345"/>
      <c r="K66" s="926" t="s">
        <v>1365</v>
      </c>
      <c r="L66" s="3933">
        <f ca="1">M49*0.5%</f>
        <v>232.87</v>
      </c>
      <c r="M66" s="2773">
        <f ca="1">IF(L66&gt;0.5,0.5,ROUND(L66,0))</f>
        <v>0.5</v>
      </c>
      <c r="N66" s="1906" t="s">
        <v>1366</v>
      </c>
      <c r="Z66" s="1292"/>
      <c r="AI66" s="1235"/>
    </row>
    <row r="67" spans="1:35" ht="14.25" customHeight="1">
      <c r="A67" s="71" t="s">
        <v>326</v>
      </c>
      <c r="B67" s="3804" t="s">
        <v>3750</v>
      </c>
      <c r="C67" s="3786">
        <f ca="1">C63-C66</f>
        <v>48212</v>
      </c>
      <c r="D67" s="3799"/>
      <c r="E67" s="4258"/>
      <c r="F67" s="67" t="s">
        <v>323</v>
      </c>
      <c r="G67" s="3820" t="s">
        <v>3741</v>
      </c>
      <c r="H67" s="3904"/>
      <c r="I67" s="3819">
        <v>0.09</v>
      </c>
      <c r="J67" s="4345"/>
      <c r="K67" s="926" t="s">
        <v>1367</v>
      </c>
      <c r="L67" s="3933">
        <f ca="1">IF(M49&gt;=10000,(8.25+(M49-10000)*0.01%),IF(AND(M49&gt;=8000,M49&lt;10000),(7.85+(M49-8000)*0.02%),IF(AND(M49&gt;=5000,M49&lt;8000),(6.65+(M49-5000)*0.04%),IF(AND(M49&gt;=2000,M49&lt;5000),(4.25+(PM49-2000)*0.08%),IF(AND(M49&gt;=1000,M49&lt;2000),(2.75+(M49-1000)*0.15%),IF(AND(M49&gt;=100,M49&lt;1000),(0.5+(M49-100)*0.25%),IF(AND(M49&gt;0,M49&lt;100),M49*0.5%)))))))</f>
        <v>11.907399999999999</v>
      </c>
      <c r="M67" s="2773">
        <f ca="1">ROUND(L67*0.9,1)</f>
        <v>10.7</v>
      </c>
      <c r="N67" s="1905"/>
      <c r="Z67" s="1292"/>
      <c r="AI67" s="1235"/>
    </row>
    <row r="68" spans="1:35" ht="14.25" customHeight="1" thickBot="1">
      <c r="A68" s="73" t="s">
        <v>327</v>
      </c>
      <c r="B68" s="3808" t="s">
        <v>3755</v>
      </c>
      <c r="C68" s="3792">
        <f ca="1">IF(C67&lt;=0,0,ROUND(C67*D68,0))</f>
        <v>2411</v>
      </c>
      <c r="D68" s="3801">
        <v>0.05</v>
      </c>
      <c r="E68" s="4259"/>
      <c r="F68" s="3814" t="s">
        <v>324</v>
      </c>
      <c r="G68" s="3821" t="s">
        <v>3742</v>
      </c>
      <c r="H68" s="3906"/>
      <c r="I68" s="3822">
        <v>0.06</v>
      </c>
      <c r="J68" s="4345"/>
      <c r="K68" s="926" t="s">
        <v>1368</v>
      </c>
      <c r="L68" s="3933">
        <f ca="1">IF(M49&gt;10000,M49*0.5%,IF(AND(M49&gt;5000,M49&lt;=10000),M49*1%,IF(AND(M49&gt;1000,M49&lt;=5000),M49*2%,IF(AND(M49&gt;200,M49&lt;=1000),M49*3%,M49*5%))))</f>
        <v>232.87</v>
      </c>
      <c r="M68" s="2773">
        <f ca="1">ROUND(L68,1)</f>
        <v>232.9</v>
      </c>
      <c r="N68" s="1905"/>
      <c r="Z68" s="1292"/>
      <c r="AI68" s="1235"/>
    </row>
    <row r="69" spans="1:35" ht="16.5" customHeight="1">
      <c r="A69" s="1336"/>
      <c r="B69" s="1337"/>
      <c r="C69" s="1338"/>
      <c r="D69" s="1339"/>
      <c r="E69" s="1340"/>
      <c r="F69" s="1148"/>
      <c r="G69" s="1148"/>
      <c r="H69" s="1149"/>
      <c r="I69" s="475"/>
      <c r="J69" s="4346"/>
      <c r="K69" s="926" t="s">
        <v>1369</v>
      </c>
      <c r="L69" s="3933"/>
      <c r="M69" s="2773">
        <f ca="1">ROUND(SUM(M63:M68),0)</f>
        <v>757</v>
      </c>
      <c r="N69" s="1907">
        <f ca="1">M69/M49</f>
        <v>1.6253703783226693E-2</v>
      </c>
      <c r="Z69" s="1292"/>
      <c r="AI69" s="1235"/>
    </row>
    <row r="70" spans="1:35" s="474" customFormat="1" ht="14.4" thickBot="1">
      <c r="A70" s="4300" t="s">
        <v>1370</v>
      </c>
      <c r="B70" s="4301"/>
      <c r="C70" s="4301"/>
      <c r="D70" s="4301"/>
      <c r="E70" s="4301"/>
      <c r="F70" s="4301"/>
      <c r="G70" s="4301"/>
      <c r="H70" s="4301"/>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3.8">
      <c r="A71" s="4291" t="s">
        <v>1357</v>
      </c>
      <c r="B71" s="4292"/>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3.8">
      <c r="A72" s="71" t="s">
        <v>328</v>
      </c>
      <c r="B72" s="72" t="s">
        <v>1371</v>
      </c>
      <c r="C72" s="3916">
        <f ca="1">ROUND(D45/(1+D72),0)</f>
        <v>44231</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3.8">
      <c r="A73" s="71" t="s">
        <v>325</v>
      </c>
      <c r="B73" s="64" t="s">
        <v>1372</v>
      </c>
      <c r="C73" s="3916">
        <f ca="1">C74+C78</f>
        <v>5308</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28.8">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74" t="s">
        <v>1378</v>
      </c>
      <c r="F76" s="4262"/>
      <c r="G76" s="4262"/>
      <c r="H76" s="4299"/>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5308</v>
      </c>
      <c r="D78" s="3791">
        <f>'数据-取费表'!B44</f>
        <v>0.12000000000000001</v>
      </c>
      <c r="E78" s="4272" t="s">
        <v>1382</v>
      </c>
      <c r="F78" s="4243"/>
      <c r="G78" s="4243"/>
      <c r="H78" s="4244"/>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3.8">
      <c r="A79" s="71" t="s">
        <v>332</v>
      </c>
      <c r="B79" s="72" t="s">
        <v>1383</v>
      </c>
      <c r="C79" s="3916">
        <f ca="1">C72-C73</f>
        <v>38923</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7.3328937452901277</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6" thickBot="1">
      <c r="A81" s="73" t="s">
        <v>334</v>
      </c>
      <c r="B81" s="74" t="s">
        <v>1385</v>
      </c>
      <c r="C81" s="3917">
        <f ca="1">ROUND(IF(C79&lt;=0,0,IF(C80&gt;=200%,C79*60%-C73*35%,IF(C80&gt;=100%,C79*50%-C73*15%,IF(C80&gt;=50%,C79*40%-C73*5%,IF(C80&lt;50%,C79*30%,0))))),0)</f>
        <v>21496</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4" thickBot="1">
      <c r="A83" s="4300" t="s">
        <v>1386</v>
      </c>
      <c r="B83" s="4301"/>
      <c r="C83" s="4301"/>
      <c r="D83" s="4301"/>
      <c r="E83" s="4301"/>
      <c r="F83" s="4301"/>
      <c r="G83" s="4301"/>
      <c r="H83" s="4301"/>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3.8">
      <c r="A84" s="4291" t="s">
        <v>1357</v>
      </c>
      <c r="B84" s="4292"/>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3.8">
      <c r="A85" s="71" t="s">
        <v>328</v>
      </c>
      <c r="B85" s="72" t="s">
        <v>1371</v>
      </c>
      <c r="C85" s="3916">
        <f ca="1">ROUND(D45/(1+D85),0)</f>
        <v>44231</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3.8">
      <c r="A86" s="71" t="s">
        <v>325</v>
      </c>
      <c r="B86" s="64" t="s">
        <v>1372</v>
      </c>
      <c r="C86" s="3916">
        <f ca="1">IF(H88="仅含出让金",C87+C90+C91+C92+C93+C94,C87+C91+C92+C93+C94)</f>
        <v>5308</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3.8">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26.4">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3.8">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4">
      <c r="A90" s="67" t="s">
        <v>324</v>
      </c>
      <c r="B90" s="68" t="s">
        <v>1392</v>
      </c>
      <c r="C90" s="3915"/>
      <c r="D90" s="3791"/>
      <c r="E90" s="89" t="str">
        <f>IF(H88="-","土地取得成本中已包含该笔费用"," ")</f>
        <v xml:space="preserve"> </v>
      </c>
      <c r="F90" s="1743"/>
      <c r="G90" s="4348" t="s">
        <v>2045</v>
      </c>
      <c r="H90" s="4349"/>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72" t="s">
        <v>1395</v>
      </c>
      <c r="F91" s="4243"/>
      <c r="G91" s="4243"/>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72" t="s">
        <v>1398</v>
      </c>
      <c r="F92" s="4243"/>
      <c r="G92" s="4243"/>
      <c r="H92" s="4244"/>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5308</v>
      </c>
      <c r="D93" s="3791">
        <f>'数据-取费表'!B44</f>
        <v>0.12000000000000001</v>
      </c>
      <c r="E93" s="4242" t="s">
        <v>3732</v>
      </c>
      <c r="F93" s="4243"/>
      <c r="G93" s="4243"/>
      <c r="H93" s="4244"/>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245" t="s">
        <v>1402</v>
      </c>
      <c r="F94" s="4246"/>
      <c r="G94" s="4246"/>
      <c r="H94" s="4247"/>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3.8">
      <c r="A95" s="71" t="s">
        <v>332</v>
      </c>
      <c r="B95" s="72" t="s">
        <v>1383</v>
      </c>
      <c r="C95" s="3916">
        <f ca="1">ROUND(C85-C86,0)</f>
        <v>38923</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7.3328937452901277</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6" thickBot="1">
      <c r="A97" s="73" t="s">
        <v>334</v>
      </c>
      <c r="B97" s="74" t="s">
        <v>1385</v>
      </c>
      <c r="C97" s="3917">
        <f ca="1">ROUND(IF(C95&lt;=0,0,IF(C96&gt;=200%,C95*60%-C86*35%,IF(C96&gt;=100%,C95*50%-C86*15%,IF(C96&gt;=50%,C95*40%-C86*5%,IF(C96&lt;50%,C95*30%,0))))),0)</f>
        <v>21496</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1" t="s">
        <v>1404</v>
      </c>
      <c r="B100" s="4232"/>
      <c r="C100" s="4232"/>
      <c r="D100" s="4317"/>
      <c r="E100" s="4232" t="s">
        <v>1405</v>
      </c>
      <c r="F100" s="4232"/>
      <c r="G100" s="4232"/>
      <c r="H100" s="4317"/>
      <c r="I100" s="47"/>
    </row>
    <row r="101" spans="1:35" ht="18.75" customHeight="1">
      <c r="A101" s="4325" t="s">
        <v>1406</v>
      </c>
      <c r="B101" s="4326"/>
      <c r="C101" s="1922" t="str">
        <f>C4</f>
        <v>土地比较法-住宅、综合</v>
      </c>
      <c r="D101" s="1923" t="str">
        <f>D4</f>
        <v>假设开发法</v>
      </c>
      <c r="E101" s="4342" t="s">
        <v>1407</v>
      </c>
      <c r="F101" s="4290"/>
      <c r="G101" s="1349" t="s">
        <v>1408</v>
      </c>
      <c r="H101" s="3928">
        <f ca="1">H118</f>
        <v>48212</v>
      </c>
      <c r="I101" s="47"/>
    </row>
    <row r="102" spans="1:35" ht="18.75" customHeight="1">
      <c r="A102" s="4294" t="s">
        <v>1409</v>
      </c>
      <c r="B102" s="1921" t="s">
        <v>1408</v>
      </c>
      <c r="C102" s="3920">
        <f ca="1">C19</f>
        <v>45803</v>
      </c>
      <c r="D102" s="3921">
        <f ca="1">D19</f>
        <v>50621</v>
      </c>
      <c r="E102" s="4342"/>
      <c r="F102" s="4290"/>
      <c r="G102" s="1349" t="s">
        <v>1410</v>
      </c>
      <c r="H102" s="2898">
        <f ca="1">I118</f>
        <v>48244</v>
      </c>
      <c r="I102" s="47"/>
    </row>
    <row r="103" spans="1:35" ht="42.75" customHeight="1">
      <c r="A103" s="4294"/>
      <c r="B103" s="1921" t="s">
        <v>1410</v>
      </c>
      <c r="C103" s="3922">
        <f ca="1">C20</f>
        <v>45834</v>
      </c>
      <c r="D103" s="3923">
        <f ca="1">D20</f>
        <v>50655</v>
      </c>
      <c r="E103" s="4336" t="s">
        <v>1411</v>
      </c>
      <c r="F103" s="4337"/>
      <c r="G103" s="1350" t="s">
        <v>1412</v>
      </c>
      <c r="H103" s="3928">
        <f>IF(D36="正常操作",H104+H105+H106,H105+H106)</f>
        <v>1638</v>
      </c>
      <c r="I103" s="47"/>
    </row>
    <row r="104" spans="1:35" ht="18.75" customHeight="1">
      <c r="A104" s="4294" t="s">
        <v>1413</v>
      </c>
      <c r="B104" s="1924" t="s">
        <v>1408</v>
      </c>
      <c r="C104" s="3924">
        <f ca="1">H118</f>
        <v>48212</v>
      </c>
      <c r="D104" s="3925"/>
      <c r="E104" s="1229" t="s">
        <v>1414</v>
      </c>
      <c r="F104" s="1226"/>
      <c r="G104" s="1350" t="s">
        <v>1412</v>
      </c>
      <c r="H104" s="3929">
        <f>IF(D36="同一抵押权人同一抵押物续贷",C36&amp;"（续贷，未扣减，详见特别提示）",C36)</f>
        <v>0</v>
      </c>
      <c r="I104" s="47"/>
    </row>
    <row r="105" spans="1:35" ht="18.75" customHeight="1" thickBot="1">
      <c r="A105" s="4295"/>
      <c r="B105" s="1925" t="s">
        <v>1410</v>
      </c>
      <c r="C105" s="3926">
        <f ca="1">I118</f>
        <v>48244</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9" t="str">
        <f>IF(项目基本情况!E8="已注销","——","3.房地产抵押价值")</f>
        <v>3.房地产抵押价值</v>
      </c>
      <c r="F107" s="4290"/>
      <c r="G107" s="1349" t="s">
        <v>1408</v>
      </c>
      <c r="H107" s="3928">
        <f ca="1">IF(E107="——","——",H101-H103)</f>
        <v>46574</v>
      </c>
      <c r="I107" s="47"/>
    </row>
    <row r="108" spans="1:35" ht="18.75" customHeight="1">
      <c r="A108" s="47"/>
      <c r="B108" s="47"/>
      <c r="C108" s="47"/>
      <c r="D108" s="47"/>
      <c r="E108" s="4289"/>
      <c r="F108" s="4290"/>
      <c r="G108" s="1349" t="s">
        <v>1410</v>
      </c>
      <c r="H108" s="2898">
        <f ca="1">IF(H107=H101,H102,ROUND(H107*10000/'数据-汇总表'!E3,0))</f>
        <v>46605</v>
      </c>
      <c r="I108" s="47"/>
    </row>
    <row r="109" spans="1:35" ht="18.75" customHeight="1">
      <c r="A109" s="47"/>
      <c r="B109" s="47"/>
      <c r="C109" s="47"/>
      <c r="D109" s="47"/>
      <c r="E109" s="4289" t="str">
        <f>IF(项目基本情况!E8="已注销及未注销","4.抵押担保权已注销时的房地产抵押价值",IF(项目基本情况!E8="已注销","3.抵押担保权已注销时的房地产抵押价值","——"))</f>
        <v>——</v>
      </c>
      <c r="F109" s="4290"/>
      <c r="G109" s="1349" t="s">
        <v>1408</v>
      </c>
      <c r="H109" s="2892" t="str">
        <f>IF(E109="——","——",H101-H105-H106)</f>
        <v>——</v>
      </c>
      <c r="I109" s="47"/>
    </row>
    <row r="110" spans="1:35" ht="18.75" customHeight="1">
      <c r="A110" s="47"/>
      <c r="B110" s="47"/>
      <c r="C110" s="47"/>
      <c r="D110" s="47"/>
      <c r="E110" s="4289"/>
      <c r="F110" s="4290"/>
      <c r="G110" s="1349" t="s">
        <v>1410</v>
      </c>
      <c r="H110" s="2898" t="str">
        <f>IF(H109="——","——",ROUND(H109*10000/'数据-汇总表'!E3,0))</f>
        <v>——</v>
      </c>
      <c r="I110" s="47"/>
    </row>
    <row r="111" spans="1:35" ht="18.75" customHeight="1">
      <c r="A111" s="47"/>
      <c r="B111" s="47"/>
      <c r="C111" s="47"/>
      <c r="D111" s="47"/>
      <c r="E111" s="4327" t="str">
        <f>IF(项目基本情况!E9="抵押净值",IF(OR(项目基本情况!E8="已注销",项目基本情况!E8="房地产抵押价值"),"4.抵押净值","5.抵押净值"),"——")</f>
        <v>——</v>
      </c>
      <c r="F111" s="4293"/>
      <c r="G111" s="1349" t="s">
        <v>1408</v>
      </c>
      <c r="H111" s="3928" t="str">
        <f>IF(E111="——","——",N59)</f>
        <v>——</v>
      </c>
      <c r="I111" s="47"/>
    </row>
    <row r="112" spans="1:35" ht="18.75" customHeight="1" thickBot="1">
      <c r="A112" s="47"/>
      <c r="B112" s="47"/>
      <c r="C112" s="47"/>
      <c r="D112" s="47"/>
      <c r="E112" s="4328"/>
      <c r="F112" s="4329"/>
      <c r="G112" s="1352" t="s">
        <v>1410</v>
      </c>
      <c r="H112" s="3884" t="str">
        <f>IF(E111="——","——",N61)</f>
        <v>——</v>
      </c>
      <c r="I112" s="47"/>
    </row>
    <row r="113" spans="1:27" ht="18.75" customHeight="1">
      <c r="A113" s="47"/>
      <c r="B113" s="47"/>
      <c r="C113" s="47"/>
      <c r="D113" s="47"/>
      <c r="E113" s="4296" t="s">
        <v>1416</v>
      </c>
      <c r="F113" s="4296"/>
      <c r="G113" s="4296"/>
      <c r="H113" s="4296"/>
      <c r="I113" s="47"/>
    </row>
    <row r="114" spans="1:27" ht="3.75" customHeight="1">
      <c r="A114" s="475"/>
      <c r="B114" s="475"/>
      <c r="C114" s="475"/>
      <c r="D114" s="475"/>
      <c r="E114" s="1335"/>
      <c r="F114" s="1335"/>
      <c r="G114" s="1335"/>
      <c r="H114" s="1335"/>
      <c r="I114" s="475"/>
    </row>
    <row r="115" spans="1:27" ht="18.75" customHeight="1">
      <c r="A115" s="4309" t="s">
        <v>1418</v>
      </c>
      <c r="B115" s="4310"/>
      <c r="C115" s="4310"/>
      <c r="D115" s="4310"/>
      <c r="E115" s="4310"/>
      <c r="F115" s="4310"/>
      <c r="G115" s="4310"/>
      <c r="H115" s="4310"/>
      <c r="I115" s="4311"/>
    </row>
    <row r="116" spans="1:27" ht="27" customHeight="1">
      <c r="A116" s="4273" t="s">
        <v>1419</v>
      </c>
      <c r="B116" s="4297" t="s">
        <v>1420</v>
      </c>
      <c r="C116" s="4297" t="s">
        <v>1421</v>
      </c>
      <c r="D116" s="4313" t="s">
        <v>1422</v>
      </c>
      <c r="E116" s="4314"/>
      <c r="F116" s="4305"/>
      <c r="G116" s="4305"/>
      <c r="H116" s="4273" t="s">
        <v>1423</v>
      </c>
      <c r="I116" s="4273"/>
      <c r="K116" s="3217"/>
      <c r="L116" s="3218" t="s">
        <v>3521</v>
      </c>
      <c r="M116" s="3218" t="s">
        <v>3522</v>
      </c>
      <c r="N116" s="3218" t="s">
        <v>3523</v>
      </c>
    </row>
    <row r="117" spans="1:27" ht="18.75" customHeight="1">
      <c r="A117" s="4273"/>
      <c r="B117" s="4298"/>
      <c r="C117" s="4298"/>
      <c r="D117" s="1745" t="s">
        <v>1424</v>
      </c>
      <c r="E117" s="1745" t="s">
        <v>1425</v>
      </c>
      <c r="F117" s="1745" t="s">
        <v>1424</v>
      </c>
      <c r="G117" s="1745" t="s">
        <v>1426</v>
      </c>
      <c r="H117" s="1745" t="s">
        <v>1424</v>
      </c>
      <c r="I117" s="1745" t="s">
        <v>1426</v>
      </c>
      <c r="K117" s="3218" t="s">
        <v>3519</v>
      </c>
      <c r="L117" s="3931" t="e">
        <f ca="1">C34</f>
        <v>#REF!</v>
      </c>
      <c r="M117" s="3932" t="e">
        <f ca="1">C35</f>
        <v>#REF!</v>
      </c>
      <c r="N117" s="3932">
        <f ca="1">C32</f>
        <v>48212</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48212</v>
      </c>
      <c r="I118" s="2692">
        <f ca="1">ROUND(IF(D32="楼面单价",C32,N117*10000/B118),0)</f>
        <v>48244</v>
      </c>
      <c r="K118" s="3217"/>
      <c r="L118" s="3217"/>
      <c r="M118" s="3217"/>
      <c r="N118" s="3217"/>
    </row>
    <row r="119" spans="1:27" ht="18.75" customHeight="1">
      <c r="A119" s="4273" t="s">
        <v>1427</v>
      </c>
      <c r="B119" s="4273"/>
      <c r="C119" s="4273"/>
      <c r="D119" s="4302" t="e">
        <f ca="1">NUMBERSTRING(INT(D118*10000),2)&amp;"元整"</f>
        <v>#REF!</v>
      </c>
      <c r="E119" s="4304"/>
      <c r="F119" s="4302" t="e">
        <f ca="1">NUMBERSTRING(INT(F118*10000),2)&amp;"元整"</f>
        <v>#REF!</v>
      </c>
      <c r="G119" s="4304"/>
      <c r="H119" s="4302" t="str">
        <f ca="1">NUMBERSTRING(INT(H118*10000),2)&amp;"元整"</f>
        <v>肆亿捌仟贰佰壹拾贰万元整</v>
      </c>
      <c r="I119" s="4304"/>
      <c r="K119" s="3218" t="s">
        <v>3520</v>
      </c>
      <c r="L119" s="3932" t="e">
        <f ca="1">C34</f>
        <v>#REF!</v>
      </c>
      <c r="M119" s="3932" t="e">
        <f ca="1">C35</f>
        <v>#REF!</v>
      </c>
      <c r="N119" s="3932">
        <f ca="1">C32</f>
        <v>48212</v>
      </c>
    </row>
    <row r="120" spans="1:27" ht="18.75" customHeight="1">
      <c r="A120" s="4333" t="str">
        <f>IF(项目基本情况!B9="房地产市场价值","",MID(E103,3,LEN(E103)-2))</f>
        <v>估价师知悉的法定优先受偿款</v>
      </c>
      <c r="B120" s="4334"/>
      <c r="C120" s="4335"/>
      <c r="D120" s="4330">
        <f>H103</f>
        <v>1638</v>
      </c>
      <c r="E120" s="4331"/>
      <c r="F120" s="4331"/>
      <c r="G120" s="4331"/>
      <c r="H120" s="4331"/>
      <c r="I120" s="4332"/>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306" t="s">
        <v>1427</v>
      </c>
      <c r="B121" s="4307"/>
      <c r="C121" s="4308"/>
      <c r="D121" s="4302" t="str">
        <f>IF(D120=0,"零元整",NUMBERSTRING(INT(D120*10000),2)&amp;"元整")</f>
        <v>壹仟陆佰叁拾捌万元整</v>
      </c>
      <c r="E121" s="4303"/>
      <c r="F121" s="4303"/>
      <c r="G121" s="4303"/>
      <c r="H121" s="4303"/>
      <c r="I121" s="4304"/>
      <c r="AA121" s="503"/>
    </row>
    <row r="122" spans="1:27" ht="18.75" customHeight="1">
      <c r="A122" s="4293" t="str">
        <f>IF(项目基本情况!B9="房地产市场价值","",MID(E107,3,LEN(E107)-2))</f>
        <v>房地产抵押价值</v>
      </c>
      <c r="B122" s="4293"/>
      <c r="C122" s="4293"/>
      <c r="D122" s="4330">
        <f ca="1">H107</f>
        <v>46574</v>
      </c>
      <c r="E122" s="4331"/>
      <c r="F122" s="4331"/>
      <c r="G122" s="4331"/>
      <c r="H122" s="4331"/>
      <c r="I122" s="4332"/>
      <c r="AA122" s="503"/>
    </row>
    <row r="123" spans="1:27" ht="18.75" customHeight="1">
      <c r="A123" s="4273" t="s">
        <v>1427</v>
      </c>
      <c r="B123" s="4273"/>
      <c r="C123" s="4273"/>
      <c r="D123" s="4302" t="str">
        <f ca="1">NUMBERSTRING(INT(D122*10000),2)&amp;"元整"</f>
        <v>肆亿陆仟伍佰柒拾肆万元整</v>
      </c>
      <c r="E123" s="4303"/>
      <c r="F123" s="4303"/>
      <c r="G123" s="4303"/>
      <c r="H123" s="4303"/>
      <c r="I123" s="4304"/>
      <c r="AA123" s="503"/>
    </row>
    <row r="124" spans="1:27" ht="18.75" customHeight="1">
      <c r="A124" s="4293" t="str">
        <f>IF(项目基本情况!B9="房地产市场价值","",MID(E109,3,LEN(E109)-2))</f>
        <v/>
      </c>
      <c r="B124" s="4293"/>
      <c r="C124" s="4293"/>
      <c r="D124" s="4330" t="str">
        <f>H109</f>
        <v>——</v>
      </c>
      <c r="E124" s="4331"/>
      <c r="F124" s="4331"/>
      <c r="G124" s="4331"/>
      <c r="H124" s="4331"/>
      <c r="I124" s="4332"/>
      <c r="AA124" s="503"/>
    </row>
    <row r="125" spans="1:27" ht="18.75" customHeight="1">
      <c r="A125" s="4273" t="s">
        <v>1427</v>
      </c>
      <c r="B125" s="4273"/>
      <c r="C125" s="4273"/>
      <c r="D125" s="4302" t="e">
        <f>NUMBERSTRING(INT(D124*10000),2)&amp;"元整"</f>
        <v>#VALUE!</v>
      </c>
      <c r="E125" s="4303"/>
      <c r="F125" s="4303"/>
      <c r="G125" s="4303"/>
      <c r="H125" s="4303"/>
      <c r="I125" s="4304"/>
      <c r="AA125" s="503"/>
    </row>
    <row r="126" spans="1:27" ht="18.75" customHeight="1">
      <c r="A126" s="4293" t="str">
        <f>IF(项目基本情况!B9="房地产市场价值","",MID(E111,3,LEN(E111)-2))</f>
        <v/>
      </c>
      <c r="B126" s="4293"/>
      <c r="C126" s="4293"/>
      <c r="D126" s="4330" t="str">
        <f>H111</f>
        <v>——</v>
      </c>
      <c r="E126" s="4331"/>
      <c r="F126" s="4331"/>
      <c r="G126" s="4331"/>
      <c r="H126" s="4331"/>
      <c r="I126" s="4332"/>
      <c r="AA126" s="503"/>
    </row>
    <row r="127" spans="1:27" ht="18.75" customHeight="1">
      <c r="A127" s="4273" t="s">
        <v>1427</v>
      </c>
      <c r="B127" s="4273"/>
      <c r="C127" s="4273"/>
      <c r="D127" s="4302" t="e">
        <f>NUMBERSTRING(INT(D126*10000),2)&amp;"元整"</f>
        <v>#VALUE!</v>
      </c>
      <c r="E127" s="4303"/>
      <c r="F127" s="4303"/>
      <c r="G127" s="4303"/>
      <c r="H127" s="4303"/>
      <c r="I127" s="4304"/>
      <c r="AA127" s="503"/>
    </row>
    <row r="128" spans="1:27" ht="21.75" customHeight="1">
      <c r="A128" s="4312" t="s">
        <v>1428</v>
      </c>
      <c r="B128" s="4312"/>
      <c r="C128" s="4312"/>
      <c r="D128" s="4312"/>
      <c r="E128" s="4312"/>
      <c r="F128" s="4312"/>
      <c r="G128" s="4312"/>
      <c r="H128" s="4312"/>
      <c r="I128" s="4312"/>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43" t="str">
        <f>项目基本情况!B1</f>
        <v>北京市朝阳区呼家楼南里CY00-0310-9001地块出让国有建设用地使用权房地产抵押价值预评估</v>
      </c>
      <c r="C37" s="4143"/>
      <c r="D37" s="4143"/>
      <c r="E37" s="4143"/>
      <c r="F37" s="4143"/>
      <c r="G37" s="4143"/>
      <c r="H37" s="4143"/>
      <c r="I37" s="4143"/>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1436</v>
      </c>
      <c r="B1" s="2973"/>
      <c r="C1" s="3539"/>
      <c r="D1" s="94"/>
      <c r="E1" s="94"/>
      <c r="F1" s="94"/>
      <c r="G1" s="789">
        <f>MATCH(B1,'数据-取费表'!A6:A16,0)+5</f>
        <v>8</v>
      </c>
    </row>
    <row r="2" spans="1:9" s="96" customFormat="1" ht="15.6">
      <c r="A2" s="97" t="s">
        <v>1437</v>
      </c>
      <c r="B2" s="2614">
        <f ca="1">IF(C1="含税",E2+C33,E2+C32)</f>
        <v>189</v>
      </c>
      <c r="C2" s="95" t="s">
        <v>1438</v>
      </c>
      <c r="D2" s="1373" t="s">
        <v>41</v>
      </c>
      <c r="E2" s="3629">
        <f ca="1">IF(D2="——",0,SUMIF(INDIRECT("'"&amp;G2&amp;"'"&amp;"!A:A"),"承租人权益价值",INDIRECT("'"&amp;G2&amp;"'"&amp;"!c:c")))</f>
        <v>0</v>
      </c>
      <c r="F2" s="1374" t="s">
        <v>1438</v>
      </c>
      <c r="G2" s="1375"/>
    </row>
    <row r="3" spans="1:9" s="96" customFormat="1" ht="16.2" thickBot="1">
      <c r="A3" s="99" t="s">
        <v>1439</v>
      </c>
      <c r="B3" s="2615">
        <f ca="1">ROUND(B2*10000/(IF(B1="",'数据-汇总表'!E3,INDIRECT("'数据-取费表'!k"&amp;$G$1))),0)</f>
        <v>189</v>
      </c>
      <c r="C3" s="95" t="s">
        <v>1440</v>
      </c>
      <c r="D3" s="95"/>
      <c r="E3" s="2601"/>
      <c r="F3" s="95"/>
      <c r="G3" s="95"/>
    </row>
    <row r="4" spans="1:9" s="96" customFormat="1" ht="16.2" thickBot="1">
      <c r="A4" s="2662" t="s">
        <v>3342</v>
      </c>
      <c r="B4" s="2663" t="s">
        <v>3343</v>
      </c>
      <c r="C4" s="2598" t="s">
        <v>3344</v>
      </c>
      <c r="D4" s="2636" t="s">
        <v>3350</v>
      </c>
      <c r="E4" s="2637" t="s">
        <v>3351</v>
      </c>
      <c r="F4" s="2637" t="s">
        <v>3352</v>
      </c>
      <c r="G4" s="2599" t="s">
        <v>3345</v>
      </c>
    </row>
    <row r="5" spans="1:9" s="104" customFormat="1" ht="15.6">
      <c r="A5" s="2638" t="s">
        <v>3341</v>
      </c>
      <c r="B5" s="2639" t="s">
        <v>3346</v>
      </c>
      <c r="C5" s="2611">
        <f ca="1">ROUND((C6+C9+C21+C24+C25+C28)/(1-F22-C26-C29),0)</f>
        <v>189</v>
      </c>
      <c r="D5" s="2640"/>
      <c r="E5" s="2640"/>
      <c r="F5" s="2640"/>
      <c r="G5" s="2808" t="s">
        <v>3508</v>
      </c>
    </row>
    <row r="6" spans="1:9" s="2625" customFormat="1" ht="14.4">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4.4">
      <c r="A9" s="2647" t="s">
        <v>336</v>
      </c>
      <c r="B9" s="2668" t="s">
        <v>3299</v>
      </c>
      <c r="C9" s="2626">
        <f ca="1">C10+C11+C12+C13+C19+C20</f>
        <v>150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0.02</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7.0000000000000007E-2</v>
      </c>
      <c r="G12" s="136" t="s">
        <v>1479</v>
      </c>
    </row>
    <row r="13" spans="1:9" s="110" customFormat="1">
      <c r="A13" s="2669" t="s">
        <v>3300</v>
      </c>
      <c r="B13" s="2670" t="s">
        <v>3338</v>
      </c>
      <c r="C13" s="2613">
        <f ca="1">C14+C17+C18</f>
        <v>150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150</v>
      </c>
      <c r="D17" s="2655">
        <f ca="1">D15+D16</f>
        <v>9993.2799999999988</v>
      </c>
      <c r="E17" s="2655">
        <f>'数据-取费表'!B31</f>
        <v>150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0.02</v>
      </c>
      <c r="G19" s="157" t="s">
        <v>1477</v>
      </c>
    </row>
    <row r="20" spans="1:7" s="110" customFormat="1">
      <c r="A20" s="2669" t="s">
        <v>3304</v>
      </c>
      <c r="B20" s="2670" t="s">
        <v>3340</v>
      </c>
      <c r="C20" s="2613">
        <f ca="1">ROUND(C10*F20,0)</f>
        <v>0</v>
      </c>
      <c r="D20" s="2656"/>
      <c r="E20" s="141"/>
      <c r="F20" s="2624">
        <f>'数据-取费表'!B37</f>
        <v>0.01</v>
      </c>
      <c r="G20" s="157" t="s">
        <v>1477</v>
      </c>
    </row>
    <row r="21" spans="1:7" s="2625" customFormat="1" ht="14.4">
      <c r="A21" s="2603" t="s">
        <v>3355</v>
      </c>
      <c r="B21" s="2666" t="s">
        <v>3356</v>
      </c>
      <c r="C21" s="2626">
        <f ca="1">ROUND((C6+C9)*F21,0)</f>
        <v>3</v>
      </c>
      <c r="D21" s="2627"/>
      <c r="E21" s="2627"/>
      <c r="F21" s="2631">
        <f>'数据-取费表'!B38</f>
        <v>0.02</v>
      </c>
      <c r="G21" s="2628" t="s">
        <v>3357</v>
      </c>
    </row>
    <row r="22" spans="1:7" s="2625" customFormat="1" ht="14.4">
      <c r="A22" s="2603" t="s">
        <v>3358</v>
      </c>
      <c r="B22" s="2666" t="s">
        <v>3359</v>
      </c>
      <c r="C22" s="2629" t="str">
        <f>F22&amp;"V"</f>
        <v>0.03V</v>
      </c>
      <c r="D22" s="297"/>
      <c r="E22" s="2627"/>
      <c r="F22" s="2631">
        <f>'数据-取费表'!B39</f>
        <v>0.03</v>
      </c>
      <c r="G22" s="3775" t="s">
        <v>3720</v>
      </c>
    </row>
    <row r="23" spans="1:7" s="2625" customFormat="1" ht="14.4">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4.4">
      <c r="A27" s="2603" t="s">
        <v>3361</v>
      </c>
      <c r="B27" s="2668" t="s">
        <v>3310</v>
      </c>
      <c r="C27" s="2632" t="str">
        <f ca="1">C28&amp;"+"&amp;C29&amp;"V"</f>
        <v>29+0.0057V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29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4.4">
      <c r="A30" s="2603" t="s">
        <v>3363</v>
      </c>
      <c r="B30" s="2666" t="s">
        <v>3364</v>
      </c>
      <c r="C30" s="2634">
        <v>0</v>
      </c>
      <c r="D30" s="297"/>
      <c r="E30" s="2605"/>
      <c r="F30" s="2631"/>
      <c r="G30" s="2635" t="s">
        <v>3311</v>
      </c>
    </row>
    <row r="31" spans="1:7" s="110" customFormat="1" ht="15.6">
      <c r="A31" s="2677">
        <v>2</v>
      </c>
      <c r="B31" s="2678" t="s">
        <v>3312</v>
      </c>
      <c r="C31" s="2617">
        <f ca="1">C57</f>
        <v>0</v>
      </c>
      <c r="D31" s="2607"/>
      <c r="E31" s="2607"/>
      <c r="F31" s="2622">
        <f>IF('数据-取费表'!B24=0,'数据-取费表'!N16,1)</f>
        <v>1</v>
      </c>
      <c r="G31" s="2608" t="s">
        <v>3348</v>
      </c>
    </row>
    <row r="32" spans="1:7" s="110" customFormat="1" ht="15.6">
      <c r="A32" s="2595" t="s">
        <v>3313</v>
      </c>
      <c r="B32" s="2594" t="s">
        <v>3314</v>
      </c>
      <c r="C32" s="2617">
        <f ca="1">C5-C31</f>
        <v>189</v>
      </c>
      <c r="D32" s="2607"/>
      <c r="E32" s="2607"/>
      <c r="F32" s="2606"/>
      <c r="G32" s="2609" t="s">
        <v>3347</v>
      </c>
    </row>
    <row r="33" spans="1:7" s="110" customFormat="1" ht="16.2" thickBot="1">
      <c r="A33" s="2679">
        <v>4</v>
      </c>
      <c r="B33" s="2680" t="s">
        <v>3349</v>
      </c>
      <c r="C33" s="2618">
        <f ca="1">ROUND(C32*(1+F33),0)</f>
        <v>206</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 thickBot="1">
      <c r="A38" s="2905" t="s">
        <v>3315</v>
      </c>
      <c r="B38" s="2906"/>
      <c r="C38" s="2906"/>
      <c r="D38" s="2906"/>
      <c r="E38" s="2906"/>
      <c r="F38" s="2906"/>
      <c r="G38" s="2907"/>
    </row>
    <row r="39" spans="1:7" ht="15" thickBot="1">
      <c r="A39" s="2908" t="s">
        <v>3342</v>
      </c>
      <c r="B39" s="2909" t="s">
        <v>3343</v>
      </c>
      <c r="C39" s="2910" t="s">
        <v>3344</v>
      </c>
      <c r="D39" s="2911" t="s">
        <v>3488</v>
      </c>
      <c r="E39" s="2912" t="s">
        <v>3489</v>
      </c>
      <c r="F39" s="2912" t="s">
        <v>3490</v>
      </c>
      <c r="G39" s="2913" t="s">
        <v>3345</v>
      </c>
    </row>
    <row r="40" spans="1:7" ht="14.4">
      <c r="A40" s="2914" t="s">
        <v>3491</v>
      </c>
      <c r="B40" s="2915" t="s">
        <v>3316</v>
      </c>
      <c r="C40" s="2916">
        <f ca="1">SUM(C41:C46)</f>
        <v>0</v>
      </c>
      <c r="D40" s="2914"/>
      <c r="E40" s="2914"/>
      <c r="F40" s="2914"/>
      <c r="G40" s="2914"/>
    </row>
    <row r="41" spans="1:7" ht="15.6">
      <c r="A41" s="2661" t="s">
        <v>3317</v>
      </c>
      <c r="B41" s="2731" t="str">
        <f t="shared" ref="B41:C43" si="0">B10</f>
        <v xml:space="preserve">  建安费用</v>
      </c>
      <c r="C41" s="2592">
        <f t="shared" ca="1" si="0"/>
        <v>0</v>
      </c>
      <c r="D41" s="2587"/>
      <c r="E41" s="2587"/>
      <c r="F41" s="2588"/>
      <c r="G41" s="2588"/>
    </row>
    <row r="42" spans="1:7" ht="15.6">
      <c r="A42" s="2661" t="s">
        <v>3318</v>
      </c>
      <c r="B42" s="2731" t="str">
        <f t="shared" si="0"/>
        <v xml:space="preserve">  前期费用</v>
      </c>
      <c r="C42" s="2592">
        <f t="shared" ca="1" si="0"/>
        <v>0</v>
      </c>
      <c r="D42" s="2587"/>
      <c r="E42" s="2587"/>
      <c r="F42" s="2588"/>
      <c r="G42" s="2588"/>
    </row>
    <row r="43" spans="1:7" ht="15.6">
      <c r="A43" s="2661" t="s">
        <v>3390</v>
      </c>
      <c r="B43" s="2665" t="str">
        <f t="shared" si="0"/>
        <v xml:space="preserve">  公共配套设施费用</v>
      </c>
      <c r="C43" s="2592">
        <f t="shared" ca="1" si="0"/>
        <v>0</v>
      </c>
      <c r="D43" s="2587"/>
      <c r="E43" s="2587"/>
      <c r="F43" s="2588"/>
      <c r="G43" s="2588"/>
    </row>
    <row r="44" spans="1:7" ht="15.6">
      <c r="A44" s="2661" t="s">
        <v>3300</v>
      </c>
      <c r="B44" s="2665" t="str">
        <f>B18</f>
        <v>红线内市政费用</v>
      </c>
      <c r="C44" s="2592">
        <f ca="1">C18</f>
        <v>0</v>
      </c>
      <c r="D44" s="2587"/>
      <c r="E44" s="2587"/>
      <c r="F44" s="2588"/>
      <c r="G44" s="2588"/>
    </row>
    <row r="45" spans="1:7" ht="15.6">
      <c r="A45" s="2676" t="s">
        <v>3319</v>
      </c>
      <c r="B45" s="2671" t="str">
        <f>B19</f>
        <v xml:space="preserve">  其他工程费</v>
      </c>
      <c r="C45" s="2597">
        <f ca="1">C19</f>
        <v>0</v>
      </c>
      <c r="D45" s="2730"/>
      <c r="E45" s="2730"/>
      <c r="F45" s="2600"/>
      <c r="G45" s="2600"/>
    </row>
    <row r="46" spans="1:7" ht="15.6">
      <c r="A46" s="2676" t="s">
        <v>3389</v>
      </c>
      <c r="B46" s="2671" t="s">
        <v>3320</v>
      </c>
      <c r="C46" s="2597">
        <f ca="1">C20</f>
        <v>0</v>
      </c>
      <c r="D46" s="2730"/>
      <c r="E46" s="2730"/>
      <c r="F46" s="2600"/>
      <c r="G46" s="2600"/>
    </row>
    <row r="47" spans="1:7" ht="14.4">
      <c r="A47" s="2732" t="s">
        <v>3492</v>
      </c>
      <c r="B47" s="2733" t="s">
        <v>3493</v>
      </c>
      <c r="C47" s="2734">
        <f ca="1">ROUND(C40*F47,0)</f>
        <v>0</v>
      </c>
      <c r="D47" s="2735"/>
      <c r="E47" s="2735"/>
      <c r="F47" s="2736">
        <f>F21</f>
        <v>0.02</v>
      </c>
      <c r="G47" s="2737" t="s">
        <v>3494</v>
      </c>
    </row>
    <row r="48" spans="1:7"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4.4">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0</v>
      </c>
      <c r="D56" s="297"/>
      <c r="E56" s="297"/>
      <c r="F56" s="2749"/>
      <c r="G56" s="2748" t="s">
        <v>3330</v>
      </c>
    </row>
    <row r="57" spans="1:7" ht="14.4">
      <c r="A57" s="2603" t="s">
        <v>3463</v>
      </c>
      <c r="B57" s="2750" t="s">
        <v>3327</v>
      </c>
      <c r="C57" s="2626">
        <f ca="1">ROUND(C56*(1-F57),0)</f>
        <v>0</v>
      </c>
      <c r="D57" s="297"/>
      <c r="E57" s="297"/>
      <c r="F57" s="2749">
        <f>F31</f>
        <v>1</v>
      </c>
      <c r="G57" s="2748" t="s">
        <v>3331</v>
      </c>
    </row>
    <row r="58" spans="1:7" ht="16.8">
      <c r="A58" s="2603" t="s">
        <v>3504</v>
      </c>
      <c r="B58" s="2746" t="s">
        <v>3505</v>
      </c>
      <c r="C58" s="2626">
        <f ca="1">C56-C57</f>
        <v>0</v>
      </c>
      <c r="D58" s="297"/>
      <c r="E58" s="297"/>
      <c r="F58" s="2749"/>
      <c r="G58" s="2748" t="s">
        <v>3332</v>
      </c>
    </row>
    <row r="59" spans="1:7" ht="14.4">
      <c r="A59" s="2751" t="s">
        <v>3391</v>
      </c>
      <c r="B59" s="2752" t="s">
        <v>3328</v>
      </c>
      <c r="C59" s="2753">
        <f ca="1">ROUND(C58*(1+F59),0)</f>
        <v>0</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1436</v>
      </c>
      <c r="B1" s="2973"/>
      <c r="C1" s="3539"/>
      <c r="D1" s="1379" t="s">
        <v>1508</v>
      </c>
      <c r="E1" s="94"/>
      <c r="F1" s="94"/>
      <c r="G1" s="789">
        <f>MATCH(B1,'数据-取费表'!A6:A16,0)+5</f>
        <v>8</v>
      </c>
      <c r="H1" s="3187" t="str">
        <f>IF(ISERROR(FIND("住宅",B1)),"非住宅","住宅")</f>
        <v>非住宅</v>
      </c>
    </row>
    <row r="2" spans="1:10" s="96" customFormat="1" ht="15.6">
      <c r="A2" s="97" t="s">
        <v>1437</v>
      </c>
      <c r="B2" s="3934">
        <f ca="1">ROUND(D3/10000,4)</f>
        <v>10533.495500000001</v>
      </c>
      <c r="C2" s="95" t="s">
        <v>1438</v>
      </c>
      <c r="D2" s="1373" t="s">
        <v>41</v>
      </c>
      <c r="E2" s="2600">
        <f ca="1">IF(D2="——",0,SUMIF(INDIRECT("'"&amp;G2&amp;"'"&amp;"!A:A"),"承租人权益价值",INDIRECT("'"&amp;G2&amp;"'"&amp;"!c:c")))</f>
        <v>0</v>
      </c>
      <c r="F2" s="1374" t="s">
        <v>1438</v>
      </c>
      <c r="G2" s="1375"/>
    </row>
    <row r="3" spans="1:10" s="96" customFormat="1" ht="16.2" thickBot="1">
      <c r="A3" s="99" t="s">
        <v>673</v>
      </c>
      <c r="B3" s="2615">
        <f ca="1">ROUND(D3/(IF(B1="",'数据-汇总表'!E3,INDIRECT("'数据-取费表'!k"&amp;$G$1))),0)</f>
        <v>10541</v>
      </c>
      <c r="C3" s="95" t="s">
        <v>1440</v>
      </c>
      <c r="D3" s="95">
        <f ca="1">IF(C1="含税",E2+C33,E2+C32)</f>
        <v>105334955</v>
      </c>
      <c r="E3" s="2601"/>
      <c r="F3" s="95"/>
      <c r="G3" s="95"/>
    </row>
    <row r="4" spans="1:10" s="96" customFormat="1" ht="16.2" thickBot="1">
      <c r="A4" s="2662" t="s">
        <v>3342</v>
      </c>
      <c r="B4" s="2663" t="s">
        <v>3343</v>
      </c>
      <c r="C4" s="2598" t="s">
        <v>3344</v>
      </c>
      <c r="D4" s="2636" t="s">
        <v>3350</v>
      </c>
      <c r="E4" s="2637" t="s">
        <v>3351</v>
      </c>
      <c r="F4" s="2637" t="s">
        <v>3352</v>
      </c>
      <c r="G4" s="2599" t="s">
        <v>3345</v>
      </c>
    </row>
    <row r="5" spans="1:10" s="104" customFormat="1" ht="15.6">
      <c r="A5" s="2638" t="s">
        <v>3341</v>
      </c>
      <c r="B5" s="2639" t="s">
        <v>3346</v>
      </c>
      <c r="C5" s="2611">
        <f ca="1">ROUND((C6+C9+C21+C24+C25+C28)/(1-F22-C26-C29),0)</f>
        <v>105334955</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83683059</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78270540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1565411</v>
      </c>
      <c r="D11" s="145"/>
      <c r="E11" s="145"/>
      <c r="F11" s="2624">
        <f>'数据-取费表'!B33</f>
        <v>0.02</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7.0000000000000007E-2</v>
      </c>
      <c r="G12" s="136" t="s">
        <v>1479</v>
      </c>
      <c r="J12" s="96"/>
    </row>
    <row r="13" spans="1:10" s="110" customFormat="1" ht="15">
      <c r="A13" s="2669" t="s">
        <v>3300</v>
      </c>
      <c r="B13" s="2670" t="s">
        <v>3338</v>
      </c>
      <c r="C13" s="2613">
        <f ca="1">C14+C17+C18</f>
        <v>1498992</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1498992</v>
      </c>
      <c r="D17" s="2655">
        <f ca="1">D15+D16</f>
        <v>9993.2799999999988</v>
      </c>
      <c r="E17" s="2655">
        <f>'数据-取费表'!B31</f>
        <v>150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1565411</v>
      </c>
      <c r="D19" s="145"/>
      <c r="E19" s="145"/>
      <c r="F19" s="2624">
        <f>'数据-取费表'!B36</f>
        <v>0.02</v>
      </c>
      <c r="G19" s="157" t="s">
        <v>1477</v>
      </c>
      <c r="J19" s="96"/>
    </row>
    <row r="20" spans="1:10" s="110" customFormat="1" ht="15">
      <c r="A20" s="2669" t="s">
        <v>3304</v>
      </c>
      <c r="B20" s="2670" t="s">
        <v>3340</v>
      </c>
      <c r="C20" s="2613">
        <f ca="1">ROUND(C10*F20,0)</f>
        <v>782705</v>
      </c>
      <c r="D20" s="2656"/>
      <c r="E20" s="141"/>
      <c r="F20" s="2624">
        <f>'数据-取费表'!B37</f>
        <v>0.01</v>
      </c>
      <c r="G20" s="157" t="s">
        <v>1477</v>
      </c>
      <c r="J20" s="96"/>
    </row>
    <row r="21" spans="1:10" s="2625" customFormat="1" ht="15">
      <c r="A21" s="2603" t="s">
        <v>3355</v>
      </c>
      <c r="B21" s="2666" t="s">
        <v>3356</v>
      </c>
      <c r="C21" s="2626">
        <f ca="1">ROUND((C6+C9)*F21,0)</f>
        <v>1673661</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16217777+0.0057V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16217777</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6">
      <c r="A31" s="2677">
        <v>2</v>
      </c>
      <c r="B31" s="2678" t="s">
        <v>3312</v>
      </c>
      <c r="C31" s="2617">
        <f ca="1">C57</f>
        <v>0</v>
      </c>
      <c r="D31" s="2607"/>
      <c r="E31" s="2607"/>
      <c r="F31" s="2622">
        <f>IF('数据-取费表'!B24=0,'数据-取费表'!N16,1)</f>
        <v>1</v>
      </c>
      <c r="G31" s="2608" t="s">
        <v>3348</v>
      </c>
      <c r="J31" s="96"/>
    </row>
    <row r="32" spans="1:10" s="110" customFormat="1" ht="15.6">
      <c r="A32" s="2595" t="s">
        <v>3313</v>
      </c>
      <c r="B32" s="2594" t="s">
        <v>3314</v>
      </c>
      <c r="C32" s="2617">
        <f ca="1">C5-C31</f>
        <v>105334955</v>
      </c>
      <c r="D32" s="2607"/>
      <c r="E32" s="2607"/>
      <c r="F32" s="2606"/>
      <c r="G32" s="2609" t="s">
        <v>3347</v>
      </c>
      <c r="J32" s="96"/>
    </row>
    <row r="33" spans="1:10" s="110" customFormat="1" ht="16.2" thickBot="1">
      <c r="A33" s="2679">
        <v>4</v>
      </c>
      <c r="B33" s="2680" t="s">
        <v>3349</v>
      </c>
      <c r="C33" s="2618">
        <f ca="1">ROUND(C32*(1+F33),0)</f>
        <v>114815101</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 thickBot="1">
      <c r="A38" s="2905" t="s">
        <v>3315</v>
      </c>
      <c r="B38" s="2906"/>
      <c r="C38" s="2906"/>
      <c r="D38" s="2906"/>
      <c r="E38" s="2906"/>
      <c r="F38" s="2906"/>
      <c r="G38" s="2907"/>
    </row>
    <row r="39" spans="1:10" ht="15" thickBot="1">
      <c r="A39" s="2908" t="s">
        <v>3342</v>
      </c>
      <c r="B39" s="2909" t="s">
        <v>3343</v>
      </c>
      <c r="C39" s="2910" t="s">
        <v>3344</v>
      </c>
      <c r="D39" s="2911" t="s">
        <v>3488</v>
      </c>
      <c r="E39" s="2912" t="s">
        <v>3489</v>
      </c>
      <c r="F39" s="2912" t="s">
        <v>3490</v>
      </c>
      <c r="G39" s="2913" t="s">
        <v>3345</v>
      </c>
    </row>
    <row r="40" spans="1:10" ht="14.4">
      <c r="A40" s="2914" t="s">
        <v>3491</v>
      </c>
      <c r="B40" s="2915" t="s">
        <v>3316</v>
      </c>
      <c r="C40" s="2916">
        <f ca="1">SUM(C41:C46)</f>
        <v>82184067</v>
      </c>
      <c r="D40" s="2914"/>
      <c r="E40" s="2914"/>
      <c r="F40" s="2914"/>
      <c r="G40" s="2914"/>
    </row>
    <row r="41" spans="1:10" ht="15.6">
      <c r="A41" s="2661" t="s">
        <v>3317</v>
      </c>
      <c r="B41" s="2731" t="str">
        <f t="shared" ref="B41:C43" si="0">B10</f>
        <v xml:space="preserve">  建安费用</v>
      </c>
      <c r="C41" s="2592">
        <f t="shared" ca="1" si="0"/>
        <v>78270540</v>
      </c>
      <c r="D41" s="2587"/>
      <c r="E41" s="2587"/>
      <c r="F41" s="2588"/>
      <c r="G41" s="2588"/>
    </row>
    <row r="42" spans="1:10" ht="15.6">
      <c r="A42" s="2661" t="s">
        <v>3318</v>
      </c>
      <c r="B42" s="2731" t="str">
        <f t="shared" si="0"/>
        <v xml:space="preserve">  前期费用</v>
      </c>
      <c r="C42" s="2592">
        <f t="shared" ca="1" si="0"/>
        <v>1565411</v>
      </c>
      <c r="D42" s="2587"/>
      <c r="E42" s="2587"/>
      <c r="F42" s="2588"/>
      <c r="G42" s="2588"/>
    </row>
    <row r="43" spans="1:10" ht="15.6">
      <c r="A43" s="2661" t="s">
        <v>3390</v>
      </c>
      <c r="B43" s="2665" t="str">
        <f t="shared" si="0"/>
        <v xml:space="preserve">  公共配套设施费用</v>
      </c>
      <c r="C43" s="2592">
        <f t="shared" ca="1" si="0"/>
        <v>0</v>
      </c>
      <c r="D43" s="2587"/>
      <c r="E43" s="2587"/>
      <c r="F43" s="2588"/>
      <c r="G43" s="2588"/>
    </row>
    <row r="44" spans="1:10" ht="15.6">
      <c r="A44" s="2661" t="s">
        <v>3300</v>
      </c>
      <c r="B44" s="2665" t="str">
        <f>B18</f>
        <v>红线内市政费用</v>
      </c>
      <c r="C44" s="2592">
        <f ca="1">C18</f>
        <v>0</v>
      </c>
      <c r="D44" s="2587"/>
      <c r="E44" s="2587"/>
      <c r="F44" s="2588"/>
      <c r="G44" s="2588"/>
    </row>
    <row r="45" spans="1:10" ht="15.6">
      <c r="A45" s="2676" t="s">
        <v>3319</v>
      </c>
      <c r="B45" s="2671" t="str">
        <f>B19</f>
        <v xml:space="preserve">  其他工程费</v>
      </c>
      <c r="C45" s="2597">
        <f ca="1">C19</f>
        <v>1565411</v>
      </c>
      <c r="D45" s="2730"/>
      <c r="E45" s="2730"/>
      <c r="F45" s="2600"/>
      <c r="G45" s="2600"/>
    </row>
    <row r="46" spans="1:10" ht="15.6">
      <c r="A46" s="2676" t="s">
        <v>3389</v>
      </c>
      <c r="B46" s="2671" t="s">
        <v>3320</v>
      </c>
      <c r="C46" s="2597">
        <f ca="1">C20</f>
        <v>782705</v>
      </c>
      <c r="D46" s="2730"/>
      <c r="E46" s="2730"/>
      <c r="F46" s="2600"/>
      <c r="G46" s="2600"/>
    </row>
    <row r="47" spans="1:10" ht="14.4">
      <c r="A47" s="2732" t="s">
        <v>3492</v>
      </c>
      <c r="B47" s="2733" t="s">
        <v>3493</v>
      </c>
      <c r="C47" s="2734">
        <f ca="1">ROUND(C40*F47,0)</f>
        <v>1643681</v>
      </c>
      <c r="D47" s="2735"/>
      <c r="E47" s="2735"/>
      <c r="F47" s="2736">
        <f>F21</f>
        <v>0.02</v>
      </c>
      <c r="G47" s="2737" t="s">
        <v>3494</v>
      </c>
    </row>
    <row r="48" spans="1:10"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2623809+0.0009V建1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2623809</v>
      </c>
      <c r="D50" s="1049"/>
      <c r="E50" s="1049"/>
      <c r="F50" s="1032"/>
      <c r="G50" s="4350" t="s">
        <v>3333</v>
      </c>
    </row>
    <row r="51" spans="1:7">
      <c r="A51" s="2661" t="s">
        <v>3318</v>
      </c>
      <c r="B51" s="2665" t="s">
        <v>3323</v>
      </c>
      <c r="C51" s="2757">
        <f ca="1">ROUND(IF('数据-取费表'!B22&lt;=1,F48*F23*'数据-取费表'!B22/2,F48*(POWER((1+F23),'数据-取费表'!B22/2)-1)),4)</f>
        <v>8.9999999999999998E-4</v>
      </c>
      <c r="D51" s="1049"/>
      <c r="E51" s="1049"/>
      <c r="F51" s="1032"/>
      <c r="G51" s="4351"/>
    </row>
    <row r="52" spans="1:7" ht="14.4">
      <c r="A52" s="2732" t="s">
        <v>3499</v>
      </c>
      <c r="B52" s="2741" t="s">
        <v>3324</v>
      </c>
      <c r="C52" s="2742" t="str">
        <f ca="1">C53&amp;"+"&amp;C54&amp;"V建1"</f>
        <v>15927272+0.0057V建1</v>
      </c>
      <c r="D52" s="2743"/>
      <c r="E52" s="2735"/>
      <c r="F52" s="2744">
        <f ca="1">F27</f>
        <v>0.19</v>
      </c>
      <c r="G52" s="2745" t="s">
        <v>3500</v>
      </c>
    </row>
    <row r="53" spans="1:7">
      <c r="A53" s="2661" t="s">
        <v>3317</v>
      </c>
      <c r="B53" s="2664" t="s">
        <v>3325</v>
      </c>
      <c r="C53" s="2592">
        <f ca="1">ROUND((C40+C47)*F27,0)</f>
        <v>15927272</v>
      </c>
      <c r="D53" s="2593"/>
      <c r="E53" s="2589"/>
      <c r="F53" s="2590"/>
      <c r="G53" s="2591"/>
    </row>
    <row r="54" spans="1:7">
      <c r="A54" s="2661" t="s">
        <v>3318</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106268247</v>
      </c>
      <c r="D56" s="297"/>
      <c r="E56" s="297"/>
      <c r="F56" s="2749"/>
      <c r="G56" s="2748" t="s">
        <v>3330</v>
      </c>
    </row>
    <row r="57" spans="1:7" ht="14.4">
      <c r="A57" s="2603" t="s">
        <v>3463</v>
      </c>
      <c r="B57" s="2750" t="s">
        <v>3312</v>
      </c>
      <c r="C57" s="2626">
        <f ca="1">ROUND(C56*(1-F57),0)</f>
        <v>0</v>
      </c>
      <c r="D57" s="297"/>
      <c r="E57" s="297"/>
      <c r="F57" s="2749">
        <f>F31</f>
        <v>1</v>
      </c>
      <c r="G57" s="2748" t="s">
        <v>3331</v>
      </c>
    </row>
    <row r="58" spans="1:7" ht="16.8">
      <c r="A58" s="2603" t="s">
        <v>3504</v>
      </c>
      <c r="B58" s="2746" t="s">
        <v>3505</v>
      </c>
      <c r="C58" s="2626">
        <f ca="1">C56-C57</f>
        <v>106268247</v>
      </c>
      <c r="D58" s="297"/>
      <c r="E58" s="297"/>
      <c r="F58" s="2749"/>
      <c r="G58" s="2748" t="s">
        <v>3332</v>
      </c>
    </row>
    <row r="59" spans="1:7" ht="14.4">
      <c r="A59" s="2751" t="s">
        <v>3391</v>
      </c>
      <c r="B59" s="2752" t="s">
        <v>3328</v>
      </c>
      <c r="C59" s="2753">
        <f ca="1">ROUND(C58*(1+F59),0)</f>
        <v>115832389</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-8.999999999999897E-3</v>
      </c>
    </row>
    <row r="64" spans="1:7" ht="21" customHeight="1">
      <c r="B64" s="55" t="s">
        <v>790</v>
      </c>
      <c r="C64" s="2659">
        <f ca="1">ROUND(C58/C32,3)</f>
        <v>1.0089999999999999</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14658.6744</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14669</v>
      </c>
      <c r="C3" s="95" t="s">
        <v>1440</v>
      </c>
      <c r="D3" s="95"/>
      <c r="E3" s="95"/>
      <c r="F3" s="95"/>
      <c r="G3" s="95"/>
    </row>
    <row r="4" spans="1:8" s="104" customFormat="1" ht="16.2">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1498992</v>
      </c>
      <c r="D19" s="108">
        <f ca="1">D9+D10</f>
        <v>9993.2799999999988</v>
      </c>
      <c r="E19" s="107">
        <f>'数据-取费表'!B31</f>
        <v>150</v>
      </c>
      <c r="F19" s="127"/>
      <c r="G19" s="1376"/>
    </row>
    <row r="20" spans="1:7" s="110" customFormat="1" ht="13.5" customHeight="1">
      <c r="A20" s="151" t="s">
        <v>1519</v>
      </c>
      <c r="B20" s="106" t="s">
        <v>1520</v>
      </c>
      <c r="C20" s="128">
        <f ca="1">ROUND((C5+C19)*F20,0)</f>
        <v>478265</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1535367</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95305</v>
      </c>
      <c r="D24" s="134"/>
      <c r="E24" s="134"/>
      <c r="F24" s="135"/>
      <c r="G24" s="136" t="s">
        <v>1531</v>
      </c>
    </row>
    <row r="25" spans="1:7" s="110" customFormat="1" ht="24">
      <c r="A25" s="541" t="s">
        <v>1451</v>
      </c>
      <c r="B25" s="111" t="s">
        <v>1532</v>
      </c>
      <c r="C25" s="134">
        <f ca="1">ROUND(IF('数据-取费表'!B22&lt;=1,C20*F22*'数据-取费表'!B22/2,C20*(POWER((1+F22),'数据-取费表'!B22/2)-1)),0)</f>
        <v>14970</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6.4">
      <c r="A27" s="151" t="s">
        <v>1463</v>
      </c>
      <c r="B27" s="140" t="s">
        <v>1464</v>
      </c>
      <c r="C27" s="141">
        <f ca="1">C28</f>
        <v>4634389</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4634389</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31742085</v>
      </c>
      <c r="D31" s="126"/>
      <c r="E31" s="107"/>
      <c r="F31" s="146"/>
      <c r="G31" s="130" t="s">
        <v>1473</v>
      </c>
    </row>
    <row r="32" spans="1:7" s="104" customFormat="1" ht="16.2">
      <c r="A32" s="148" t="s">
        <v>1534</v>
      </c>
      <c r="B32" s="149"/>
      <c r="C32" s="149"/>
      <c r="D32" s="149"/>
      <c r="E32" s="149"/>
      <c r="F32" s="149"/>
      <c r="G32" s="150"/>
    </row>
    <row r="33" spans="1:7" s="110" customFormat="1" ht="13.5" customHeight="1">
      <c r="A33" s="151" t="s">
        <v>335</v>
      </c>
      <c r="B33" s="106" t="s">
        <v>1535</v>
      </c>
      <c r="C33" s="152">
        <f ca="1">SUM(C34:C38)</f>
        <v>88761443</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78270540</v>
      </c>
      <c r="D34" s="113"/>
      <c r="E34" s="116"/>
      <c r="F34" s="153"/>
      <c r="G34" s="115"/>
    </row>
    <row r="35" spans="1:7" ht="13.5" customHeight="1">
      <c r="A35" s="541" t="s">
        <v>349</v>
      </c>
      <c r="B35" s="111" t="s">
        <v>1476</v>
      </c>
      <c r="C35" s="116">
        <f ca="1">ROUND(C34*F35,0)</f>
        <v>1565411</v>
      </c>
      <c r="D35" s="116"/>
      <c r="E35" s="116"/>
      <c r="F35" s="155">
        <f>'数据-取费表'!B33</f>
        <v>0.02</v>
      </c>
      <c r="G35" s="115" t="s">
        <v>1477</v>
      </c>
    </row>
    <row r="36" spans="1:7" ht="24">
      <c r="A36" s="541" t="s">
        <v>350</v>
      </c>
      <c r="B36" s="111" t="s">
        <v>1478</v>
      </c>
      <c r="C36" s="116">
        <f ca="1">ROUND(IF(B1="",SUM('数据-取费表'!AP6:AP13)*F36,IF(INDIRECT("'数据-取费表'!c"&amp;$G$1)="住宅",INDIRECT("'数据-取费表'!k"&amp;$G$1)*INDIRECT("'数据-取费表'!l"&amp;$G$1)*F36,0)),0)</f>
        <v>3762500</v>
      </c>
      <c r="D36" s="116"/>
      <c r="E36" s="116"/>
      <c r="F36" s="155">
        <f>'数据-取费表'!B34</f>
        <v>7.0000000000000007E-2</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1565411</v>
      </c>
      <c r="D38" s="116"/>
      <c r="E38" s="116"/>
      <c r="F38" s="155">
        <f>'数据-取费表'!B36</f>
        <v>0.02</v>
      </c>
      <c r="G38" s="115" t="s">
        <v>1477</v>
      </c>
    </row>
    <row r="39" spans="1:7" s="110" customFormat="1" ht="13.5" customHeight="1">
      <c r="A39" s="151" t="s">
        <v>1483</v>
      </c>
      <c r="B39" s="106" t="s">
        <v>1484</v>
      </c>
      <c r="C39" s="128">
        <f ca="1">ROUND(C33*F20,0)</f>
        <v>1775229</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2833798</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2778233</v>
      </c>
      <c r="D42" s="134"/>
      <c r="E42" s="134"/>
      <c r="F42" s="135"/>
      <c r="G42" s="4350" t="s">
        <v>1536</v>
      </c>
    </row>
    <row r="43" spans="1:7" ht="13.5" customHeight="1">
      <c r="A43" s="541" t="s">
        <v>345</v>
      </c>
      <c r="B43" s="111" t="s">
        <v>1493</v>
      </c>
      <c r="C43" s="134">
        <f ca="1">ROUND(IF('数据-取费表'!B22&lt;=1,C39*F22*'数据-取费表'!B20/2,C39*(POWER((1+F22),'数据-取费表'!B20/2)-1)),0)</f>
        <v>55565</v>
      </c>
      <c r="D43" s="134"/>
      <c r="E43" s="134"/>
      <c r="F43" s="135"/>
      <c r="G43" s="4352"/>
    </row>
    <row r="44" spans="1:7" ht="13.5" customHeight="1">
      <c r="A44" s="541" t="s">
        <v>346</v>
      </c>
      <c r="B44" s="111" t="s">
        <v>1494</v>
      </c>
      <c r="C44" s="134">
        <f ca="1">ROUND(IF('数据-取费表'!B22&lt;=1,C40*F22*'数据-取费表'!B20/2,C40*(POWER((1+F22),'数据-取费表'!B20/2)-1)),4)</f>
        <v>8.9999999999999998E-4</v>
      </c>
      <c r="D44" s="134"/>
      <c r="E44" s="134"/>
      <c r="F44" s="135"/>
      <c r="G44" s="4351"/>
    </row>
    <row r="45" spans="1:7" s="110" customFormat="1" ht="13.5" customHeight="1">
      <c r="A45" s="151" t="s">
        <v>1495</v>
      </c>
      <c r="B45" s="140" t="s">
        <v>1464</v>
      </c>
      <c r="C45" s="141">
        <f ca="1">C46</f>
        <v>17201968</v>
      </c>
      <c r="D45" s="131">
        <f ca="1">C47</f>
        <v>5.7000000000000002E-3</v>
      </c>
      <c r="E45" s="132" t="s">
        <v>1488</v>
      </c>
      <c r="F45" s="142">
        <f ca="1">F27</f>
        <v>0.19</v>
      </c>
      <c r="G45" s="143" t="s">
        <v>1496</v>
      </c>
    </row>
    <row r="46" spans="1:7" s="110" customFormat="1" ht="13.5" customHeight="1">
      <c r="A46" s="541" t="s">
        <v>344</v>
      </c>
      <c r="B46" s="144" t="s">
        <v>1497</v>
      </c>
      <c r="C46" s="145">
        <f ca="1">ROUND((C33+C39)*F27,0)</f>
        <v>17201968</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114844659</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114844659</v>
      </c>
      <c r="D51" s="128"/>
      <c r="E51" s="128"/>
      <c r="F51" s="160"/>
      <c r="G51" s="130" t="s">
        <v>1505</v>
      </c>
    </row>
    <row r="52" spans="1:7" s="104" customFormat="1" ht="16.8" thickBot="1">
      <c r="A52" s="161" t="s">
        <v>1506</v>
      </c>
      <c r="B52" s="162"/>
      <c r="C52" s="163">
        <f ca="1">C31+C51</f>
        <v>146586744</v>
      </c>
      <c r="D52" s="162"/>
      <c r="E52" s="162"/>
      <c r="F52" s="162"/>
      <c r="G52" s="164"/>
    </row>
    <row r="55" spans="1:7" ht="15">
      <c r="B55" s="166" t="s">
        <v>1507</v>
      </c>
      <c r="C55" s="167"/>
    </row>
    <row r="56" spans="1:7">
      <c r="B56" s="169" t="s">
        <v>789</v>
      </c>
      <c r="C56" s="171">
        <f ca="1">1-C57</f>
        <v>0.21699999999999997</v>
      </c>
    </row>
    <row r="57" spans="1:7">
      <c r="B57" s="169" t="s">
        <v>790</v>
      </c>
      <c r="C57" s="170">
        <f ca="1">ROUND(C51/C52,3)</f>
        <v>0.78300000000000003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10"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53" t="s">
        <v>391</v>
      </c>
      <c r="B7" s="4356" t="s">
        <v>3425</v>
      </c>
      <c r="C7" s="4361">
        <f ca="1">ROUND(F6*F7*F8/10000,0)</f>
        <v>0</v>
      </c>
      <c r="D7" s="4355" t="s">
        <v>3511</v>
      </c>
      <c r="E7" s="746" t="s">
        <v>684</v>
      </c>
      <c r="F7" s="3631">
        <f ca="1">IF(INDIRECT("'数据-取费表'!ah"&amp;$G$1)="",INDIRECT("'数据-取费表'!k"&amp;$G$1),INDIRECT("'数据-取费表'!ah"&amp;$G$1))</f>
        <v>0</v>
      </c>
      <c r="G7" s="973"/>
      <c r="H7" s="4353" t="s">
        <v>391</v>
      </c>
      <c r="I7" s="4356" t="s">
        <v>3425</v>
      </c>
      <c r="J7" s="4358">
        <f ca="1">ROUND(M6*M8*M7/10000,0)</f>
        <v>0</v>
      </c>
      <c r="K7" s="4362" t="s">
        <v>3427</v>
      </c>
      <c r="L7" s="187" t="s">
        <v>684</v>
      </c>
      <c r="M7" s="3633">
        <f ca="1">F7</f>
        <v>0</v>
      </c>
    </row>
    <row r="8" spans="1:37" ht="18" customHeight="1">
      <c r="A8" s="4354"/>
      <c r="B8" s="4357"/>
      <c r="C8" s="4361"/>
      <c r="D8" s="4355"/>
      <c r="E8" s="187" t="s">
        <v>685</v>
      </c>
      <c r="F8" s="3631">
        <f ca="1">INDIRECT("'数据-取费表'!ai"&amp;$G$1)</f>
        <v>0</v>
      </c>
      <c r="G8" s="973"/>
      <c r="H8" s="4354"/>
      <c r="I8" s="4357"/>
      <c r="J8" s="4358"/>
      <c r="K8" s="4362"/>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1" t="s">
        <v>761</v>
      </c>
      <c r="C25" s="4372" t="e">
        <f ca="1">ROUND(C24*(1-((1+F27)/(1+F25))^F26)/(F25-F27),0)</f>
        <v>#DIV/0!</v>
      </c>
      <c r="D25" s="208" t="s">
        <v>745</v>
      </c>
      <c r="E25" s="187" t="s">
        <v>746</v>
      </c>
      <c r="F25" s="2901">
        <f ca="1">INDIRECT("'数据-取费表'!I"&amp;$G$1)</f>
        <v>0</v>
      </c>
      <c r="G25" s="973"/>
      <c r="H25" s="4363" t="s">
        <v>3723</v>
      </c>
      <c r="I25" s="4366" t="s">
        <v>744</v>
      </c>
      <c r="J25" s="4369">
        <f ca="1">IF(J5&lt;&gt;0,ROUND(J24*(1-((1+M27)/(1+M25))^M26)/(M25-M27),0),0)</f>
        <v>0</v>
      </c>
      <c r="K25" s="208" t="s">
        <v>745</v>
      </c>
      <c r="L25" s="198" t="s">
        <v>746</v>
      </c>
      <c r="M25" s="199">
        <f ca="1">INDIRECT("'数据-取费表'!I"&amp;$G$1)</f>
        <v>0</v>
      </c>
    </row>
    <row r="26" spans="1:37">
      <c r="A26" s="2919"/>
      <c r="B26" s="4371"/>
      <c r="C26" s="4372"/>
      <c r="D26" s="215" t="s">
        <v>762</v>
      </c>
      <c r="E26" s="187" t="s">
        <v>750</v>
      </c>
      <c r="F26" s="2903">
        <f ca="1">IF(INDIRECT("'数据-取费表'!af"&amp;$G$1)=0,INDIRECT("'数据-取费表'!ae"&amp;$G$1),INDIRECT("'数据-取费表'!af"&amp;$G$1))</f>
        <v>0</v>
      </c>
      <c r="G26" s="973"/>
      <c r="H26" s="4364"/>
      <c r="I26" s="4367"/>
      <c r="J26" s="4358"/>
      <c r="K26" s="937" t="s">
        <v>749</v>
      </c>
      <c r="L26" s="187" t="s">
        <v>750</v>
      </c>
      <c r="M26" s="216">
        <f ca="1">INDIRECT("'数据-取费表'!ag"&amp;$G$1)</f>
        <v>0</v>
      </c>
    </row>
    <row r="27" spans="1:37" ht="18" customHeight="1">
      <c r="A27" s="1019"/>
      <c r="B27" s="4371"/>
      <c r="C27" s="4372"/>
      <c r="D27" s="211"/>
      <c r="E27" s="187" t="s">
        <v>753</v>
      </c>
      <c r="F27" s="2901">
        <f ca="1">INDIRECT("'数据-取费表'!v"&amp;$G$1)</f>
        <v>0</v>
      </c>
      <c r="G27" s="973"/>
      <c r="H27" s="4365"/>
      <c r="I27" s="4368"/>
      <c r="J27" s="4370"/>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0.02</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0.02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0.01</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6.2"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8"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8"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8"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36.6"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9" t="s">
        <v>824</v>
      </c>
      <c r="L58" s="4360"/>
      <c r="O58" s="1005" t="s">
        <v>403</v>
      </c>
      <c r="P58" s="1006" t="s">
        <v>825</v>
      </c>
      <c r="Q58" s="3211" t="e">
        <f ca="1">Q52+Q53</f>
        <v>#DIV/0!</v>
      </c>
      <c r="R58" s="1007" t="s">
        <v>404</v>
      </c>
    </row>
    <row r="59" spans="1:18" s="973" customFormat="1" ht="24.6"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37.200000000000003"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2"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8"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8"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8"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8"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8"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2"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7.399999999999999"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2"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8"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8" thickBot="1">
      <c r="A76" s="2925"/>
      <c r="B76" s="656"/>
      <c r="C76" s="2888"/>
      <c r="D76" s="2922" t="s">
        <v>749</v>
      </c>
      <c r="E76" s="654" t="s">
        <v>750</v>
      </c>
      <c r="F76" s="2903">
        <f ca="1">F26</f>
        <v>0</v>
      </c>
      <c r="O76" s="1014" t="s">
        <v>407</v>
      </c>
      <c r="P76" s="1052" t="s">
        <v>861</v>
      </c>
      <c r="Q76" s="1017">
        <f ca="1">C83</f>
        <v>0</v>
      </c>
      <c r="R76" s="1007"/>
    </row>
    <row r="77" spans="1:18" s="973" customFormat="1" ht="13.8" thickBot="1">
      <c r="A77" s="1037"/>
      <c r="B77" s="2923"/>
      <c r="C77" s="2923"/>
      <c r="D77" s="2920"/>
      <c r="E77" s="654" t="s">
        <v>753</v>
      </c>
      <c r="F77" s="2893">
        <v>0.02</v>
      </c>
      <c r="O77" s="1014" t="s">
        <v>401</v>
      </c>
      <c r="P77" s="1006" t="s">
        <v>839</v>
      </c>
      <c r="Q77" s="1017">
        <f>L57</f>
        <v>0</v>
      </c>
      <c r="R77" s="1007"/>
    </row>
    <row r="78" spans="1:18" ht="16.2" thickBot="1">
      <c r="A78" s="658"/>
      <c r="B78" s="2864" t="s">
        <v>3482</v>
      </c>
      <c r="C78" s="2870">
        <f ca="1">ROUND(C75*(1+F28),0)</f>
        <v>0</v>
      </c>
      <c r="D78" s="3393">
        <f>D28</f>
        <v>0</v>
      </c>
      <c r="E78" s="970"/>
      <c r="F78" s="970"/>
      <c r="O78" s="1014" t="s">
        <v>402</v>
      </c>
      <c r="P78" s="1006" t="s">
        <v>842</v>
      </c>
      <c r="Q78" s="3212" t="e">
        <f ca="1">L63</f>
        <v>#DIV/0!</v>
      </c>
      <c r="R78" s="1007" t="s">
        <v>843</v>
      </c>
    </row>
    <row r="79" spans="1:18" ht="13.8"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8"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600-000000000000}">
      <formula1>"按不含税租金收入计税,按房产原值计税"</formula1>
    </dataValidation>
    <dataValidation type="list" allowBlank="1" showInputMessage="1" showErrorMessage="1" sqref="D68 D18" xr:uid="{00000000-0002-0000-1600-000001000000}">
      <formula1>"按不含税租金收入计税,按房产原值计税,按票据"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2" xr:uid="{00000000-0002-0000-1600-000003000000}">
      <formula1>"钢,钢混,砖混"</formula1>
    </dataValidation>
    <dataValidation type="list" allowBlank="1" showInputMessage="1" showErrorMessage="1" sqref="J53" xr:uid="{00000000-0002-0000-1600-000004000000}">
      <formula1>"非生产用房,生产用房,受腐蚀的生产用房"</formula1>
    </dataValidation>
    <dataValidation type="list" allowBlank="1" showInputMessage="1" showErrorMessage="1" sqref="J61" xr:uid="{00000000-0002-0000-1600-000005000000}">
      <formula1>估价范围判定</formula1>
    </dataValidation>
    <dataValidation type="list" allowBlank="1" showInputMessage="1" showErrorMessage="1" sqref="L60" xr:uid="{00000000-0002-0000-1600-000006000000}">
      <formula1>"比较法,基准地价,收益还原"</formula1>
    </dataValidation>
    <dataValidation type="list" allowBlank="1" showInputMessage="1" showErrorMessage="1" sqref="M10 F10 F58"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6.3320312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3651"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53" t="s">
        <v>391</v>
      </c>
      <c r="B7" s="4356" t="s">
        <v>3425</v>
      </c>
      <c r="C7" s="4361">
        <f ca="1">ROUND(F6*F7*F8,0)</f>
        <v>0</v>
      </c>
      <c r="D7" s="4355" t="s">
        <v>3511</v>
      </c>
      <c r="E7" s="746" t="s">
        <v>684</v>
      </c>
      <c r="F7" s="3631">
        <f ca="1">IF(INDIRECT("'数据-取费表'!ah"&amp;$G$1)="",INDIRECT("'数据-取费表'!k"&amp;$G$1),INDIRECT("'数据-取费表'!ah"&amp;$G$1))</f>
        <v>0</v>
      </c>
      <c r="G7" s="973"/>
      <c r="H7" s="4353" t="s">
        <v>391</v>
      </c>
      <c r="I7" s="4356" t="s">
        <v>3425</v>
      </c>
      <c r="J7" s="4358">
        <f ca="1">ROUND(M6*M8*M7/10000,0)</f>
        <v>0</v>
      </c>
      <c r="K7" s="4362" t="s">
        <v>3427</v>
      </c>
      <c r="L7" s="1913" t="s">
        <v>684</v>
      </c>
      <c r="M7" s="3674">
        <f ca="1">F7</f>
        <v>0</v>
      </c>
    </row>
    <row r="8" spans="1:37" ht="18" customHeight="1">
      <c r="A8" s="4354"/>
      <c r="B8" s="4357"/>
      <c r="C8" s="4361"/>
      <c r="D8" s="4355"/>
      <c r="E8" s="187" t="s">
        <v>685</v>
      </c>
      <c r="F8" s="3631">
        <f ca="1">INDIRECT("'数据-取费表'!ai"&amp;$G$1)</f>
        <v>0</v>
      </c>
      <c r="G8" s="973"/>
      <c r="H8" s="4354"/>
      <c r="I8" s="4357"/>
      <c r="J8" s="4358"/>
      <c r="K8" s="4362"/>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1" t="s">
        <v>761</v>
      </c>
      <c r="C25" s="4361" t="e">
        <f ca="1">ROUND(C24*(1-((1+F27)/(1+F25))^F26)/(F25-F27),0)</f>
        <v>#DIV/0!</v>
      </c>
      <c r="D25" s="208" t="s">
        <v>745</v>
      </c>
      <c r="E25" s="187" t="s">
        <v>746</v>
      </c>
      <c r="F25" s="2901">
        <f ca="1">INDIRECT("'数据-取费表'!I"&amp;$G$1)</f>
        <v>0</v>
      </c>
      <c r="G25" s="973"/>
      <c r="H25" s="4363" t="s">
        <v>3723</v>
      </c>
      <c r="I25" s="4366" t="s">
        <v>744</v>
      </c>
      <c r="J25" s="4369">
        <f ca="1">IF(J5&lt;&gt;0,ROUND(J24*(1-((1+M27)/(1+M25))^M26)/(M25-M27),0),0)</f>
        <v>0</v>
      </c>
      <c r="K25" s="208" t="s">
        <v>745</v>
      </c>
      <c r="L25" s="3220" t="s">
        <v>746</v>
      </c>
      <c r="M25" s="3660">
        <f ca="1">INDIRECT("'数据-取费表'!I"&amp;$G$1)</f>
        <v>0</v>
      </c>
    </row>
    <row r="26" spans="1:37">
      <c r="A26" s="2919"/>
      <c r="B26" s="4371"/>
      <c r="C26" s="4361"/>
      <c r="D26" s="215" t="s">
        <v>762</v>
      </c>
      <c r="E26" s="187" t="s">
        <v>750</v>
      </c>
      <c r="F26" s="2903">
        <f ca="1">IF(INDIRECT("'数据-取费表'!af"&amp;$G$1)=0,INDIRECT("'数据-取费表'!ae"&amp;$G$1),INDIRECT("'数据-取费表'!af"&amp;$G$1))</f>
        <v>0</v>
      </c>
      <c r="G26" s="973"/>
      <c r="H26" s="4364"/>
      <c r="I26" s="4367"/>
      <c r="J26" s="4358"/>
      <c r="K26" s="937" t="s">
        <v>749</v>
      </c>
      <c r="L26" s="1913" t="s">
        <v>750</v>
      </c>
      <c r="M26" s="3670">
        <f ca="1">INDIRECT("'数据-取费表'!ag"&amp;$G$1)</f>
        <v>0</v>
      </c>
    </row>
    <row r="27" spans="1:37" ht="18" customHeight="1">
      <c r="A27" s="1019"/>
      <c r="B27" s="4371"/>
      <c r="C27" s="4361"/>
      <c r="D27" s="211"/>
      <c r="E27" s="187" t="s">
        <v>753</v>
      </c>
      <c r="F27" s="2901">
        <f ca="1">INDIRECT("'数据-取费表'!v"&amp;$G$1)</f>
        <v>0</v>
      </c>
      <c r="G27" s="973"/>
      <c r="H27" s="4365"/>
      <c r="I27" s="4368"/>
      <c r="J27" s="4370"/>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0.02</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0.02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0.01</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6.2"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8"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8"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8"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36.6"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9" t="s">
        <v>824</v>
      </c>
      <c r="L58" s="4360"/>
      <c r="O58" s="1005" t="s">
        <v>403</v>
      </c>
      <c r="P58" s="1006" t="s">
        <v>825</v>
      </c>
      <c r="Q58" s="3654" t="e">
        <f ca="1">Q52+Q53</f>
        <v>#DIV/0!</v>
      </c>
      <c r="R58" s="1007" t="s">
        <v>404</v>
      </c>
    </row>
    <row r="59" spans="1:18" s="973" customFormat="1" ht="24.6"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37.200000000000003"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2"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8"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8"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8"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8"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8"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2"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7.399999999999999"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2"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8"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8" thickBot="1">
      <c r="A76" s="3403"/>
      <c r="B76" s="656"/>
      <c r="C76" s="2888"/>
      <c r="D76" s="2922" t="s">
        <v>749</v>
      </c>
      <c r="E76" s="654" t="s">
        <v>750</v>
      </c>
      <c r="F76" s="2903">
        <f ca="1">F26</f>
        <v>0</v>
      </c>
      <c r="O76" s="1014" t="s">
        <v>407</v>
      </c>
      <c r="P76" s="1052" t="s">
        <v>861</v>
      </c>
      <c r="Q76" s="3655">
        <f ca="1">C83</f>
        <v>0</v>
      </c>
      <c r="R76" s="1007"/>
    </row>
    <row r="77" spans="1:18" s="973" customFormat="1" ht="13.8" thickBot="1">
      <c r="A77" s="3404"/>
      <c r="B77" s="2923"/>
      <c r="C77" s="2923"/>
      <c r="D77" s="2920"/>
      <c r="E77" s="654" t="s">
        <v>753</v>
      </c>
      <c r="F77" s="2893">
        <v>0.02</v>
      </c>
      <c r="O77" s="1014" t="s">
        <v>401</v>
      </c>
      <c r="P77" s="1006" t="s">
        <v>839</v>
      </c>
      <c r="Q77" s="3655">
        <f>L57</f>
        <v>0</v>
      </c>
      <c r="R77" s="1007"/>
    </row>
    <row r="78" spans="1:18" ht="16.2"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8"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8"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58" xr:uid="{00000000-0002-0000-1700-000002000000}">
      <formula1>"押一,押二,押三,自定义"</formula1>
    </dataValidation>
    <dataValidation type="list" allowBlank="1" showInputMessage="1" showErrorMessage="1" sqref="L60" xr:uid="{00000000-0002-0000-1700-000003000000}">
      <formula1>"比较法,基准地价,收益还原"</formula1>
    </dataValidation>
    <dataValidation type="list" allowBlank="1" showInputMessage="1" showErrorMessage="1" sqref="J61" xr:uid="{00000000-0002-0000-1700-000004000000}">
      <formula1>估价范围判定</formula1>
    </dataValidation>
    <dataValidation type="list" allowBlank="1" showInputMessage="1" showErrorMessage="1" sqref="J53" xr:uid="{00000000-0002-0000-1700-000005000000}">
      <formula1>"非生产用房,生产用房,受腐蚀的生产用房"</formula1>
    </dataValidation>
    <dataValidation type="list" allowBlank="1" showInputMessage="1" showErrorMessage="1" sqref="J52"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"按不含税租金收入计税,按房产原值计税,按票据"</formula1>
    </dataValidation>
    <dataValidation type="list" allowBlank="1" showInputMessage="1" showErrorMessage="1" sqref="K18" xr:uid="{00000000-0002-0000-1700-000009000000}">
      <formula1>"按不含税租金收入计税,按房产原值计税"</formula1>
    </dataValidation>
    <dataValidation type="list" allowBlank="1" showInputMessage="1" showErrorMessage="1" sqref="D28"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3" t="s">
        <v>681</v>
      </c>
      <c r="C6" s="744">
        <f ca="1">ROUND(F6*F8*F7*(1-F9),0)</f>
        <v>0</v>
      </c>
      <c r="D6" s="56" t="s">
        <v>2024</v>
      </c>
      <c r="E6" s="187" t="s">
        <v>683</v>
      </c>
      <c r="F6" s="188">
        <f ca="1">INDIRECT("'数据-取费表'!u"&amp;$G$1)</f>
        <v>0</v>
      </c>
      <c r="G6" s="973"/>
      <c r="H6" s="739" t="s">
        <v>392</v>
      </c>
      <c r="I6" s="4373" t="s">
        <v>681</v>
      </c>
      <c r="J6" s="186">
        <f ca="1">ROUND(M6*M8*M7*(1-M9),0)</f>
        <v>0</v>
      </c>
      <c r="K6" s="965" t="s">
        <v>2025</v>
      </c>
      <c r="L6" s="187" t="s">
        <v>683</v>
      </c>
      <c r="M6" s="188">
        <f ca="1">INDIRECT("'数据-取费表'!z"&amp;$G$1)</f>
        <v>0</v>
      </c>
    </row>
    <row r="7" spans="1:37" ht="18" customHeight="1">
      <c r="A7" s="743"/>
      <c r="B7" s="4374"/>
      <c r="C7" s="745"/>
      <c r="D7" s="192"/>
      <c r="E7" s="746" t="s">
        <v>684</v>
      </c>
      <c r="F7" s="188">
        <f ca="1">IF(INDIRECT("'数据-取费表'!ah"&amp;$G$1)="",INDIRECT("'数据-取费表'!k"&amp;$G$1),INDIRECT("'数据-取费表'!ah"&amp;$G$1))</f>
        <v>0</v>
      </c>
      <c r="G7" s="973"/>
      <c r="H7" s="189"/>
      <c r="I7" s="4374"/>
      <c r="J7" s="191"/>
      <c r="K7" s="192"/>
      <c r="L7" s="187" t="s">
        <v>684</v>
      </c>
      <c r="M7" s="188">
        <f ca="1">F7</f>
        <v>0</v>
      </c>
    </row>
    <row r="8" spans="1:37" ht="18" customHeight="1">
      <c r="A8" s="189"/>
      <c r="B8" s="4374"/>
      <c r="C8" s="191"/>
      <c r="D8" s="192"/>
      <c r="E8" s="187" t="s">
        <v>685</v>
      </c>
      <c r="F8" s="188">
        <f ca="1">INDIRECT("'数据-取费表'!ai"&amp;$G$1)</f>
        <v>0</v>
      </c>
      <c r="G8" s="973"/>
      <c r="H8" s="189"/>
      <c r="I8" s="4374"/>
      <c r="J8" s="191"/>
      <c r="K8" s="192"/>
      <c r="L8" s="187" t="s">
        <v>685</v>
      </c>
      <c r="M8" s="188">
        <f ca="1">INDIRECT("'数据-取费表'!ai"&amp;$G$1)</f>
        <v>0</v>
      </c>
    </row>
    <row r="9" spans="1:37" ht="18" customHeight="1">
      <c r="A9" s="189"/>
      <c r="B9" s="4375"/>
      <c r="C9" s="191"/>
      <c r="D9" s="192"/>
      <c r="E9" s="187" t="s">
        <v>686</v>
      </c>
      <c r="F9" s="197">
        <f ca="1">INDIRECT("'数据-取费表'!w"&amp;$G$1)</f>
        <v>0</v>
      </c>
      <c r="G9" s="973"/>
      <c r="H9" s="189"/>
      <c r="I9" s="4375"/>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0.02</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8"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8"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0.200000000000003"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8"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8"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8"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8"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9" t="s">
        <v>824</v>
      </c>
      <c r="L53" s="4360"/>
      <c r="O53" s="1005" t="s">
        <v>403</v>
      </c>
      <c r="P53" s="1006" t="s">
        <v>825</v>
      </c>
      <c r="Q53" s="1007" t="e">
        <f ca="1">Q47+Q48</f>
        <v>#DIV/0!</v>
      </c>
      <c r="R53" s="1007" t="s">
        <v>404</v>
      </c>
    </row>
    <row r="54" spans="1:18" s="973" customFormat="1" ht="13.8"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8"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6"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6"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6"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2"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8"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8"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8"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8"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8"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2"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4.6"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2"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8" thickBot="1">
      <c r="A69" s="655"/>
      <c r="B69" s="656"/>
      <c r="C69" s="191"/>
      <c r="D69" s="674" t="s">
        <v>749</v>
      </c>
      <c r="E69" s="654" t="s">
        <v>750</v>
      </c>
      <c r="F69" s="216">
        <f ca="1">F41</f>
        <v>0</v>
      </c>
      <c r="O69" s="1014" t="s">
        <v>405</v>
      </c>
      <c r="P69" s="1052" t="s">
        <v>859</v>
      </c>
      <c r="Q69" s="1007">
        <f ca="1">C39</f>
        <v>0</v>
      </c>
      <c r="R69" s="1007" t="s">
        <v>805</v>
      </c>
    </row>
    <row r="70" spans="1:18" s="973" customFormat="1" ht="13.8" thickBot="1">
      <c r="A70" s="658"/>
      <c r="B70" s="659"/>
      <c r="C70" s="195"/>
      <c r="D70" s="670"/>
      <c r="E70" s="654" t="s">
        <v>753</v>
      </c>
      <c r="F70" s="724"/>
      <c r="O70" s="1014" t="s">
        <v>406</v>
      </c>
      <c r="P70" s="1052" t="s">
        <v>860</v>
      </c>
      <c r="Q70" s="1007">
        <f ca="1">C13</f>
        <v>0</v>
      </c>
      <c r="R70" s="1007" t="s">
        <v>805</v>
      </c>
    </row>
    <row r="71" spans="1:18" s="973" customFormat="1" ht="13.8"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8" thickBot="1">
      <c r="B72" s="504"/>
      <c r="C72" s="504"/>
      <c r="O72" s="1014" t="s">
        <v>401</v>
      </c>
      <c r="P72" s="1006" t="s">
        <v>839</v>
      </c>
      <c r="Q72" s="1017">
        <f>L52</f>
        <v>0</v>
      </c>
      <c r="R72" s="1007"/>
    </row>
    <row r="73" spans="1:18" ht="16.2" thickBot="1">
      <c r="A73" s="973"/>
      <c r="B73" s="504"/>
      <c r="C73" s="504"/>
      <c r="D73" s="973"/>
      <c r="E73" s="973"/>
      <c r="F73" s="973"/>
      <c r="O73" s="1014" t="s">
        <v>402</v>
      </c>
      <c r="P73" s="1006" t="s">
        <v>842</v>
      </c>
      <c r="Q73" s="1007" t="e">
        <f ca="1">L58</f>
        <v>#DIV/0!</v>
      </c>
      <c r="R73" s="1007" t="s">
        <v>843</v>
      </c>
    </row>
    <row r="74" spans="1:18" ht="13.8"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8"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zoomScaleNormal="100" workbookViewId="0">
      <selection activeCell="I40" sqref="I40"/>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2" customHeight="1">
      <c r="A2" s="974" t="s">
        <v>2221</v>
      </c>
      <c r="B2" s="3675" t="e">
        <f>IF(D2="——",C40,C40+E2)</f>
        <v>#DIV/0!</v>
      </c>
      <c r="C2" s="2121" t="s">
        <v>2222</v>
      </c>
      <c r="D2" s="2567" t="s">
        <v>3256</v>
      </c>
      <c r="E2" s="2568"/>
      <c r="F2" s="2123"/>
      <c r="G2" s="2124"/>
      <c r="H2" s="2125"/>
      <c r="I2" s="2126"/>
      <c r="J2" s="4382" t="s">
        <v>2223</v>
      </c>
      <c r="K2" s="4383"/>
      <c r="L2" s="2127" t="s">
        <v>2224</v>
      </c>
      <c r="M2" s="2127" t="s">
        <v>2225</v>
      </c>
      <c r="N2" s="2127" t="s">
        <v>2226</v>
      </c>
      <c r="O2" s="2127" t="s">
        <v>2227</v>
      </c>
      <c r="P2" s="2127" t="s">
        <v>2228</v>
      </c>
      <c r="Q2" s="2128" t="s">
        <v>2229</v>
      </c>
      <c r="R2" s="2129" t="s">
        <v>2230</v>
      </c>
      <c r="S2" s="2119"/>
      <c r="T2" s="2119"/>
      <c r="U2" s="2119"/>
      <c r="V2" s="2126"/>
    </row>
    <row r="3" spans="1:22" s="2130" customFormat="1" ht="13.2" customHeight="1">
      <c r="A3" s="2131" t="s">
        <v>2231</v>
      </c>
      <c r="B3" s="3676" t="e">
        <f>ROUND(B2*10000/B4,0)</f>
        <v>#DIV/0!</v>
      </c>
      <c r="C3" s="2121" t="s">
        <v>2232</v>
      </c>
      <c r="D3" s="2121"/>
      <c r="E3" s="2122"/>
      <c r="F3" s="2123"/>
      <c r="G3" s="2124"/>
      <c r="H3" s="2125"/>
      <c r="I3" s="2126"/>
      <c r="J3" s="4384" t="s">
        <v>2233</v>
      </c>
      <c r="K3" s="4385"/>
      <c r="L3" s="2132"/>
      <c r="M3" s="2132"/>
      <c r="N3" s="2132"/>
      <c r="O3" s="2132"/>
      <c r="P3" s="2132"/>
      <c r="Q3" s="2133"/>
      <c r="R3" s="2134">
        <f>SUM(L3:Q3)</f>
        <v>0</v>
      </c>
      <c r="S3" s="2119"/>
      <c r="T3" s="2119"/>
      <c r="U3" s="2119"/>
      <c r="V3" s="2126"/>
    </row>
    <row r="4" spans="1:22" s="2130" customFormat="1" ht="13.2" customHeight="1">
      <c r="A4" s="2135" t="s">
        <v>2234</v>
      </c>
      <c r="B4" s="2169"/>
      <c r="C4" s="2121"/>
      <c r="D4" s="2121"/>
      <c r="E4" s="2122"/>
      <c r="F4" s="2123"/>
      <c r="G4" s="2124"/>
      <c r="H4" s="2125"/>
      <c r="I4" s="2126"/>
      <c r="J4" s="4384" t="s">
        <v>2235</v>
      </c>
      <c r="K4" s="4385"/>
      <c r="L4" s="2137"/>
      <c r="M4" s="2137"/>
      <c r="N4" s="2137"/>
      <c r="O4" s="2137"/>
      <c r="P4" s="2137"/>
      <c r="Q4" s="2138"/>
      <c r="R4" s="2139">
        <f>SUM(L4:Q4)</f>
        <v>0</v>
      </c>
      <c r="S4" s="2119"/>
      <c r="T4" s="2119"/>
      <c r="U4" s="2119"/>
      <c r="V4" s="2126"/>
    </row>
    <row r="5" spans="1:22" s="2130" customFormat="1" ht="13.2"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2" customHeight="1" thickBot="1">
      <c r="A6" s="4391" t="s">
        <v>3838</v>
      </c>
      <c r="B6" s="4392"/>
      <c r="C6" s="4393"/>
      <c r="D6" s="3678"/>
      <c r="E6" s="3828"/>
      <c r="F6" s="2146"/>
      <c r="G6" s="2147"/>
      <c r="H6" s="2125"/>
      <c r="I6" s="2126"/>
      <c r="J6" s="4376">
        <v>1</v>
      </c>
      <c r="K6" s="4377"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2" customHeight="1">
      <c r="A7" s="2150" t="s">
        <v>2248</v>
      </c>
      <c r="B7" s="2151"/>
      <c r="C7" s="2152"/>
      <c r="D7" s="3679">
        <f>SUM(D9,D10,D11,D17,0)</f>
        <v>0</v>
      </c>
      <c r="E7" s="2153" t="e">
        <f>E9+E10+E11+E17</f>
        <v>#DIV/0!</v>
      </c>
      <c r="F7" s="2154"/>
      <c r="G7" s="2155"/>
      <c r="H7" s="2125"/>
      <c r="I7" s="2126"/>
      <c r="J7" s="4376"/>
      <c r="K7" s="4378"/>
      <c r="L7" s="2156" t="s">
        <v>2249</v>
      </c>
      <c r="M7" s="3937"/>
      <c r="N7" s="3936"/>
      <c r="O7" s="2169"/>
      <c r="P7" s="2169"/>
      <c r="Q7" s="3936">
        <v>365</v>
      </c>
      <c r="R7" s="3935">
        <f>ROUND(M7*N7*O7*P7*Q7/10000,0)</f>
        <v>0</v>
      </c>
      <c r="S7" s="2119"/>
      <c r="T7" s="2119" t="s">
        <v>2250</v>
      </c>
      <c r="U7" s="2119"/>
      <c r="V7" s="2126"/>
    </row>
    <row r="8" spans="1:22" s="2130" customFormat="1" ht="13.2" customHeight="1">
      <c r="A8" s="2160" t="s">
        <v>2251</v>
      </c>
      <c r="B8" s="4394" t="s">
        <v>2252</v>
      </c>
      <c r="C8" s="4395"/>
      <c r="D8" s="2161" t="s">
        <v>2253</v>
      </c>
      <c r="E8" s="2162" t="s">
        <v>2254</v>
      </c>
      <c r="F8" s="2163" t="s">
        <v>2255</v>
      </c>
      <c r="G8" s="2164"/>
      <c r="H8" s="2125"/>
      <c r="I8" s="2126"/>
      <c r="J8" s="4376"/>
      <c r="K8" s="4378"/>
      <c r="L8" s="2156" t="s">
        <v>2256</v>
      </c>
      <c r="M8" s="3937"/>
      <c r="N8" s="3936"/>
      <c r="O8" s="2169"/>
      <c r="P8" s="2169"/>
      <c r="Q8" s="3936">
        <v>365</v>
      </c>
      <c r="R8" s="3935">
        <f t="shared" ref="R8:R13" si="0">ROUND(M8*N8*O8*P8*Q8/10000,0)</f>
        <v>0</v>
      </c>
      <c r="S8" s="2119"/>
      <c r="T8" s="2119" t="s">
        <v>2257</v>
      </c>
      <c r="U8" s="2119"/>
      <c r="V8" s="2126"/>
    </row>
    <row r="9" spans="1:22" s="2130" customFormat="1" ht="13.2" customHeight="1">
      <c r="A9" s="2160">
        <v>1</v>
      </c>
      <c r="B9" s="4394" t="s">
        <v>2258</v>
      </c>
      <c r="C9" s="4395"/>
      <c r="D9" s="3680">
        <f>ROUND(D6*E9,0)</f>
        <v>0</v>
      </c>
      <c r="E9" s="3681"/>
      <c r="F9" s="2165" t="s">
        <v>2259</v>
      </c>
      <c r="G9" s="2147"/>
      <c r="H9" s="2125"/>
      <c r="I9" s="2126"/>
      <c r="J9" s="4376"/>
      <c r="K9" s="4378"/>
      <c r="L9" s="2156" t="s">
        <v>2260</v>
      </c>
      <c r="M9" s="3937"/>
      <c r="N9" s="3936"/>
      <c r="O9" s="2169"/>
      <c r="P9" s="2169"/>
      <c r="Q9" s="3936">
        <v>365</v>
      </c>
      <c r="R9" s="3935">
        <f t="shared" si="0"/>
        <v>0</v>
      </c>
      <c r="S9" s="2119"/>
      <c r="T9" s="2119"/>
      <c r="U9" s="2119"/>
      <c r="V9" s="2126"/>
    </row>
    <row r="10" spans="1:22" s="2130" customFormat="1" ht="13.2" customHeight="1">
      <c r="A10" s="2160">
        <v>2</v>
      </c>
      <c r="B10" s="4394" t="s">
        <v>2261</v>
      </c>
      <c r="C10" s="4395"/>
      <c r="D10" s="3680">
        <f>ROUND(D6*E10,0)</f>
        <v>0</v>
      </c>
      <c r="E10" s="3681"/>
      <c r="F10" s="3823" t="s">
        <v>3761</v>
      </c>
      <c r="G10" s="2147"/>
      <c r="H10" s="2125"/>
      <c r="I10" s="2126"/>
      <c r="J10" s="4376"/>
      <c r="K10" s="4378"/>
      <c r="L10" s="2156" t="s">
        <v>2262</v>
      </c>
      <c r="M10" s="3937"/>
      <c r="N10" s="3936"/>
      <c r="O10" s="2169"/>
      <c r="P10" s="2169"/>
      <c r="Q10" s="3936">
        <v>365</v>
      </c>
      <c r="R10" s="3935">
        <f t="shared" si="0"/>
        <v>0</v>
      </c>
      <c r="S10" s="2119"/>
      <c r="T10" s="2119"/>
      <c r="U10" s="2119"/>
      <c r="V10" s="2126"/>
    </row>
    <row r="11" spans="1:22" s="2130" customFormat="1" ht="13.2" customHeight="1">
      <c r="A11" s="2160">
        <v>3</v>
      </c>
      <c r="B11" s="4394" t="s">
        <v>2263</v>
      </c>
      <c r="C11" s="4395"/>
      <c r="D11" s="3680">
        <f>D12+D14+D15+D16</f>
        <v>0</v>
      </c>
      <c r="E11" s="3682" t="e">
        <f>D11/D6</f>
        <v>#DIV/0!</v>
      </c>
      <c r="F11" s="2163"/>
      <c r="G11" s="2164"/>
      <c r="H11" s="2125"/>
      <c r="I11" s="2126"/>
      <c r="J11" s="4376"/>
      <c r="K11" s="4378"/>
      <c r="L11" s="2156" t="s">
        <v>2264</v>
      </c>
      <c r="M11" s="3937"/>
      <c r="N11" s="3936"/>
      <c r="O11" s="2169"/>
      <c r="P11" s="2169"/>
      <c r="Q11" s="3936">
        <v>365</v>
      </c>
      <c r="R11" s="3935">
        <f t="shared" si="0"/>
        <v>0</v>
      </c>
      <c r="S11" s="2119"/>
      <c r="T11" s="2119"/>
      <c r="U11" s="2119"/>
      <c r="V11" s="2126"/>
    </row>
    <row r="12" spans="1:22" s="2130" customFormat="1" ht="13.2" customHeight="1">
      <c r="A12" s="2166" t="s">
        <v>2265</v>
      </c>
      <c r="B12" s="4388" t="s">
        <v>2266</v>
      </c>
      <c r="C12" s="4387"/>
      <c r="D12" s="3683">
        <f>ROUND(D13*1.2%*(1-30%),0)</f>
        <v>0</v>
      </c>
      <c r="E12" s="3684">
        <v>1.2E-2</v>
      </c>
      <c r="F12" s="2163" t="s">
        <v>2267</v>
      </c>
      <c r="G12" s="2164"/>
      <c r="H12" s="2125"/>
      <c r="I12" s="2126"/>
      <c r="J12" s="4376"/>
      <c r="K12" s="4378"/>
      <c r="L12" s="2156" t="s">
        <v>2268</v>
      </c>
      <c r="M12" s="3937"/>
      <c r="N12" s="3936"/>
      <c r="O12" s="2169"/>
      <c r="P12" s="2169"/>
      <c r="Q12" s="3936">
        <v>365</v>
      </c>
      <c r="R12" s="3935">
        <f t="shared" si="0"/>
        <v>0</v>
      </c>
      <c r="S12" s="2119"/>
      <c r="T12" s="2119"/>
      <c r="U12" s="2119"/>
      <c r="V12" s="2126"/>
    </row>
    <row r="13" spans="1:22" s="2130" customFormat="1" ht="13.2" customHeight="1">
      <c r="A13" s="2166"/>
      <c r="B13" s="2167"/>
      <c r="C13" s="2168" t="s">
        <v>2269</v>
      </c>
      <c r="D13" s="3685"/>
      <c r="E13" s="2170"/>
      <c r="F13" s="2163"/>
      <c r="G13" s="2164"/>
      <c r="H13" s="2125"/>
      <c r="I13" s="2126"/>
      <c r="J13" s="4376"/>
      <c r="K13" s="4378"/>
      <c r="L13" s="2156" t="s">
        <v>2270</v>
      </c>
      <c r="M13" s="3937"/>
      <c r="N13" s="3936"/>
      <c r="O13" s="2169"/>
      <c r="P13" s="2169"/>
      <c r="Q13" s="3936">
        <v>365</v>
      </c>
      <c r="R13" s="3935">
        <f t="shared" si="0"/>
        <v>0</v>
      </c>
      <c r="S13" s="2119"/>
      <c r="T13" s="2119"/>
      <c r="U13" s="2119"/>
      <c r="V13" s="2126"/>
    </row>
    <row r="14" spans="1:22" s="2130" customFormat="1" ht="13.2" customHeight="1">
      <c r="A14" s="2166" t="s">
        <v>2271</v>
      </c>
      <c r="B14" s="4388" t="s">
        <v>2272</v>
      </c>
      <c r="C14" s="4387"/>
      <c r="D14" s="3683">
        <f>ROUND(E14*B5/10000,0)</f>
        <v>0</v>
      </c>
      <c r="E14" s="3686"/>
      <c r="F14" s="2163" t="s">
        <v>2273</v>
      </c>
      <c r="G14" s="2164"/>
      <c r="H14" s="2125"/>
      <c r="I14" s="2126"/>
      <c r="J14" s="4376"/>
      <c r="K14" s="4379"/>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2275</v>
      </c>
      <c r="B15" s="4386" t="s">
        <v>3835</v>
      </c>
      <c r="C15" s="4387"/>
      <c r="D15" s="3683">
        <f>IF(F15="酒店",E48*(1+E15),IF(F15="购物中心",E67*(1+E15),IF(F15="按比例计算-酒店",E46,E65)))</f>
        <v>0</v>
      </c>
      <c r="E15" s="3684">
        <f>'数据-取费表'!B44</f>
        <v>0.12000000000000001</v>
      </c>
      <c r="F15" s="3826"/>
      <c r="G15" s="3827"/>
      <c r="H15" s="2125"/>
      <c r="I15" s="2126"/>
      <c r="J15" s="4376">
        <v>2</v>
      </c>
      <c r="K15" s="4377"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2" customHeight="1">
      <c r="A16" s="2166" t="s">
        <v>2282</v>
      </c>
      <c r="B16" s="4388" t="s">
        <v>2283</v>
      </c>
      <c r="C16" s="4387"/>
      <c r="D16" s="3687">
        <f>D6*E16</f>
        <v>0</v>
      </c>
      <c r="E16" s="3688"/>
      <c r="F16" s="2165" t="s">
        <v>2284</v>
      </c>
      <c r="G16" s="2147"/>
      <c r="H16" s="2125"/>
      <c r="I16" s="2126"/>
      <c r="J16" s="4376"/>
      <c r="K16" s="4378"/>
      <c r="L16" s="2156" t="s">
        <v>2285</v>
      </c>
      <c r="M16" s="3937"/>
      <c r="N16" s="3937"/>
      <c r="O16" s="2169"/>
      <c r="P16" s="3936">
        <v>365</v>
      </c>
      <c r="Q16" s="3936"/>
      <c r="R16" s="3935">
        <f>ROUND(M16*N16*O16*P16/10000,0)</f>
        <v>0</v>
      </c>
      <c r="S16" s="2119"/>
      <c r="T16" s="2119"/>
      <c r="U16" s="2119"/>
      <c r="V16" s="2126"/>
    </row>
    <row r="17" spans="1:22" s="2130" customFormat="1" ht="13.2" customHeight="1" thickBot="1">
      <c r="A17" s="2176">
        <v>4</v>
      </c>
      <c r="B17" s="4389" t="s">
        <v>2286</v>
      </c>
      <c r="C17" s="4390"/>
      <c r="D17" s="3689">
        <f>ROUND(D6*E17,0)</f>
        <v>0</v>
      </c>
      <c r="E17" s="3690"/>
      <c r="F17" s="3824" t="s">
        <v>3762</v>
      </c>
      <c r="G17" s="2147"/>
      <c r="H17" s="2125"/>
      <c r="I17" s="2126"/>
      <c r="J17" s="4376"/>
      <c r="K17" s="4378"/>
      <c r="L17" s="2156" t="s">
        <v>2287</v>
      </c>
      <c r="M17" s="3937"/>
      <c r="N17" s="3937"/>
      <c r="O17" s="2169"/>
      <c r="P17" s="3936">
        <v>365</v>
      </c>
      <c r="Q17" s="3936"/>
      <c r="R17" s="3935">
        <f>ROUND(M17*N17*O17*P17/10000,0)</f>
        <v>0</v>
      </c>
      <c r="S17" s="2119"/>
      <c r="T17" s="2119"/>
      <c r="U17" s="2119"/>
      <c r="V17" s="2126"/>
    </row>
    <row r="18" spans="1:22" s="2130" customFormat="1" ht="13.2" customHeight="1" thickBot="1">
      <c r="A18" s="2150" t="s">
        <v>2288</v>
      </c>
      <c r="B18" s="2151"/>
      <c r="C18" s="2151"/>
      <c r="D18" s="3691">
        <f>ROUND(D6*E18,0)</f>
        <v>0</v>
      </c>
      <c r="E18" s="3692"/>
      <c r="F18" s="2177" t="s">
        <v>2289</v>
      </c>
      <c r="G18" s="2147"/>
      <c r="H18" s="2125"/>
      <c r="I18" s="2126"/>
      <c r="J18" s="4376"/>
      <c r="K18" s="4378"/>
      <c r="L18" s="2156" t="s">
        <v>2290</v>
      </c>
      <c r="M18" s="3937"/>
      <c r="N18" s="3937"/>
      <c r="O18" s="2169"/>
      <c r="P18" s="3936">
        <v>365</v>
      </c>
      <c r="Q18" s="3936"/>
      <c r="R18" s="3935">
        <f>ROUND(M18*N18*O18*P18/10000,0)</f>
        <v>0</v>
      </c>
      <c r="S18" s="2119"/>
      <c r="T18" s="2119"/>
      <c r="U18" s="2119"/>
      <c r="V18" s="2126"/>
    </row>
    <row r="19" spans="1:22" s="2130" customFormat="1" ht="13.2" customHeight="1" thickBot="1">
      <c r="A19" s="2178" t="s">
        <v>2291</v>
      </c>
      <c r="B19" s="2145"/>
      <c r="C19" s="2145"/>
      <c r="D19" s="2145"/>
      <c r="E19" s="2145"/>
      <c r="F19" s="2146"/>
      <c r="G19" s="2164"/>
      <c r="H19" s="2125"/>
      <c r="I19" s="2126"/>
      <c r="J19" s="4376"/>
      <c r="K19" s="4379"/>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376">
        <v>3</v>
      </c>
      <c r="K20" s="4377"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2" customHeight="1">
      <c r="A21" s="2150"/>
      <c r="B21" s="2151"/>
      <c r="C21" s="2182" t="s">
        <v>2300</v>
      </c>
      <c r="D21" s="2183" t="s">
        <v>2301</v>
      </c>
      <c r="E21" s="2184" t="s">
        <v>2302</v>
      </c>
      <c r="F21" s="2180"/>
      <c r="G21" s="2164"/>
      <c r="H21" s="2125"/>
      <c r="I21" s="2126"/>
      <c r="J21" s="4376"/>
      <c r="K21" s="4378"/>
      <c r="L21" s="2156" t="s">
        <v>2303</v>
      </c>
      <c r="M21" s="3937"/>
      <c r="N21" s="3937"/>
      <c r="O21" s="2169"/>
      <c r="P21" s="3936">
        <v>365</v>
      </c>
      <c r="Q21" s="3936"/>
      <c r="R21" s="3938">
        <f>ROUND(M21*N21*O21*P21/10000,0)</f>
        <v>0</v>
      </c>
      <c r="S21" s="2119"/>
      <c r="T21" s="2119"/>
      <c r="U21" s="2119"/>
      <c r="V21" s="2126"/>
    </row>
    <row r="22" spans="1:22" s="2130" customFormat="1" ht="13.2" customHeight="1">
      <c r="A22" s="2150"/>
      <c r="B22" s="2151"/>
      <c r="C22" s="2185" t="s">
        <v>2304</v>
      </c>
      <c r="D22" s="2186" t="s">
        <v>2305</v>
      </c>
      <c r="E22" s="2187" t="s">
        <v>2306</v>
      </c>
      <c r="F22" s="2180"/>
      <c r="G22" s="2119"/>
      <c r="H22" s="2125"/>
      <c r="I22" s="2126"/>
      <c r="J22" s="4376"/>
      <c r="K22" s="4378"/>
      <c r="L22" s="2156" t="s">
        <v>2307</v>
      </c>
      <c r="M22" s="3937"/>
      <c r="N22" s="3937"/>
      <c r="O22" s="2169"/>
      <c r="P22" s="3936">
        <v>365</v>
      </c>
      <c r="Q22" s="3936"/>
      <c r="R22" s="3938">
        <f>ROUND(M22*N22*O22*P22/10000,0)</f>
        <v>0</v>
      </c>
      <c r="S22" s="2119"/>
      <c r="T22" s="2119"/>
      <c r="U22" s="2119"/>
      <c r="V22" s="2126"/>
    </row>
    <row r="23" spans="1:22" s="2130" customFormat="1" ht="13.2" customHeight="1">
      <c r="A23" s="2188">
        <v>1</v>
      </c>
      <c r="B23" s="2189" t="s">
        <v>2308</v>
      </c>
      <c r="C23" s="2194">
        <f>D6</f>
        <v>0</v>
      </c>
      <c r="D23" s="3707">
        <f>C23*(1+D24)</f>
        <v>0</v>
      </c>
      <c r="E23" s="3708">
        <f>D23*(1+E24)</f>
        <v>0</v>
      </c>
      <c r="F23" s="2190"/>
      <c r="G23" s="2191"/>
      <c r="H23" s="2125"/>
      <c r="I23" s="2126"/>
      <c r="J23" s="4376"/>
      <c r="K23" s="4378"/>
      <c r="L23" s="2156" t="s">
        <v>2309</v>
      </c>
      <c r="M23" s="3937"/>
      <c r="N23" s="3937"/>
      <c r="O23" s="2169"/>
      <c r="P23" s="3936">
        <v>365</v>
      </c>
      <c r="Q23" s="3936"/>
      <c r="R23" s="3938">
        <f>ROUND(M23*N23*O23*P23/10000,0)</f>
        <v>0</v>
      </c>
      <c r="S23" s="2119"/>
      <c r="T23" s="2119"/>
      <c r="U23" s="2119"/>
      <c r="V23" s="2126"/>
    </row>
    <row r="24" spans="1:22" s="2130" customFormat="1" ht="13.2" customHeight="1">
      <c r="A24" s="2192"/>
      <c r="B24" s="2193" t="s">
        <v>2310</v>
      </c>
      <c r="C24" s="2194"/>
      <c r="D24" s="2195"/>
      <c r="E24" s="2196"/>
      <c r="F24" s="2197"/>
      <c r="G24" s="2191"/>
      <c r="H24" s="2125"/>
      <c r="I24" s="2126"/>
      <c r="J24" s="4376"/>
      <c r="K24" s="4379"/>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2" customHeight="1">
      <c r="A26" s="2188">
        <v>2</v>
      </c>
      <c r="B26" s="2189" t="s">
        <v>2312</v>
      </c>
      <c r="C26" s="2194">
        <f>D7</f>
        <v>0</v>
      </c>
      <c r="D26" s="3693">
        <f>D23*D27</f>
        <v>0</v>
      </c>
      <c r="E26" s="3694">
        <f>E23*E27</f>
        <v>0</v>
      </c>
      <c r="F26" s="2190"/>
      <c r="G26" s="2191"/>
      <c r="H26" s="2125"/>
      <c r="I26" s="2126"/>
      <c r="J26" s="4380">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2" customHeight="1">
      <c r="A27" s="2192"/>
      <c r="B27" s="2193" t="s">
        <v>2318</v>
      </c>
      <c r="C27" s="2210" t="e">
        <f>E7</f>
        <v>#DIV/0!</v>
      </c>
      <c r="D27" s="2195"/>
      <c r="E27" s="2196"/>
      <c r="F27" s="2197"/>
      <c r="G27" s="2191"/>
      <c r="H27" s="2211"/>
      <c r="I27" s="2203"/>
      <c r="J27" s="4381"/>
      <c r="K27" s="2212"/>
      <c r="L27" s="2213"/>
      <c r="M27" s="2214"/>
      <c r="N27" s="3712"/>
      <c r="O27" s="3712"/>
      <c r="P27" s="3712"/>
      <c r="Q27" s="3712"/>
      <c r="R27" s="3939">
        <f>ROUND(O27*N27*P27*(1-Q27)/10000,0)</f>
        <v>0</v>
      </c>
      <c r="S27" s="2119"/>
      <c r="T27" s="2119"/>
      <c r="U27" s="2119"/>
      <c r="V27" s="2126"/>
    </row>
    <row r="28" spans="1:22" s="2204" customFormat="1" ht="13.2"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2"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2" customHeight="1">
      <c r="A32" s="2188">
        <v>4</v>
      </c>
      <c r="B32" s="2189" t="s">
        <v>2326</v>
      </c>
      <c r="C32" s="2194">
        <f>C23-C26-C29</f>
        <v>0</v>
      </c>
      <c r="D32" s="3693">
        <f>D23-D26-D29</f>
        <v>0</v>
      </c>
      <c r="E32" s="3694">
        <f>E23-E26-E29</f>
        <v>0</v>
      </c>
      <c r="F32" s="2190"/>
      <c r="G32" s="2119"/>
      <c r="H32" s="2125"/>
      <c r="I32" s="2126"/>
      <c r="J32" s="4382" t="s">
        <v>2223</v>
      </c>
      <c r="K32" s="4383"/>
      <c r="L32" s="2127" t="s">
        <v>2224</v>
      </c>
      <c r="M32" s="2127" t="s">
        <v>2225</v>
      </c>
      <c r="N32" s="2127" t="s">
        <v>2226</v>
      </c>
      <c r="O32" s="2127" t="s">
        <v>2227</v>
      </c>
      <c r="P32" s="2127" t="s">
        <v>2228</v>
      </c>
      <c r="Q32" s="2128" t="s">
        <v>2229</v>
      </c>
      <c r="R32" s="2223" t="s">
        <v>2230</v>
      </c>
      <c r="S32" s="2119"/>
      <c r="T32" s="2119"/>
      <c r="U32" s="2119"/>
      <c r="V32" s="2203"/>
    </row>
    <row r="33" spans="1:23" s="2130" customFormat="1" ht="13.2" customHeight="1">
      <c r="A33" s="2188"/>
      <c r="B33" s="2189"/>
      <c r="C33" s="2194"/>
      <c r="D33" s="3695"/>
      <c r="E33" s="3696"/>
      <c r="F33" s="2190"/>
      <c r="G33" s="2119"/>
      <c r="H33" s="2211"/>
      <c r="I33" s="2203"/>
      <c r="J33" s="4384" t="s">
        <v>2233</v>
      </c>
      <c r="K33" s="4385"/>
      <c r="L33" s="3715"/>
      <c r="M33" s="3715"/>
      <c r="N33" s="3715"/>
      <c r="O33" s="3715"/>
      <c r="P33" s="3715"/>
      <c r="Q33" s="3716"/>
      <c r="R33" s="3717">
        <f>SUM(L33:Q33)</f>
        <v>0</v>
      </c>
      <c r="S33" s="2119"/>
      <c r="T33" s="2119"/>
      <c r="U33" s="2119"/>
      <c r="V33" s="2126"/>
    </row>
    <row r="34" spans="1:23" s="2130" customFormat="1" ht="13.2" customHeight="1">
      <c r="A34" s="2188">
        <v>5</v>
      </c>
      <c r="B34" s="2189" t="s">
        <v>2327</v>
      </c>
      <c r="C34" s="3697"/>
      <c r="D34" s="3698"/>
      <c r="E34" s="3699"/>
      <c r="F34" s="2190"/>
      <c r="G34" s="2119"/>
      <c r="H34" s="2211"/>
      <c r="I34" s="2203"/>
      <c r="J34" s="4384" t="s">
        <v>2235</v>
      </c>
      <c r="K34" s="4385"/>
      <c r="L34" s="3718"/>
      <c r="M34" s="3718"/>
      <c r="N34" s="3718"/>
      <c r="O34" s="3718"/>
      <c r="P34" s="3718"/>
      <c r="Q34" s="3719"/>
      <c r="R34" s="3720">
        <f>SUM(L34:Q34)</f>
        <v>0</v>
      </c>
      <c r="S34" s="2119"/>
      <c r="T34" s="2119"/>
      <c r="U34" s="2119" t="e">
        <f>ROUND(R35*10000/365/R33,1)</f>
        <v>#DIV/0!</v>
      </c>
      <c r="V34" s="2126"/>
    </row>
    <row r="35" spans="1:23" s="2130" customFormat="1" ht="13.2"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2" customHeight="1" thickBot="1">
      <c r="A36" s="2188">
        <v>7</v>
      </c>
      <c r="B36" s="2226" t="s">
        <v>2329</v>
      </c>
      <c r="C36" s="3700"/>
      <c r="D36" s="3701"/>
      <c r="E36" s="3702"/>
      <c r="F36" s="2227">
        <f>C36+D36+E36</f>
        <v>0</v>
      </c>
      <c r="G36" s="2119"/>
      <c r="H36" s="2125"/>
      <c r="I36" s="2126"/>
      <c r="J36" s="4376">
        <v>1</v>
      </c>
      <c r="K36" s="4377" t="s">
        <v>2330</v>
      </c>
      <c r="L36" s="2148"/>
      <c r="M36" s="2149"/>
      <c r="N36" s="2149"/>
      <c r="O36" s="2149"/>
      <c r="P36" s="2149"/>
      <c r="Q36" s="2149"/>
      <c r="R36" s="2134" t="s">
        <v>2246</v>
      </c>
      <c r="S36" s="2119"/>
      <c r="T36" s="2119" t="s">
        <v>2247</v>
      </c>
      <c r="U36" s="2119"/>
      <c r="V36" s="2126"/>
    </row>
    <row r="37" spans="1:23" s="2130" customFormat="1" ht="13.2" customHeight="1">
      <c r="A37" s="2188"/>
      <c r="B37" s="2189"/>
      <c r="C37" s="2193"/>
      <c r="D37" s="2193"/>
      <c r="E37" s="2193"/>
      <c r="F37" s="2190"/>
      <c r="G37" s="2119"/>
      <c r="H37" s="2125"/>
      <c r="I37" s="2126"/>
      <c r="J37" s="4376"/>
      <c r="K37" s="4378"/>
      <c r="L37" s="3721"/>
      <c r="M37" s="3709"/>
      <c r="N37" s="2169"/>
      <c r="O37" s="2169"/>
      <c r="P37" s="2169"/>
      <c r="Q37" s="2169"/>
      <c r="R37" s="3710"/>
      <c r="S37" s="2119"/>
      <c r="T37" s="2119" t="s">
        <v>2250</v>
      </c>
      <c r="U37" s="2119"/>
      <c r="V37" s="2126"/>
    </row>
    <row r="38" spans="1:23" s="2130" customFormat="1" ht="13.2" customHeight="1">
      <c r="A38" s="2188">
        <v>8</v>
      </c>
      <c r="B38" s="2189"/>
      <c r="C38" s="3680" t="e">
        <f>ROUND(C32*(1-((1+C35)/(1+C34))^C36)/(C34-C35),0)</f>
        <v>#DIV/0!</v>
      </c>
      <c r="D38" s="3680">
        <f>IF(D23=0,0,ROUND(D32*(1-((1+D35)/(1+D34))^D36)/(D34-D35),0))</f>
        <v>0</v>
      </c>
      <c r="E38" s="3680">
        <f>IF(E23=0,0,ROUND(E32*(1-((1+E35)/(1+E34))^E36)/(E34-E35),0))</f>
        <v>0</v>
      </c>
      <c r="F38" s="2190"/>
      <c r="G38" s="2119"/>
      <c r="H38" s="2125"/>
      <c r="I38" s="2126"/>
      <c r="J38" s="4376"/>
      <c r="K38" s="4378"/>
      <c r="L38" s="3721"/>
      <c r="M38" s="3709"/>
      <c r="N38" s="2169"/>
      <c r="O38" s="2169"/>
      <c r="P38" s="2169"/>
      <c r="Q38" s="2169"/>
      <c r="R38" s="3710"/>
      <c r="S38" s="2119"/>
      <c r="T38" s="2119" t="s">
        <v>2257</v>
      </c>
      <c r="U38" s="2119"/>
      <c r="V38" s="2126"/>
    </row>
    <row r="39" spans="1:23" s="2130" customFormat="1" ht="13.2" customHeight="1">
      <c r="A39" s="2188">
        <v>9</v>
      </c>
      <c r="B39" s="2189" t="s">
        <v>2331</v>
      </c>
      <c r="C39" s="3683" t="e">
        <f>C38</f>
        <v>#DIV/0!</v>
      </c>
      <c r="D39" s="3683">
        <f>IF(D23=0,0,D38/(1+D34)^C36)</f>
        <v>0</v>
      </c>
      <c r="E39" s="3683">
        <f>IF(E23=0,0,E38/(1+E34)^(C36+D36))</f>
        <v>0</v>
      </c>
      <c r="F39" s="2190"/>
      <c r="G39" s="2126"/>
      <c r="H39" s="2125"/>
      <c r="I39" s="2126"/>
      <c r="J39" s="4376"/>
      <c r="K39" s="4378"/>
      <c r="L39" s="3721"/>
      <c r="M39" s="3709"/>
      <c r="N39" s="2169"/>
      <c r="O39" s="2169"/>
      <c r="P39" s="2169"/>
      <c r="Q39" s="2169"/>
      <c r="R39" s="3710"/>
      <c r="S39" s="2119"/>
      <c r="T39" s="2119"/>
      <c r="U39" s="2119"/>
      <c r="V39" s="2126"/>
    </row>
    <row r="40" spans="1:23" s="2130" customFormat="1" ht="13.2" customHeight="1">
      <c r="A40" s="2228">
        <v>10</v>
      </c>
      <c r="B40" s="2189" t="s">
        <v>2332</v>
      </c>
      <c r="C40" s="3703" t="e">
        <f>C39+D39+E39</f>
        <v>#DIV/0!</v>
      </c>
      <c r="D40" s="3704"/>
      <c r="E40" s="3704"/>
      <c r="F40" s="2229"/>
      <c r="G40" s="2119"/>
      <c r="H40" s="2125"/>
      <c r="I40" s="2126"/>
      <c r="J40" s="4376"/>
      <c r="K40" s="4379"/>
      <c r="L40" s="2171" t="s">
        <v>2274</v>
      </c>
      <c r="M40" s="2172"/>
      <c r="N40" s="2172"/>
      <c r="O40" s="2173"/>
      <c r="P40" s="2173"/>
      <c r="Q40" s="3722"/>
      <c r="R40" s="3940">
        <f>SUM(R37:R39)</f>
        <v>0</v>
      </c>
      <c r="S40" s="2119"/>
      <c r="T40" s="2119"/>
      <c r="U40" s="2119"/>
      <c r="V40" s="2126"/>
    </row>
    <row r="41" spans="1:23" s="2130" customFormat="1" ht="13.2"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2" customHeight="1">
      <c r="G42" s="2125"/>
      <c r="H42" s="2125"/>
      <c r="I42" s="2126"/>
      <c r="J42" s="4380">
        <v>3</v>
      </c>
      <c r="K42" s="2205" t="s">
        <v>2313</v>
      </c>
      <c r="L42" s="2206"/>
      <c r="M42" s="2207"/>
      <c r="N42" s="2208" t="s">
        <v>2314</v>
      </c>
      <c r="O42" s="2208" t="s">
        <v>2315</v>
      </c>
      <c r="P42" s="2209" t="s">
        <v>2316</v>
      </c>
      <c r="Q42" s="2209" t="s">
        <v>2317</v>
      </c>
      <c r="R42" s="2134" t="s">
        <v>2246</v>
      </c>
      <c r="S42" s="2164"/>
      <c r="T42" s="2164"/>
      <c r="U42" s="2119"/>
      <c r="V42" s="2126"/>
    </row>
    <row r="43" spans="1:23" ht="13.2" customHeight="1">
      <c r="A43" s="2130"/>
      <c r="B43" s="2130"/>
      <c r="C43" s="2130"/>
      <c r="D43" s="2130"/>
      <c r="E43" s="2130"/>
      <c r="F43" s="2130"/>
      <c r="G43" s="2125"/>
      <c r="H43" s="2125"/>
      <c r="I43" s="2114"/>
      <c r="J43" s="4381"/>
      <c r="K43" s="2212"/>
      <c r="L43" s="2213"/>
      <c r="M43" s="2214"/>
      <c r="N43" s="3709"/>
      <c r="O43" s="3709"/>
      <c r="P43" s="3709"/>
      <c r="Q43" s="3709"/>
      <c r="R43" s="3939">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2" customHeight="1" thickBot="1">
      <c r="A45" s="2130"/>
      <c r="B45" s="2130"/>
      <c r="C45" s="2130"/>
      <c r="D45" s="2130"/>
      <c r="E45" s="2130"/>
      <c r="F45" s="2130"/>
      <c r="G45" s="2125"/>
      <c r="H45" s="2125"/>
    </row>
    <row r="46" spans="1:23" ht="14.4">
      <c r="A46" s="2130"/>
      <c r="B46" s="2130"/>
      <c r="C46" s="3834" t="s">
        <v>3763</v>
      </c>
      <c r="D46" s="3835" t="s">
        <v>3836</v>
      </c>
      <c r="E46" s="3833"/>
      <c r="F46" s="3846" t="s">
        <v>3825</v>
      </c>
      <c r="G46" s="3847"/>
      <c r="H46" s="2130"/>
      <c r="I46" s="2234"/>
    </row>
    <row r="47" spans="1:23" ht="13.2" customHeight="1">
      <c r="A47" s="2130"/>
      <c r="B47" s="2130"/>
      <c r="C47" s="3836" t="s">
        <v>3764</v>
      </c>
      <c r="D47" s="3837" t="s">
        <v>3765</v>
      </c>
      <c r="E47" s="3848" t="s">
        <v>3766</v>
      </c>
      <c r="F47" s="3848" t="s">
        <v>3767</v>
      </c>
      <c r="G47" s="3849" t="s">
        <v>3768</v>
      </c>
      <c r="H47" s="2120"/>
      <c r="I47" s="2234"/>
    </row>
    <row r="48" spans="1:23" ht="13.2" customHeight="1">
      <c r="C48" s="3838">
        <v>1</v>
      </c>
      <c r="D48" s="3837" t="s">
        <v>3769</v>
      </c>
      <c r="E48" s="3859">
        <f>E49-E54</f>
        <v>0</v>
      </c>
      <c r="F48" s="3837"/>
      <c r="G48" s="3849"/>
      <c r="H48" s="2120"/>
      <c r="I48" s="2234"/>
    </row>
    <row r="49" spans="1:9" ht="13.2" customHeight="1">
      <c r="C49" s="3838">
        <v>2</v>
      </c>
      <c r="D49" s="3837" t="s">
        <v>3770</v>
      </c>
      <c r="E49" s="3859">
        <f>SUM(E50:E53)</f>
        <v>0</v>
      </c>
      <c r="F49" s="3837"/>
      <c r="G49" s="3849"/>
      <c r="H49" s="2120"/>
      <c r="I49" s="2234"/>
    </row>
    <row r="50" spans="1:9" ht="13.2" customHeight="1">
      <c r="C50" s="3839" t="s">
        <v>3786</v>
      </c>
      <c r="D50" s="3840" t="s">
        <v>3771</v>
      </c>
      <c r="E50" s="3860">
        <f>R14*G50/(1+G50)</f>
        <v>0</v>
      </c>
      <c r="F50" s="3850" t="s">
        <v>3787</v>
      </c>
      <c r="G50" s="3851">
        <v>0.06</v>
      </c>
      <c r="H50" s="2120"/>
      <c r="I50" s="2234"/>
    </row>
    <row r="51" spans="1:9" ht="13.2" customHeight="1">
      <c r="C51" s="3839" t="s">
        <v>3788</v>
      </c>
      <c r="D51" s="3840" t="s">
        <v>3772</v>
      </c>
      <c r="E51" s="3860">
        <f>R19*G51/(1+G51)</f>
        <v>0</v>
      </c>
      <c r="F51" s="3850" t="s">
        <v>3789</v>
      </c>
      <c r="G51" s="3851">
        <v>0.06</v>
      </c>
      <c r="H51" s="2120"/>
      <c r="I51" s="2234"/>
    </row>
    <row r="52" spans="1:9" ht="13.2" customHeight="1">
      <c r="C52" s="3839" t="s">
        <v>3790</v>
      </c>
      <c r="D52" s="3840" t="s">
        <v>3773</v>
      </c>
      <c r="E52" s="3860">
        <f>R24*G52/(1+R24)</f>
        <v>0</v>
      </c>
      <c r="F52" s="3850" t="s">
        <v>3774</v>
      </c>
      <c r="G52" s="3851">
        <v>0.09</v>
      </c>
      <c r="H52" s="2120"/>
      <c r="I52" s="2234"/>
    </row>
    <row r="53" spans="1:9" ht="13.2" customHeight="1">
      <c r="C53" s="3839" t="s">
        <v>3791</v>
      </c>
      <c r="D53" s="3840" t="s">
        <v>3775</v>
      </c>
      <c r="E53" s="3860">
        <f>R27*G53/(1+G53)</f>
        <v>0</v>
      </c>
      <c r="F53" s="3850" t="s">
        <v>3774</v>
      </c>
      <c r="G53" s="3851">
        <v>0.09</v>
      </c>
      <c r="H53" s="2120"/>
      <c r="I53" s="2234"/>
    </row>
    <row r="54" spans="1:9" ht="13.2" customHeight="1">
      <c r="A54" s="2120" t="s">
        <v>3820</v>
      </c>
      <c r="B54" s="2234"/>
      <c r="C54" s="3838">
        <v>3</v>
      </c>
      <c r="D54" s="3837" t="s">
        <v>3776</v>
      </c>
      <c r="E54" s="3859">
        <f>E55+E56+E60</f>
        <v>0</v>
      </c>
      <c r="F54" s="3837"/>
      <c r="G54" s="3849"/>
      <c r="H54" s="2120"/>
      <c r="I54" s="2234"/>
    </row>
    <row r="55" spans="1:9" ht="13.2" customHeight="1">
      <c r="A55" s="3829">
        <v>0.05</v>
      </c>
      <c r="B55" s="3830" t="s">
        <v>3824</v>
      </c>
      <c r="C55" s="3839" t="s">
        <v>3786</v>
      </c>
      <c r="D55" s="3840" t="s">
        <v>3777</v>
      </c>
      <c r="E55" s="3860">
        <f>D9*G55/(1+G55)</f>
        <v>0</v>
      </c>
      <c r="F55" s="3852" t="s">
        <v>3826</v>
      </c>
      <c r="G55" s="3851">
        <v>0.13</v>
      </c>
      <c r="H55" s="2120"/>
      <c r="I55" s="2234"/>
    </row>
    <row r="56" spans="1:9" ht="13.2" customHeight="1">
      <c r="A56" s="3829">
        <f>SUM(A57:A59)</f>
        <v>0.39</v>
      </c>
      <c r="B56" s="3830"/>
      <c r="C56" s="3839" t="s">
        <v>3788</v>
      </c>
      <c r="D56" s="3840" t="s">
        <v>3778</v>
      </c>
      <c r="E56" s="3860">
        <f>SUM(E57:E59)</f>
        <v>0</v>
      </c>
      <c r="F56" s="3850"/>
      <c r="G56" s="3853"/>
      <c r="H56" s="2120" t="s">
        <v>3833</v>
      </c>
      <c r="I56" s="2120" t="s">
        <v>3834</v>
      </c>
    </row>
    <row r="57" spans="1:9" ht="13.2" customHeight="1">
      <c r="A57" s="3829">
        <v>0.25</v>
      </c>
      <c r="B57" s="3830" t="s">
        <v>3821</v>
      </c>
      <c r="C57" s="3841" t="s">
        <v>3779</v>
      </c>
      <c r="D57" s="3842" t="s">
        <v>3780</v>
      </c>
      <c r="E57" s="3861">
        <v>0</v>
      </c>
      <c r="F57" s="3854"/>
      <c r="G57" s="3855" t="s">
        <v>3781</v>
      </c>
      <c r="H57" s="3825">
        <v>0.65</v>
      </c>
      <c r="I57" s="3831">
        <f>A57/SUM(A57:A59)</f>
        <v>0.64102564102564097</v>
      </c>
    </row>
    <row r="58" spans="1:9" ht="13.2"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2"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2" customHeight="1">
      <c r="A60" s="3829">
        <f>SUM(A61:A62)</f>
        <v>0.1</v>
      </c>
      <c r="B60" s="3830"/>
      <c r="C60" s="3839" t="s">
        <v>3790</v>
      </c>
      <c r="D60" s="3840" t="s">
        <v>3795</v>
      </c>
      <c r="E60" s="3860">
        <f>SUM(E61:E62)</f>
        <v>0</v>
      </c>
      <c r="F60" s="3850"/>
      <c r="G60" s="3853"/>
      <c r="I60" s="2234"/>
    </row>
    <row r="61" spans="1:9" ht="13.2" customHeight="1">
      <c r="A61" s="3829">
        <v>0.05</v>
      </c>
      <c r="B61" s="3830" t="s">
        <v>3824</v>
      </c>
      <c r="C61" s="3841" t="s">
        <v>3796</v>
      </c>
      <c r="D61" s="3842" t="s">
        <v>3797</v>
      </c>
      <c r="E61" s="3861">
        <f>D17*H61*G61/(1+G61)</f>
        <v>0</v>
      </c>
      <c r="F61" s="3854" t="s">
        <v>3794</v>
      </c>
      <c r="G61" s="3856">
        <v>0.06</v>
      </c>
      <c r="H61" s="3825">
        <v>0.5</v>
      </c>
      <c r="I61" s="2234"/>
    </row>
    <row r="62" spans="1:9" ht="13.2" customHeight="1" thickBot="1">
      <c r="A62" s="3829">
        <v>0.05</v>
      </c>
      <c r="B62" s="3830" t="s">
        <v>3825</v>
      </c>
      <c r="C62" s="3844" t="s">
        <v>3782</v>
      </c>
      <c r="D62" s="3845" t="s">
        <v>3798</v>
      </c>
      <c r="E62" s="3862">
        <f>D17*H62*G62/(1+G62)</f>
        <v>0</v>
      </c>
      <c r="F62" s="3857" t="s">
        <v>3799</v>
      </c>
      <c r="G62" s="3858">
        <v>0.09</v>
      </c>
      <c r="H62" s="3825">
        <v>0.5</v>
      </c>
      <c r="I62" s="2234"/>
    </row>
    <row r="63" spans="1:9" ht="13.2" customHeight="1">
      <c r="A63" s="3829">
        <f>A55+A56+A60</f>
        <v>0.54</v>
      </c>
      <c r="B63" s="3830"/>
      <c r="C63" s="2234"/>
      <c r="D63" s="3830"/>
      <c r="E63" s="3830"/>
      <c r="F63" s="2234"/>
      <c r="G63" s="2234"/>
      <c r="H63" s="2120"/>
      <c r="I63" s="2120"/>
    </row>
    <row r="64" spans="1:9" ht="13.2" customHeight="1" thickBot="1">
      <c r="C64" s="2234"/>
      <c r="D64" s="2234"/>
      <c r="E64" s="2234"/>
      <c r="F64" s="2234"/>
      <c r="G64" s="2234"/>
      <c r="H64" s="2120"/>
      <c r="I64" s="2234"/>
    </row>
    <row r="65" spans="1:9" ht="14.4">
      <c r="C65" s="3834" t="s">
        <v>3800</v>
      </c>
      <c r="D65" s="3835" t="s">
        <v>3836</v>
      </c>
      <c r="E65" s="3833"/>
      <c r="F65" s="3846" t="s">
        <v>3837</v>
      </c>
      <c r="G65" s="3863"/>
      <c r="H65" s="2120"/>
      <c r="I65" s="2234"/>
    </row>
    <row r="66" spans="1:9">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2" customHeight="1">
      <c r="C68" s="3865">
        <v>2</v>
      </c>
      <c r="D68" s="3837" t="s">
        <v>3807</v>
      </c>
      <c r="E68" s="3864">
        <f>SUM(E69:E70)</f>
        <v>0</v>
      </c>
      <c r="F68" s="3837"/>
      <c r="G68" s="3849"/>
      <c r="H68" s="2120"/>
      <c r="I68" s="2234"/>
    </row>
    <row r="69" spans="1:9" ht="13.2" customHeight="1">
      <c r="C69" s="3839" t="s">
        <v>3808</v>
      </c>
      <c r="D69" s="3840" t="s">
        <v>3809</v>
      </c>
      <c r="E69" s="3840"/>
      <c r="F69" s="3850" t="s">
        <v>3810</v>
      </c>
      <c r="G69" s="3851">
        <v>0.09</v>
      </c>
      <c r="H69" s="2120"/>
      <c r="I69" s="2234"/>
    </row>
    <row r="70" spans="1:9" ht="13.2" customHeight="1">
      <c r="C70" s="3839" t="s">
        <v>3788</v>
      </c>
      <c r="D70" s="3840" t="s">
        <v>3811</v>
      </c>
      <c r="E70" s="3840"/>
      <c r="F70" s="3850" t="s">
        <v>3812</v>
      </c>
      <c r="G70" s="3851">
        <v>0.06</v>
      </c>
      <c r="H70" s="2120"/>
      <c r="I70" s="2234"/>
    </row>
    <row r="71" spans="1:9" ht="13.2" customHeight="1">
      <c r="A71" s="2120" t="s">
        <v>3827</v>
      </c>
      <c r="C71" s="3865">
        <v>3</v>
      </c>
      <c r="D71" s="3837" t="s">
        <v>3813</v>
      </c>
      <c r="E71" s="3864">
        <f>E72+E77</f>
        <v>0</v>
      </c>
      <c r="F71" s="3837"/>
      <c r="G71" s="3849"/>
      <c r="H71" s="2120"/>
      <c r="I71" s="2234"/>
    </row>
    <row r="72" spans="1:9" ht="13.2" customHeight="1">
      <c r="A72" s="3829">
        <v>0.05</v>
      </c>
      <c r="B72" s="3832"/>
      <c r="C72" s="3839" t="s">
        <v>3808</v>
      </c>
      <c r="D72" s="3840" t="s">
        <v>3814</v>
      </c>
      <c r="E72" s="3840">
        <f>D9*G72/(1+G72)</f>
        <v>0</v>
      </c>
      <c r="F72" s="3852" t="s">
        <v>3826</v>
      </c>
      <c r="G72" s="3851">
        <v>0.13</v>
      </c>
      <c r="H72" s="2120"/>
      <c r="I72" s="2234"/>
    </row>
    <row r="73" spans="1:9" ht="13.2" customHeight="1">
      <c r="A73" s="3829">
        <f>SUM(A74:A76)</f>
        <v>0.2</v>
      </c>
      <c r="B73" s="3832"/>
      <c r="C73" s="3839" t="s">
        <v>3788</v>
      </c>
      <c r="D73" s="3840" t="s">
        <v>3815</v>
      </c>
      <c r="E73" s="3840">
        <f>SUM(E74:E76)</f>
        <v>0</v>
      </c>
      <c r="F73" s="3850"/>
      <c r="G73" s="3853"/>
      <c r="H73" s="2120" t="s">
        <v>3833</v>
      </c>
      <c r="I73" s="2120" t="s">
        <v>3834</v>
      </c>
    </row>
    <row r="74" spans="1:9" ht="13.2" customHeight="1">
      <c r="A74" s="3829">
        <v>0.05</v>
      </c>
      <c r="B74" s="3832" t="s">
        <v>3831</v>
      </c>
      <c r="C74" s="3866" t="s">
        <v>3816</v>
      </c>
      <c r="D74" s="3842" t="s">
        <v>3817</v>
      </c>
      <c r="E74" s="3842">
        <v>0</v>
      </c>
      <c r="F74" s="3854"/>
      <c r="G74" s="3855" t="s">
        <v>3818</v>
      </c>
      <c r="H74" s="3825">
        <v>0.25</v>
      </c>
      <c r="I74" s="3831">
        <f>A74/SUM(A74:A76)</f>
        <v>0.25</v>
      </c>
    </row>
    <row r="75" spans="1:9" ht="13.2" customHeight="1">
      <c r="A75" s="3829">
        <v>0.1</v>
      </c>
      <c r="B75" s="3832" t="s">
        <v>3829</v>
      </c>
      <c r="C75" s="3866" t="s">
        <v>3784</v>
      </c>
      <c r="D75" s="3843" t="s">
        <v>3828</v>
      </c>
      <c r="E75" s="3842">
        <f>D10*H75*G75/(1+G75)</f>
        <v>0</v>
      </c>
      <c r="F75" s="3854" t="s">
        <v>3819</v>
      </c>
      <c r="G75" s="3856">
        <v>0.09</v>
      </c>
      <c r="H75" s="3825">
        <v>0.5</v>
      </c>
      <c r="I75" s="3831">
        <f>A75/SUM(A74:A76)</f>
        <v>0.5</v>
      </c>
    </row>
    <row r="76" spans="1:9" ht="13.2" customHeight="1">
      <c r="A76" s="3829">
        <v>0.05</v>
      </c>
      <c r="B76" s="3832" t="s">
        <v>3832</v>
      </c>
      <c r="C76" s="3866" t="s">
        <v>3785</v>
      </c>
      <c r="D76" s="3842" t="s">
        <v>3793</v>
      </c>
      <c r="E76" s="3842">
        <f>D10*H76*G76/(1+G76)</f>
        <v>0</v>
      </c>
      <c r="F76" s="3854" t="s">
        <v>3794</v>
      </c>
      <c r="G76" s="3856">
        <v>0.06</v>
      </c>
      <c r="H76" s="3825">
        <v>0.25</v>
      </c>
      <c r="I76" s="3831">
        <f>1-I74-I75</f>
        <v>0.25</v>
      </c>
    </row>
    <row r="77" spans="1:9" ht="13.2" customHeight="1">
      <c r="A77" s="3829">
        <f>SUM(A78:A79)</f>
        <v>0.1</v>
      </c>
      <c r="B77" s="3832"/>
      <c r="C77" s="3839" t="s">
        <v>3790</v>
      </c>
      <c r="D77" s="3840" t="s">
        <v>3795</v>
      </c>
      <c r="E77" s="3840">
        <f>SUM(E78:E79)</f>
        <v>0</v>
      </c>
      <c r="F77" s="3850"/>
      <c r="G77" s="3853"/>
      <c r="I77" s="2234"/>
    </row>
    <row r="78" spans="1:9" ht="13.2" customHeight="1">
      <c r="A78" s="3829">
        <v>0.05</v>
      </c>
      <c r="B78" s="3832" t="s">
        <v>3822</v>
      </c>
      <c r="C78" s="3866" t="s">
        <v>3816</v>
      </c>
      <c r="D78" s="3842" t="s">
        <v>3797</v>
      </c>
      <c r="E78" s="3842">
        <f>D17*H78*G78/(1+G78)</f>
        <v>0</v>
      </c>
      <c r="F78" s="3854" t="s">
        <v>3794</v>
      </c>
      <c r="G78" s="3856">
        <v>0.06</v>
      </c>
      <c r="H78" s="3825">
        <v>0.5</v>
      </c>
      <c r="I78" s="2234"/>
    </row>
    <row r="79" spans="1:9" ht="13.2" customHeight="1" thickBot="1">
      <c r="A79" s="3829">
        <v>0.05</v>
      </c>
      <c r="B79" s="3832" t="s">
        <v>3830</v>
      </c>
      <c r="C79" s="3867" t="s">
        <v>3784</v>
      </c>
      <c r="D79" s="3845" t="s">
        <v>3798</v>
      </c>
      <c r="E79" s="3845">
        <f>D17*H79*G79/(1+G79)</f>
        <v>0</v>
      </c>
      <c r="F79" s="3857" t="s">
        <v>3799</v>
      </c>
      <c r="G79" s="3858">
        <v>0.09</v>
      </c>
      <c r="H79" s="3825">
        <v>0.5</v>
      </c>
      <c r="I79" s="2234"/>
    </row>
    <row r="80" spans="1:9" ht="13.2" customHeight="1">
      <c r="A80" s="3829">
        <f>A72+A73+A77</f>
        <v>0.35</v>
      </c>
      <c r="B80" s="3832"/>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40" sqref="I4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1" t="s">
        <v>1576</v>
      </c>
      <c r="B1" s="1382"/>
      <c r="C1" s="1382"/>
      <c r="D1" s="1382"/>
      <c r="E1" s="1383"/>
      <c r="F1" s="2013"/>
      <c r="G1" s="1070"/>
      <c r="H1" s="1070"/>
      <c r="I1" s="1070"/>
      <c r="J1" s="1070"/>
      <c r="K1" s="1070"/>
      <c r="L1" s="1070"/>
      <c r="M1" s="1070"/>
      <c r="N1" s="1070"/>
      <c r="O1" s="1070"/>
      <c r="P1" s="1070"/>
      <c r="Q1" s="1070"/>
      <c r="R1" s="1070"/>
      <c r="S1" s="1070"/>
    </row>
    <row r="2" spans="1:22" ht="15.6">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6">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6">
      <c r="A4" s="2017"/>
      <c r="B4" s="2013"/>
      <c r="C4" s="2013"/>
      <c r="D4" s="2013"/>
      <c r="E4" s="2016"/>
      <c r="F4" s="2013"/>
      <c r="G4" s="1070"/>
      <c r="H4" s="1070"/>
      <c r="I4" s="1070"/>
      <c r="J4" s="1070"/>
      <c r="K4" s="1070"/>
      <c r="L4" s="1070"/>
      <c r="M4" s="1070"/>
      <c r="N4" s="1070"/>
      <c r="O4" s="1070"/>
      <c r="P4" s="1070"/>
      <c r="Q4" s="1070"/>
      <c r="R4" s="1070"/>
      <c r="S4" s="1070"/>
    </row>
    <row r="5" spans="1:22" ht="14.4">
      <c r="A5" s="1927" t="s">
        <v>1571</v>
      </c>
      <c r="B5" s="4396" t="s">
        <v>1572</v>
      </c>
      <c r="C5" s="4397"/>
      <c r="D5" s="2014"/>
      <c r="E5" s="1387" t="s">
        <v>1573</v>
      </c>
      <c r="F5" s="51" t="s">
        <v>1574</v>
      </c>
      <c r="G5" s="1070"/>
      <c r="H5" s="1070"/>
      <c r="I5" s="1070"/>
      <c r="J5" s="1070"/>
      <c r="K5" s="1070"/>
      <c r="L5" s="1070"/>
      <c r="M5" s="1070"/>
      <c r="N5" s="1070"/>
      <c r="O5" s="1070"/>
      <c r="P5" s="1070"/>
      <c r="Q5" s="1070"/>
      <c r="R5" s="1070"/>
      <c r="S5" s="1070"/>
    </row>
    <row r="6" spans="1:22" ht="14.4">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ht="14.4">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ht="14.4">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ht="14.4">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ht="14.4">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ht="14.4">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ht="14.4">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1" t="s">
        <v>2002</v>
      </c>
      <c r="D1" s="4402"/>
      <c r="E1" s="4402"/>
      <c r="F1" s="4402"/>
      <c r="G1" s="4402"/>
      <c r="H1" s="4402"/>
      <c r="I1" s="4402"/>
      <c r="J1" s="4402"/>
      <c r="K1" s="4402"/>
      <c r="L1" s="4402"/>
      <c r="M1" s="4402"/>
      <c r="N1" s="4402"/>
      <c r="O1" s="4402"/>
      <c r="P1" s="4402"/>
      <c r="Q1" s="4402"/>
      <c r="R1" s="4402"/>
      <c r="S1" s="4403"/>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8"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2"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6">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8" t="s">
        <v>25</v>
      </c>
      <c r="D22" s="4399"/>
      <c r="E22" s="4399"/>
      <c r="F22" s="4399"/>
      <c r="G22" s="4399"/>
      <c r="H22" s="4399"/>
      <c r="I22" s="4399"/>
      <c r="J22" s="4399"/>
      <c r="K22" s="4399"/>
      <c r="L22" s="4399"/>
      <c r="M22" s="4399"/>
      <c r="N22" s="4399"/>
      <c r="O22" s="4399"/>
      <c r="P22" s="4399"/>
      <c r="Q22" s="4400"/>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4.4">
      <c r="A4" s="236" t="s">
        <v>1687</v>
      </c>
      <c r="B4" s="237"/>
      <c r="C4" s="4423" t="s">
        <v>1688</v>
      </c>
      <c r="D4" s="4424"/>
      <c r="E4" s="4425" t="s">
        <v>1689</v>
      </c>
      <c r="F4" s="4426"/>
      <c r="G4" s="4423" t="s">
        <v>1690</v>
      </c>
      <c r="H4" s="4424"/>
      <c r="I4" s="4423" t="s">
        <v>1691</v>
      </c>
      <c r="J4" s="4424"/>
      <c r="K4" s="3008" t="s">
        <v>1692</v>
      </c>
      <c r="L4" s="2020"/>
      <c r="M4" s="2021"/>
      <c r="N4" s="2021"/>
      <c r="O4" s="2021"/>
      <c r="P4" s="4427" t="s">
        <v>1693</v>
      </c>
      <c r="Q4" s="4428"/>
      <c r="R4" s="4433" t="s">
        <v>1689</v>
      </c>
      <c r="S4" s="4434"/>
      <c r="T4" s="4433" t="s">
        <v>1690</v>
      </c>
      <c r="U4" s="4434"/>
      <c r="V4" s="4439" t="s">
        <v>1691</v>
      </c>
      <c r="W4" s="4439"/>
      <c r="X4" s="947"/>
      <c r="Y4" s="4448" t="s">
        <v>1693</v>
      </c>
      <c r="Z4" s="4449"/>
      <c r="AA4" s="4420" t="s">
        <v>1689</v>
      </c>
      <c r="AB4" s="4457" t="s">
        <v>1690</v>
      </c>
      <c r="AC4" s="4420" t="s">
        <v>1691</v>
      </c>
    </row>
    <row r="5" spans="1:29">
      <c r="A5" s="239"/>
      <c r="B5" s="240"/>
      <c r="C5" s="4442" t="s">
        <v>1591</v>
      </c>
      <c r="D5" s="4443"/>
      <c r="E5" s="4458" t="s">
        <v>1592</v>
      </c>
      <c r="F5" s="4459"/>
      <c r="G5" s="4442" t="s">
        <v>1593</v>
      </c>
      <c r="H5" s="4443"/>
      <c r="I5" s="4442" t="s">
        <v>1594</v>
      </c>
      <c r="J5" s="4443"/>
      <c r="K5" s="3008"/>
      <c r="L5" s="2020"/>
      <c r="M5" s="2021"/>
      <c r="N5" s="2021"/>
      <c r="O5" s="2021"/>
      <c r="P5" s="4429"/>
      <c r="Q5" s="4430"/>
      <c r="R5" s="4435"/>
      <c r="S5" s="4436"/>
      <c r="T5" s="4435"/>
      <c r="U5" s="4436"/>
      <c r="V5" s="4439"/>
      <c r="W5" s="4439"/>
      <c r="X5" s="947"/>
      <c r="Y5" s="4450"/>
      <c r="Z5" s="4451"/>
      <c r="AA5" s="4421"/>
      <c r="AB5" s="4457"/>
      <c r="AC5" s="4421"/>
    </row>
    <row r="6" spans="1:29" ht="15" thickBot="1">
      <c r="A6" s="241"/>
      <c r="B6" s="242"/>
      <c r="C6" s="4440" t="s">
        <v>1595</v>
      </c>
      <c r="D6" s="4441"/>
      <c r="E6" s="4455" t="s">
        <v>1595</v>
      </c>
      <c r="F6" s="4456"/>
      <c r="G6" s="4440" t="s">
        <v>1595</v>
      </c>
      <c r="H6" s="4441"/>
      <c r="I6" s="4440" t="s">
        <v>1595</v>
      </c>
      <c r="J6" s="4441"/>
      <c r="K6" s="3008" t="s">
        <v>1596</v>
      </c>
      <c r="L6" s="2020"/>
      <c r="M6" s="2021"/>
      <c r="N6" s="2021"/>
      <c r="O6" s="2021"/>
      <c r="P6" s="4431"/>
      <c r="Q6" s="4432"/>
      <c r="R6" s="4435"/>
      <c r="S6" s="4436"/>
      <c r="T6" s="4437"/>
      <c r="U6" s="4438"/>
      <c r="V6" s="4439"/>
      <c r="W6" s="4439"/>
      <c r="X6" s="947"/>
      <c r="Y6" s="4452"/>
      <c r="Z6" s="4453"/>
      <c r="AA6" s="4422"/>
      <c r="AB6" s="4457"/>
      <c r="AC6" s="4422"/>
    </row>
    <row r="7" spans="1:29" s="46" customFormat="1" ht="1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44" t="s">
        <v>1598</v>
      </c>
      <c r="Q7" s="4454"/>
      <c r="R7" s="3887" t="s">
        <v>13</v>
      </c>
      <c r="S7" s="3344">
        <f t="shared" ref="S7:S15" si="0">F7</f>
        <v>0</v>
      </c>
      <c r="T7" s="3887" t="s">
        <v>13</v>
      </c>
      <c r="U7" s="3344">
        <f t="shared" ref="U7:U15" si="1">H7</f>
        <v>0</v>
      </c>
      <c r="V7" s="3887" t="s">
        <v>13</v>
      </c>
      <c r="W7" s="3344">
        <f t="shared" ref="W7:W15" si="2">J7</f>
        <v>0</v>
      </c>
      <c r="X7" s="493"/>
      <c r="Y7" s="4446" t="s">
        <v>1598</v>
      </c>
      <c r="Z7" s="4447"/>
      <c r="AA7" s="28" t="e">
        <f>D7/F7</f>
        <v>#DIV/0!</v>
      </c>
      <c r="AB7" s="28" t="e">
        <f>D7/H7</f>
        <v>#DIV/0!</v>
      </c>
      <c r="AC7" s="28" t="e">
        <f>D7/J7</f>
        <v>#DIV/0!</v>
      </c>
    </row>
    <row r="8" spans="1:29" s="46" customFormat="1" ht="1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44" t="s">
        <v>1601</v>
      </c>
      <c r="Q8" s="4445"/>
      <c r="R8" s="3887" t="s">
        <v>13</v>
      </c>
      <c r="S8" s="3344">
        <f t="shared" si="0"/>
        <v>100</v>
      </c>
      <c r="T8" s="3887" t="s">
        <v>13</v>
      </c>
      <c r="U8" s="3344">
        <f t="shared" si="1"/>
        <v>100</v>
      </c>
      <c r="V8" s="3887" t="s">
        <v>13</v>
      </c>
      <c r="W8" s="3344">
        <f t="shared" si="2"/>
        <v>100</v>
      </c>
      <c r="X8" s="493"/>
      <c r="Y8" s="4446" t="s">
        <v>1601</v>
      </c>
      <c r="Z8" s="4447"/>
      <c r="AA8" s="28">
        <f t="shared" ref="AA8:AA46" si="3">D8/F8</f>
        <v>1</v>
      </c>
      <c r="AB8" s="28">
        <f t="shared" ref="AB8:AB46" si="4">D8/H8</f>
        <v>1</v>
      </c>
      <c r="AC8" s="28">
        <f t="shared" ref="AC8:AC46" si="5">D8/J8</f>
        <v>1</v>
      </c>
    </row>
    <row r="9" spans="1:29" s="46" customFormat="1" ht="14.4">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18"/>
      <c r="Q11" s="1745" t="str">
        <f t="shared" si="6"/>
        <v>容积率</v>
      </c>
      <c r="R11" s="3887" t="s">
        <v>13</v>
      </c>
      <c r="S11" s="3344" t="e">
        <f t="shared" si="0"/>
        <v>#N/A</v>
      </c>
      <c r="T11" s="3887" t="s">
        <v>13</v>
      </c>
      <c r="U11" s="3344" t="e">
        <f t="shared" si="1"/>
        <v>#N/A</v>
      </c>
      <c r="V11" s="3887" t="s">
        <v>13</v>
      </c>
      <c r="W11" s="3344" t="e">
        <f t="shared" si="2"/>
        <v>#N/A</v>
      </c>
      <c r="X11" s="493"/>
      <c r="Y11" s="4419"/>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18"/>
      <c r="Q12" s="1745">
        <f t="shared" si="6"/>
        <v>111</v>
      </c>
      <c r="R12" s="3887" t="s">
        <v>13</v>
      </c>
      <c r="S12" s="3344">
        <f t="shared" si="0"/>
        <v>100</v>
      </c>
      <c r="T12" s="3887" t="s">
        <v>13</v>
      </c>
      <c r="U12" s="3344">
        <f t="shared" si="1"/>
        <v>100</v>
      </c>
      <c r="V12" s="3887" t="s">
        <v>13</v>
      </c>
      <c r="W12" s="3344">
        <f t="shared" si="2"/>
        <v>100</v>
      </c>
      <c r="X12" s="493"/>
      <c r="Y12" s="4419"/>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18"/>
      <c r="Q13" s="1745">
        <f t="shared" si="6"/>
        <v>111</v>
      </c>
      <c r="R13" s="3887" t="s">
        <v>13</v>
      </c>
      <c r="S13" s="3344">
        <f t="shared" si="0"/>
        <v>100</v>
      </c>
      <c r="T13" s="3887" t="s">
        <v>13</v>
      </c>
      <c r="U13" s="3344">
        <f t="shared" si="1"/>
        <v>100</v>
      </c>
      <c r="V13" s="3887" t="s">
        <v>13</v>
      </c>
      <c r="W13" s="3344">
        <f t="shared" si="2"/>
        <v>100</v>
      </c>
      <c r="X13" s="493"/>
      <c r="Y13" s="4419"/>
      <c r="Z13" s="28">
        <f t="shared" si="7"/>
        <v>111</v>
      </c>
      <c r="AA13" s="28">
        <f t="shared" si="3"/>
        <v>1</v>
      </c>
      <c r="AB13" s="28">
        <f t="shared" si="4"/>
        <v>1</v>
      </c>
      <c r="AC13" s="28">
        <f t="shared" si="5"/>
        <v>1</v>
      </c>
    </row>
    <row r="14" spans="1:29" ht="15.6"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18"/>
      <c r="Q14" s="1745">
        <f t="shared" si="6"/>
        <v>111</v>
      </c>
      <c r="R14" s="3887" t="s">
        <v>13</v>
      </c>
      <c r="S14" s="3344">
        <f t="shared" si="0"/>
        <v>100</v>
      </c>
      <c r="T14" s="3887" t="s">
        <v>13</v>
      </c>
      <c r="U14" s="3344">
        <f t="shared" si="1"/>
        <v>100</v>
      </c>
      <c r="V14" s="3887" t="s">
        <v>13</v>
      </c>
      <c r="W14" s="3344">
        <f t="shared" si="2"/>
        <v>100</v>
      </c>
      <c r="X14" s="493"/>
      <c r="Y14" s="4419"/>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09" t="s">
        <v>1609</v>
      </c>
      <c r="Q15" s="1545" t="str">
        <f t="shared" si="6"/>
        <v>商业繁华度</v>
      </c>
      <c r="R15" s="3993" t="s">
        <v>13</v>
      </c>
      <c r="S15" s="3345">
        <f t="shared" si="0"/>
        <v>100</v>
      </c>
      <c r="T15" s="3993" t="s">
        <v>13</v>
      </c>
      <c r="U15" s="3345">
        <f t="shared" si="1"/>
        <v>100</v>
      </c>
      <c r="V15" s="3993" t="s">
        <v>13</v>
      </c>
      <c r="W15" s="3345">
        <f t="shared" si="2"/>
        <v>100</v>
      </c>
      <c r="X15" s="947"/>
      <c r="Y15" s="4411"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10"/>
      <c r="Q16" s="1545"/>
      <c r="R16" s="3993"/>
      <c r="S16" s="3345"/>
      <c r="T16" s="3993"/>
      <c r="U16" s="3345"/>
      <c r="V16" s="3993"/>
      <c r="W16" s="3345"/>
      <c r="X16" s="947"/>
      <c r="Y16" s="4412"/>
      <c r="Z16" s="945"/>
      <c r="AA16" s="945">
        <v>1</v>
      </c>
      <c r="AB16" s="945">
        <v>1</v>
      </c>
      <c r="AC16" s="945">
        <v>1</v>
      </c>
    </row>
    <row r="17" spans="1:29" ht="124.2">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10"/>
      <c r="Q17" s="1545" t="str">
        <f>B17</f>
        <v>交通便捷度</v>
      </c>
      <c r="R17" s="3993" t="s">
        <v>13</v>
      </c>
      <c r="S17" s="3345">
        <f>F17</f>
        <v>100</v>
      </c>
      <c r="T17" s="3993" t="s">
        <v>13</v>
      </c>
      <c r="U17" s="3345">
        <f>H17</f>
        <v>100</v>
      </c>
      <c r="V17" s="3993" t="s">
        <v>13</v>
      </c>
      <c r="W17" s="3345">
        <f>J17</f>
        <v>100</v>
      </c>
      <c r="X17" s="947"/>
      <c r="Y17" s="4412"/>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10"/>
      <c r="Q18" s="1545"/>
      <c r="R18" s="3993"/>
      <c r="S18" s="3345"/>
      <c r="T18" s="3993"/>
      <c r="U18" s="3345"/>
      <c r="V18" s="3993"/>
      <c r="W18" s="3345"/>
      <c r="X18" s="947"/>
      <c r="Y18" s="4412"/>
      <c r="Z18" s="945"/>
      <c r="AA18" s="945">
        <v>1</v>
      </c>
      <c r="AB18" s="945">
        <v>1</v>
      </c>
      <c r="AC18" s="945">
        <v>1</v>
      </c>
    </row>
    <row r="19" spans="1:29" ht="82.8">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10"/>
      <c r="Q19" s="1545" t="str">
        <f>B19</f>
        <v>公共配套设施</v>
      </c>
      <c r="R19" s="3993" t="s">
        <v>13</v>
      </c>
      <c r="S19" s="3345">
        <f>F19</f>
        <v>100</v>
      </c>
      <c r="T19" s="3993" t="s">
        <v>13</v>
      </c>
      <c r="U19" s="3345">
        <f>H19</f>
        <v>100</v>
      </c>
      <c r="V19" s="3993" t="s">
        <v>13</v>
      </c>
      <c r="W19" s="3345">
        <f>J19</f>
        <v>100</v>
      </c>
      <c r="X19" s="947"/>
      <c r="Y19" s="4412"/>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10"/>
      <c r="Q20" s="1545"/>
      <c r="R20" s="3993"/>
      <c r="S20" s="3345"/>
      <c r="T20" s="3993"/>
      <c r="U20" s="3345"/>
      <c r="V20" s="3993"/>
      <c r="W20" s="3345"/>
      <c r="X20" s="947"/>
      <c r="Y20" s="4412"/>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10"/>
      <c r="Q22" s="1545"/>
      <c r="R22" s="3993"/>
      <c r="S22" s="3345"/>
      <c r="T22" s="3993"/>
      <c r="U22" s="3345"/>
      <c r="V22" s="3993"/>
      <c r="W22" s="3345"/>
      <c r="X22" s="947"/>
      <c r="Y22" s="4412"/>
      <c r="Z22" s="945"/>
      <c r="AA22" s="945">
        <v>1</v>
      </c>
      <c r="AB22" s="945">
        <v>1</v>
      </c>
      <c r="AC22" s="945">
        <v>1</v>
      </c>
    </row>
    <row r="23" spans="1:29" ht="96.6">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10"/>
      <c r="Q23" s="1545" t="str">
        <f>B23</f>
        <v>自然及人文环境</v>
      </c>
      <c r="R23" s="3993" t="s">
        <v>13</v>
      </c>
      <c r="S23" s="3345">
        <f>F23</f>
        <v>100</v>
      </c>
      <c r="T23" s="3993" t="s">
        <v>13</v>
      </c>
      <c r="U23" s="3345">
        <f>H23</f>
        <v>100</v>
      </c>
      <c r="V23" s="3993" t="s">
        <v>13</v>
      </c>
      <c r="W23" s="3345">
        <f>J23</f>
        <v>100</v>
      </c>
      <c r="X23" s="947"/>
      <c r="Y23" s="4412"/>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10"/>
      <c r="Q24" s="1545"/>
      <c r="R24" s="3993"/>
      <c r="S24" s="3345"/>
      <c r="T24" s="3993"/>
      <c r="U24" s="3345"/>
      <c r="V24" s="3993"/>
      <c r="W24" s="3345"/>
      <c r="X24" s="947"/>
      <c r="Y24" s="4412"/>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10"/>
      <c r="Q25" s="1545" t="str">
        <f t="shared" ref="Q25:Q46" si="11">B25</f>
        <v>临街状况</v>
      </c>
      <c r="R25" s="3993" t="s">
        <v>13</v>
      </c>
      <c r="S25" s="3345">
        <f>F25</f>
        <v>100</v>
      </c>
      <c r="T25" s="3993" t="s">
        <v>13</v>
      </c>
      <c r="U25" s="3345">
        <f>H25</f>
        <v>100</v>
      </c>
      <c r="V25" s="3993" t="s">
        <v>13</v>
      </c>
      <c r="W25" s="3345">
        <f>J25</f>
        <v>100</v>
      </c>
      <c r="X25" s="947"/>
      <c r="Y25" s="4412"/>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10"/>
      <c r="Q26" s="1545" t="str">
        <f t="shared" si="11"/>
        <v>平面位置/可视性</v>
      </c>
      <c r="R26" s="3993" t="s">
        <v>13</v>
      </c>
      <c r="S26" s="3345">
        <f>F26</f>
        <v>100</v>
      </c>
      <c r="T26" s="3993" t="s">
        <v>13</v>
      </c>
      <c r="U26" s="3345">
        <f>H26</f>
        <v>100</v>
      </c>
      <c r="V26" s="3993" t="s">
        <v>13</v>
      </c>
      <c r="W26" s="3345">
        <f>J26</f>
        <v>100</v>
      </c>
      <c r="X26" s="947"/>
      <c r="Y26" s="4412"/>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10"/>
      <c r="Q27" s="1745" t="str">
        <f t="shared" si="11"/>
        <v>人流量</v>
      </c>
      <c r="R27" s="3887" t="s">
        <v>13</v>
      </c>
      <c r="S27" s="3344">
        <f>F27</f>
        <v>100</v>
      </c>
      <c r="T27" s="3887" t="s">
        <v>13</v>
      </c>
      <c r="U27" s="3344">
        <f>H27</f>
        <v>100</v>
      </c>
      <c r="V27" s="3887" t="s">
        <v>13</v>
      </c>
      <c r="W27" s="3344">
        <f>J27</f>
        <v>100</v>
      </c>
      <c r="X27" s="493"/>
      <c r="Y27" s="4412"/>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10"/>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12"/>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10"/>
      <c r="Q29" s="1545">
        <f t="shared" si="11"/>
        <v>111</v>
      </c>
      <c r="R29" s="3993" t="s">
        <v>13</v>
      </c>
      <c r="S29" s="3345">
        <f t="shared" si="12"/>
        <v>100</v>
      </c>
      <c r="T29" s="3993" t="s">
        <v>13</v>
      </c>
      <c r="U29" s="3345">
        <f t="shared" si="13"/>
        <v>100</v>
      </c>
      <c r="V29" s="3993" t="s">
        <v>13</v>
      </c>
      <c r="W29" s="3345">
        <f t="shared" si="14"/>
        <v>100</v>
      </c>
      <c r="X29" s="947"/>
      <c r="Y29" s="4412"/>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10"/>
      <c r="Q30" s="1545">
        <f t="shared" si="11"/>
        <v>111</v>
      </c>
      <c r="R30" s="3993" t="s">
        <v>13</v>
      </c>
      <c r="S30" s="3345">
        <f t="shared" si="12"/>
        <v>100</v>
      </c>
      <c r="T30" s="3993" t="s">
        <v>13</v>
      </c>
      <c r="U30" s="3345">
        <f t="shared" si="13"/>
        <v>100</v>
      </c>
      <c r="V30" s="3993" t="s">
        <v>13</v>
      </c>
      <c r="W30" s="3345">
        <f t="shared" si="14"/>
        <v>100</v>
      </c>
      <c r="X30" s="947"/>
      <c r="Y30" s="4412"/>
      <c r="Z30" s="945">
        <f t="shared" si="15"/>
        <v>111</v>
      </c>
      <c r="AA30" s="945">
        <f t="shared" si="3"/>
        <v>1</v>
      </c>
      <c r="AB30" s="945">
        <f t="shared" si="4"/>
        <v>1</v>
      </c>
      <c r="AC30" s="945">
        <f t="shared" si="5"/>
        <v>1</v>
      </c>
    </row>
    <row r="31" spans="1:29" ht="15.6"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10"/>
      <c r="Q31" s="1545">
        <f t="shared" si="11"/>
        <v>111</v>
      </c>
      <c r="R31" s="3993" t="s">
        <v>13</v>
      </c>
      <c r="S31" s="3345">
        <f t="shared" si="12"/>
        <v>100</v>
      </c>
      <c r="T31" s="3993" t="s">
        <v>13</v>
      </c>
      <c r="U31" s="3345">
        <f t="shared" si="13"/>
        <v>100</v>
      </c>
      <c r="V31" s="3993" t="s">
        <v>13</v>
      </c>
      <c r="W31" s="3345">
        <f t="shared" si="14"/>
        <v>100</v>
      </c>
      <c r="X31" s="947"/>
      <c r="Y31" s="4412"/>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13" t="s">
        <v>1614</v>
      </c>
      <c r="Q32" s="1545" t="str">
        <f t="shared" si="11"/>
        <v>商业类型</v>
      </c>
      <c r="R32" s="3993" t="s">
        <v>13</v>
      </c>
      <c r="S32" s="3345">
        <f t="shared" si="12"/>
        <v>100</v>
      </c>
      <c r="T32" s="3993" t="s">
        <v>13</v>
      </c>
      <c r="U32" s="3345">
        <f t="shared" si="13"/>
        <v>100</v>
      </c>
      <c r="V32" s="3993" t="s">
        <v>13</v>
      </c>
      <c r="W32" s="3345">
        <f t="shared" si="14"/>
        <v>100</v>
      </c>
      <c r="X32" s="947"/>
      <c r="Y32" s="4416"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14"/>
      <c r="Q33" s="392" t="str">
        <f t="shared" si="11"/>
        <v>项目建筑规模</v>
      </c>
      <c r="R33" s="3994" t="s">
        <v>13</v>
      </c>
      <c r="S33" s="3346" t="e">
        <f t="shared" si="12"/>
        <v>#N/A</v>
      </c>
      <c r="T33" s="3994" t="s">
        <v>13</v>
      </c>
      <c r="U33" s="3346" t="e">
        <f t="shared" si="13"/>
        <v>#N/A</v>
      </c>
      <c r="V33" s="3994" t="s">
        <v>13</v>
      </c>
      <c r="W33" s="3346" t="e">
        <f t="shared" si="14"/>
        <v>#N/A</v>
      </c>
      <c r="X33" s="494"/>
      <c r="Y33" s="4416"/>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14"/>
      <c r="Q34" s="1545" t="str">
        <f t="shared" si="11"/>
        <v>建筑结构</v>
      </c>
      <c r="R34" s="3993" t="s">
        <v>13</v>
      </c>
      <c r="S34" s="3345">
        <f t="shared" si="12"/>
        <v>100</v>
      </c>
      <c r="T34" s="3993" t="s">
        <v>13</v>
      </c>
      <c r="U34" s="3345">
        <f t="shared" si="13"/>
        <v>100</v>
      </c>
      <c r="V34" s="3993" t="s">
        <v>13</v>
      </c>
      <c r="W34" s="3345">
        <f t="shared" si="14"/>
        <v>100</v>
      </c>
      <c r="X34" s="947"/>
      <c r="Y34" s="4416"/>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14"/>
      <c r="Q35" s="1545" t="str">
        <f t="shared" si="11"/>
        <v>公共部分装修</v>
      </c>
      <c r="R35" s="3993" t="s">
        <v>13</v>
      </c>
      <c r="S35" s="3345">
        <f t="shared" si="12"/>
        <v>100</v>
      </c>
      <c r="T35" s="3993" t="s">
        <v>13</v>
      </c>
      <c r="U35" s="3345">
        <f t="shared" si="13"/>
        <v>100</v>
      </c>
      <c r="V35" s="3993" t="s">
        <v>13</v>
      </c>
      <c r="W35" s="3345">
        <f t="shared" si="14"/>
        <v>100</v>
      </c>
      <c r="X35" s="947"/>
      <c r="Y35" s="4416"/>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14"/>
      <c r="Q36" s="1545" t="str">
        <f t="shared" si="11"/>
        <v>成新度</v>
      </c>
      <c r="R36" s="3993" t="s">
        <v>13</v>
      </c>
      <c r="S36" s="3345" t="e">
        <f t="shared" si="12"/>
        <v>#N/A</v>
      </c>
      <c r="T36" s="3993" t="s">
        <v>13</v>
      </c>
      <c r="U36" s="3345" t="e">
        <f t="shared" si="13"/>
        <v>#N/A</v>
      </c>
      <c r="V36" s="3993" t="s">
        <v>13</v>
      </c>
      <c r="W36" s="3345" t="e">
        <f t="shared" si="14"/>
        <v>#N/A</v>
      </c>
      <c r="X36" s="947"/>
      <c r="Y36" s="4416"/>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14"/>
      <c r="Q37" s="1745" t="str">
        <f t="shared" si="11"/>
        <v>市政基础设施</v>
      </c>
      <c r="R37" s="3887" t="s">
        <v>13</v>
      </c>
      <c r="S37" s="3344">
        <f t="shared" si="12"/>
        <v>100</v>
      </c>
      <c r="T37" s="3887" t="s">
        <v>13</v>
      </c>
      <c r="U37" s="3344">
        <f t="shared" si="13"/>
        <v>100</v>
      </c>
      <c r="V37" s="3887" t="s">
        <v>13</v>
      </c>
      <c r="W37" s="3344">
        <f t="shared" si="14"/>
        <v>100</v>
      </c>
      <c r="X37" s="493"/>
      <c r="Y37" s="4416"/>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14" t="s">
        <v>1614</v>
      </c>
      <c r="Q38" s="1545" t="str">
        <f t="shared" si="11"/>
        <v>业态</v>
      </c>
      <c r="R38" s="3993" t="s">
        <v>13</v>
      </c>
      <c r="S38" s="3345">
        <f t="shared" si="12"/>
        <v>100</v>
      </c>
      <c r="T38" s="3993" t="s">
        <v>13</v>
      </c>
      <c r="U38" s="3345">
        <f t="shared" si="13"/>
        <v>100</v>
      </c>
      <c r="V38" s="3993" t="s">
        <v>13</v>
      </c>
      <c r="W38" s="3345">
        <f t="shared" si="14"/>
        <v>100</v>
      </c>
      <c r="X38" s="947"/>
      <c r="Y38" s="4416"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14"/>
      <c r="Q39" s="1545" t="str">
        <f t="shared" si="11"/>
        <v>层高</v>
      </c>
      <c r="R39" s="3993" t="s">
        <v>13</v>
      </c>
      <c r="S39" s="3345">
        <f t="shared" si="12"/>
        <v>100</v>
      </c>
      <c r="T39" s="3993" t="s">
        <v>13</v>
      </c>
      <c r="U39" s="3345">
        <f t="shared" si="13"/>
        <v>100</v>
      </c>
      <c r="V39" s="3993" t="s">
        <v>13</v>
      </c>
      <c r="W39" s="3345">
        <f t="shared" si="14"/>
        <v>100</v>
      </c>
      <c r="X39" s="947"/>
      <c r="Y39" s="4416"/>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14"/>
      <c r="Q40" s="1545" t="str">
        <f t="shared" si="11"/>
        <v>单套建筑面积</v>
      </c>
      <c r="R40" s="3993" t="s">
        <v>13</v>
      </c>
      <c r="S40" s="3345">
        <f t="shared" si="12"/>
        <v>100</v>
      </c>
      <c r="T40" s="3993" t="s">
        <v>13</v>
      </c>
      <c r="U40" s="3345">
        <f t="shared" si="13"/>
        <v>100</v>
      </c>
      <c r="V40" s="3993" t="s">
        <v>13</v>
      </c>
      <c r="W40" s="3345">
        <f t="shared" si="14"/>
        <v>100</v>
      </c>
      <c r="X40" s="947"/>
      <c r="Y40" s="4416"/>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14"/>
      <c r="Q41" s="392" t="str">
        <f t="shared" si="11"/>
        <v>进深比</v>
      </c>
      <c r="R41" s="3994" t="s">
        <v>13</v>
      </c>
      <c r="S41" s="3346">
        <f t="shared" si="12"/>
        <v>100</v>
      </c>
      <c r="T41" s="3994" t="s">
        <v>13</v>
      </c>
      <c r="U41" s="3346">
        <f t="shared" si="13"/>
        <v>100</v>
      </c>
      <c r="V41" s="3994" t="s">
        <v>13</v>
      </c>
      <c r="W41" s="3346">
        <f t="shared" si="14"/>
        <v>100</v>
      </c>
      <c r="X41" s="494"/>
      <c r="Y41" s="4416"/>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14"/>
      <c r="Q42" s="1545" t="str">
        <f t="shared" si="11"/>
        <v>内部装修</v>
      </c>
      <c r="R42" s="3993" t="s">
        <v>13</v>
      </c>
      <c r="S42" s="3345">
        <f t="shared" si="12"/>
        <v>100</v>
      </c>
      <c r="T42" s="3993" t="s">
        <v>13</v>
      </c>
      <c r="U42" s="3345">
        <f t="shared" si="13"/>
        <v>100</v>
      </c>
      <c r="V42" s="3993" t="s">
        <v>13</v>
      </c>
      <c r="W42" s="3345">
        <f t="shared" si="14"/>
        <v>100</v>
      </c>
      <c r="X42" s="947"/>
      <c r="Y42" s="4416"/>
      <c r="Z42" s="945" t="str">
        <f t="shared" si="15"/>
        <v>内部装修</v>
      </c>
      <c r="AA42" s="945">
        <f t="shared" si="3"/>
        <v>1</v>
      </c>
      <c r="AB42" s="945">
        <f t="shared" si="4"/>
        <v>1</v>
      </c>
      <c r="AC42" s="945">
        <f t="shared" si="5"/>
        <v>1</v>
      </c>
    </row>
    <row r="43" spans="1:29" ht="28.8">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14"/>
      <c r="Q43" s="1545" t="str">
        <f t="shared" si="11"/>
        <v>内部装修维护情况</v>
      </c>
      <c r="R43" s="3993" t="s">
        <v>13</v>
      </c>
      <c r="S43" s="3345">
        <f t="shared" si="12"/>
        <v>100</v>
      </c>
      <c r="T43" s="3993" t="s">
        <v>13</v>
      </c>
      <c r="U43" s="3345">
        <f t="shared" si="13"/>
        <v>100</v>
      </c>
      <c r="V43" s="3993" t="s">
        <v>13</v>
      </c>
      <c r="W43" s="3345">
        <f t="shared" si="14"/>
        <v>100</v>
      </c>
      <c r="X43" s="947"/>
      <c r="Y43" s="4416"/>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14"/>
      <c r="Q44" s="1745">
        <f t="shared" si="11"/>
        <v>111</v>
      </c>
      <c r="R44" s="3887" t="s">
        <v>13</v>
      </c>
      <c r="S44" s="3344">
        <f t="shared" si="12"/>
        <v>100</v>
      </c>
      <c r="T44" s="3887" t="s">
        <v>13</v>
      </c>
      <c r="U44" s="3344">
        <f t="shared" si="13"/>
        <v>100</v>
      </c>
      <c r="V44" s="3887" t="s">
        <v>13</v>
      </c>
      <c r="W44" s="3344">
        <f t="shared" si="14"/>
        <v>100</v>
      </c>
      <c r="X44" s="493"/>
      <c r="Y44" s="4416"/>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14"/>
      <c r="Q45" s="1545">
        <f t="shared" si="11"/>
        <v>111</v>
      </c>
      <c r="R45" s="3993" t="s">
        <v>13</v>
      </c>
      <c r="S45" s="3345">
        <f t="shared" si="12"/>
        <v>100</v>
      </c>
      <c r="T45" s="3993" t="s">
        <v>13</v>
      </c>
      <c r="U45" s="3345">
        <f t="shared" si="13"/>
        <v>100</v>
      </c>
      <c r="V45" s="3993" t="s">
        <v>13</v>
      </c>
      <c r="W45" s="3345">
        <f t="shared" si="14"/>
        <v>100</v>
      </c>
      <c r="X45" s="947"/>
      <c r="Y45" s="4416"/>
      <c r="Z45" s="945">
        <f t="shared" si="15"/>
        <v>111</v>
      </c>
      <c r="AA45" s="945">
        <f t="shared" si="3"/>
        <v>1</v>
      </c>
      <c r="AB45" s="945">
        <f t="shared" si="4"/>
        <v>1</v>
      </c>
      <c r="AC45" s="945">
        <f t="shared" si="5"/>
        <v>1</v>
      </c>
    </row>
    <row r="46" spans="1:29" ht="15.6"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15"/>
      <c r="Q46" s="1545">
        <f t="shared" si="11"/>
        <v>111</v>
      </c>
      <c r="R46" s="3993" t="s">
        <v>13</v>
      </c>
      <c r="S46" s="3345">
        <f t="shared" si="12"/>
        <v>100</v>
      </c>
      <c r="T46" s="3993" t="s">
        <v>13</v>
      </c>
      <c r="U46" s="3345">
        <f t="shared" si="13"/>
        <v>100</v>
      </c>
      <c r="V46" s="3993" t="s">
        <v>13</v>
      </c>
      <c r="W46" s="3345">
        <f t="shared" si="14"/>
        <v>100</v>
      </c>
      <c r="X46" s="947"/>
      <c r="Y46" s="4417"/>
      <c r="Z46" s="945">
        <f t="shared" si="15"/>
        <v>111</v>
      </c>
      <c r="AA46" s="945">
        <f t="shared" si="3"/>
        <v>1</v>
      </c>
      <c r="AB46" s="945">
        <f t="shared" si="4"/>
        <v>1</v>
      </c>
      <c r="AC46" s="945">
        <f t="shared" si="5"/>
        <v>1</v>
      </c>
    </row>
    <row r="47" spans="1:29" ht="14.4">
      <c r="A47" s="287" t="s">
        <v>1626</v>
      </c>
      <c r="B47" s="288"/>
      <c r="C47" s="799" t="s">
        <v>0</v>
      </c>
      <c r="D47" s="289"/>
      <c r="E47" s="3416"/>
      <c r="F47" s="3341"/>
      <c r="G47" s="3417"/>
      <c r="H47" s="3342"/>
      <c r="I47" s="3416"/>
      <c r="J47" s="3342"/>
      <c r="K47" s="3007"/>
      <c r="L47" s="2028"/>
      <c r="M47" s="2021"/>
      <c r="N47" s="2021"/>
      <c r="O47" s="2021"/>
      <c r="P47" s="4404" t="str">
        <f>A47</f>
        <v>成交单价（元/平方米）</v>
      </c>
      <c r="Q47" s="4404"/>
      <c r="R47" s="4405">
        <f>E47</f>
        <v>0</v>
      </c>
      <c r="S47" s="4405"/>
      <c r="T47" s="4405">
        <f>G47</f>
        <v>0</v>
      </c>
      <c r="U47" s="4405"/>
      <c r="V47" s="4405">
        <f>I47</f>
        <v>0</v>
      </c>
      <c r="W47" s="4405"/>
      <c r="X47" s="266"/>
      <c r="Y47" s="496"/>
      <c r="Z47" s="266"/>
      <c r="AA47" s="266"/>
      <c r="AB47" s="266"/>
      <c r="AC47" s="266"/>
    </row>
    <row r="48" spans="1:29" ht="1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04" t="str">
        <f>A48</f>
        <v>比较价值（元/平方米）</v>
      </c>
      <c r="Q48" s="4404"/>
      <c r="R48" s="4405" t="e">
        <f>IF(F1="售价",ROUND(PRODUCT(R47,AA7:AA46),0),ROUND(PRODUCT(R47,AA7:AA46),1))</f>
        <v>#DIV/0!</v>
      </c>
      <c r="S48" s="4405"/>
      <c r="T48" s="4405" t="e">
        <f>IF(F1="售价",ROUND(PRODUCT(T47,AB7:AB46),0),ROUND(PRODUCT(T47,AB7:AB46),1))</f>
        <v>#DIV/0!</v>
      </c>
      <c r="U48" s="4405"/>
      <c r="V48" s="4405" t="e">
        <f>IF(F1="售价",ROUND(PRODUCT(V47,AC7:AC46),0),ROUND(PRODUCT(V47,AC7:AC46),1))</f>
        <v>#DIV/0!</v>
      </c>
      <c r="W48" s="4405"/>
      <c r="X48" s="266"/>
      <c r="Y48" s="266"/>
      <c r="Z48" s="266"/>
      <c r="AA48" s="266"/>
      <c r="AB48" s="266"/>
      <c r="AC48" s="266"/>
    </row>
    <row r="49" spans="1:29" ht="15" thickBot="1">
      <c r="A49" s="292" t="s">
        <v>1712</v>
      </c>
      <c r="B49" s="293"/>
      <c r="C49" s="4003" t="e">
        <f>R49</f>
        <v>#DIV/0!</v>
      </c>
      <c r="D49" s="242"/>
      <c r="E49" s="242"/>
      <c r="F49" s="242"/>
      <c r="G49" s="242"/>
      <c r="H49" s="242"/>
      <c r="I49" s="242"/>
      <c r="J49" s="242"/>
      <c r="K49" s="497"/>
      <c r="L49" s="2028"/>
      <c r="M49" s="2021"/>
      <c r="N49" s="2021"/>
      <c r="O49" s="2021"/>
      <c r="P49" s="4406" t="str">
        <f>A49</f>
        <v>估价对象XX用房的比较价值（楼面单价，元/平方米）</v>
      </c>
      <c r="Q49" s="4407"/>
      <c r="R49" s="4408" t="e">
        <f>IF(F1="售价",ROUND(IF(D48="简单平均",AVERAGE(R48:V48),R48*F48+T48*H48+V48*J48),0),ROUND(IF(D48="简单平均",AVERAGE(R48:V48),R48*F48+T48*H48+V48*J48),1))</f>
        <v>#DIV/0!</v>
      </c>
      <c r="S49" s="4408"/>
      <c r="T49" s="4408"/>
      <c r="U49" s="4408"/>
      <c r="V49" s="4408"/>
      <c r="W49" s="440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4.4">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ht="14.4">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4.4"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4.4"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1" t="s">
        <v>885</v>
      </c>
    </row>
    <row r="3" spans="1:1" ht="17.399999999999999">
      <c r="A3" s="1062" t="str">
        <f>项目基本情况!B5&amp;"："</f>
        <v>：</v>
      </c>
    </row>
    <row r="4" spans="1:1" ht="34.799999999999997">
      <c r="A4" s="1063" t="str">
        <f>"受贵公司委托，我公司对"&amp;项目基本情况!S1&amp;"进行了预评估。"</f>
        <v>受贵公司委托，我公司对北京市朝阳区呼家楼南里CY00-0310-9001地块出让国有建设用地使用权抵押价值进行了预评估。</v>
      </c>
    </row>
    <row r="5" spans="1:1" ht="17.399999999999999">
      <c r="A5" s="1064" t="s">
        <v>886</v>
      </c>
    </row>
    <row r="6" spans="1:1" ht="17.399999999999999">
      <c r="A6" s="1065" t="s">
        <v>887</v>
      </c>
    </row>
    <row r="7" spans="1:1" ht="52.2">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4.6">
      <c r="A8" s="1066" t="s">
        <v>888</v>
      </c>
    </row>
    <row r="9" spans="1:1" ht="17.399999999999999">
      <c r="A9" s="1065" t="s">
        <v>889</v>
      </c>
    </row>
    <row r="10" spans="1:1" ht="69.599999999999994">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2">
      <c r="A11" s="1066" t="s">
        <v>890</v>
      </c>
    </row>
    <row r="12" spans="1:1" ht="17.399999999999999">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62" t="s">
        <v>892</v>
      </c>
    </row>
    <row r="15" spans="1:1" ht="17.399999999999999">
      <c r="A15" s="1067" t="str">
        <f>TEXT(项目基本情况!D3,"yyyy年m月d日;;")&amp;IF(项目基本情况!D3=项目基本情况!B3,"（评估专业人员实地查勘之日）","")</f>
        <v>2026年1月16日（评估专业人员实地查勘之日）</v>
      </c>
    </row>
    <row r="16" spans="1:1" ht="17.399999999999999">
      <c r="A16" s="1062" t="s">
        <v>893</v>
      </c>
    </row>
    <row r="17" spans="1:1" ht="69.599999999999994">
      <c r="A17" s="1063" t="s">
        <v>894</v>
      </c>
    </row>
    <row r="18" spans="1:1" ht="69.59999999999999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2" t="s">
        <v>883</v>
      </c>
    </row>
    <row r="24" spans="1:1" ht="17.399999999999999">
      <c r="A24" s="1068" t="str">
        <f>"本次评估采用的主估价方法为"&amp;结果表!K4&amp;"和"&amp;结果表!L4&amp;"。"</f>
        <v>本次评估采用的主估价方法为比较法和假设开发法。</v>
      </c>
    </row>
    <row r="25" spans="1:1" ht="17.399999999999999">
      <c r="A25" s="1068"/>
    </row>
    <row r="26" spans="1:1" ht="17.399999999999999">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70" t="s">
        <v>1693</v>
      </c>
      <c r="Q4" s="4471"/>
      <c r="R4" s="4474" t="s">
        <v>1689</v>
      </c>
      <c r="S4" s="4475"/>
      <c r="T4" s="4474" t="s">
        <v>1690</v>
      </c>
      <c r="U4" s="4475"/>
      <c r="V4" s="4476" t="s">
        <v>1691</v>
      </c>
      <c r="W4" s="4476"/>
      <c r="X4" s="1451"/>
      <c r="Y4" s="4482" t="s">
        <v>1693</v>
      </c>
      <c r="Z4" s="4483"/>
      <c r="AA4" s="4486" t="s">
        <v>1689</v>
      </c>
      <c r="AB4" s="4486" t="s">
        <v>1690</v>
      </c>
      <c r="AC4" s="4463" t="s">
        <v>1691</v>
      </c>
    </row>
    <row r="5" spans="1:29">
      <c r="A5" s="239"/>
      <c r="B5" s="240"/>
      <c r="C5" s="4479" t="s">
        <v>1591</v>
      </c>
      <c r="D5" s="4480"/>
      <c r="E5" s="4487" t="s">
        <v>1592</v>
      </c>
      <c r="F5" s="4488"/>
      <c r="G5" s="4479" t="s">
        <v>1593</v>
      </c>
      <c r="H5" s="4480"/>
      <c r="I5" s="4479" t="s">
        <v>1594</v>
      </c>
      <c r="J5" s="4480"/>
      <c r="K5" s="397"/>
      <c r="L5" s="2020"/>
      <c r="M5" s="2021"/>
      <c r="N5" s="2021"/>
      <c r="O5" s="2021"/>
      <c r="P5" s="4472"/>
      <c r="Q5" s="4430"/>
      <c r="R5" s="4435"/>
      <c r="S5" s="4436"/>
      <c r="T5" s="4435"/>
      <c r="U5" s="4436"/>
      <c r="V5" s="4439"/>
      <c r="W5" s="4439"/>
      <c r="X5" s="947"/>
      <c r="Y5" s="4450"/>
      <c r="Z5" s="4451"/>
      <c r="AA5" s="4421"/>
      <c r="AB5" s="4421"/>
      <c r="AC5" s="4464"/>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473"/>
      <c r="Q6" s="4432"/>
      <c r="R6" s="4435"/>
      <c r="S6" s="4436"/>
      <c r="T6" s="4437"/>
      <c r="U6" s="4438"/>
      <c r="V6" s="4439"/>
      <c r="W6" s="4439"/>
      <c r="X6" s="947"/>
      <c r="Y6" s="4452"/>
      <c r="Z6" s="4453"/>
      <c r="AA6" s="4422"/>
      <c r="AB6" s="4422"/>
      <c r="AC6" s="4465"/>
    </row>
    <row r="7" spans="1:29" s="46" customFormat="1" ht="1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1" t="s">
        <v>1598</v>
      </c>
      <c r="Q7" s="4454"/>
      <c r="R7" s="3887" t="s">
        <v>13</v>
      </c>
      <c r="S7" s="3344">
        <f t="shared" ref="S7:S15" si="0">F7</f>
        <v>0</v>
      </c>
      <c r="T7" s="3887" t="s">
        <v>13</v>
      </c>
      <c r="U7" s="3344">
        <f t="shared" ref="U7:U15" si="1">H7</f>
        <v>0</v>
      </c>
      <c r="V7" s="3887" t="s">
        <v>13</v>
      </c>
      <c r="W7" s="3344">
        <f t="shared" ref="W7:W15" si="2">J7</f>
        <v>0</v>
      </c>
      <c r="X7" s="493"/>
      <c r="Y7" s="4446" t="s">
        <v>1598</v>
      </c>
      <c r="Z7" s="4447"/>
      <c r="AA7" s="28" t="e">
        <f>D7/F7</f>
        <v>#DIV/0!</v>
      </c>
      <c r="AB7" s="28" t="e">
        <f>D7/H7</f>
        <v>#DIV/0!</v>
      </c>
      <c r="AC7" s="573" t="e">
        <f>D7/J7</f>
        <v>#DIV/0!</v>
      </c>
    </row>
    <row r="8" spans="1:29" s="46" customFormat="1" ht="1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1" t="s">
        <v>1601</v>
      </c>
      <c r="Q8" s="4445"/>
      <c r="R8" s="3887" t="s">
        <v>13</v>
      </c>
      <c r="S8" s="3344">
        <f t="shared" si="0"/>
        <v>100</v>
      </c>
      <c r="T8" s="3887" t="s">
        <v>13</v>
      </c>
      <c r="U8" s="3344">
        <f t="shared" si="1"/>
        <v>100</v>
      </c>
      <c r="V8" s="3887" t="s">
        <v>13</v>
      </c>
      <c r="W8" s="3344">
        <f t="shared" si="2"/>
        <v>100</v>
      </c>
      <c r="X8" s="493"/>
      <c r="Y8" s="4446" t="s">
        <v>1601</v>
      </c>
      <c r="Z8" s="4447"/>
      <c r="AA8" s="28">
        <f t="shared" ref="AA8:AA47" si="3">D8/F8</f>
        <v>1</v>
      </c>
      <c r="AB8" s="28">
        <f t="shared" ref="AB8:AB47" si="4">D8/H8</f>
        <v>1</v>
      </c>
      <c r="AC8" s="573">
        <f t="shared" ref="AC8:AC47" si="5">D8/J8</f>
        <v>1</v>
      </c>
    </row>
    <row r="9" spans="1:29" s="46" customFormat="1" ht="14.4">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573">
        <f t="shared" si="5"/>
        <v>1</v>
      </c>
    </row>
    <row r="10" spans="1:29" s="254" customFormat="1" ht="28.8">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18"/>
      <c r="Q11" s="1745" t="str">
        <f t="shared" si="6"/>
        <v>容积率</v>
      </c>
      <c r="R11" s="3887" t="s">
        <v>13</v>
      </c>
      <c r="S11" s="3344">
        <f t="shared" si="0"/>
        <v>100</v>
      </c>
      <c r="T11" s="3887" t="s">
        <v>13</v>
      </c>
      <c r="U11" s="3344">
        <f t="shared" si="1"/>
        <v>100</v>
      </c>
      <c r="V11" s="3887" t="s">
        <v>13</v>
      </c>
      <c r="W11" s="3344">
        <f t="shared" si="2"/>
        <v>100</v>
      </c>
      <c r="X11" s="493"/>
      <c r="Y11" s="4419"/>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18"/>
      <c r="Q12" s="1745">
        <f t="shared" si="6"/>
        <v>111</v>
      </c>
      <c r="R12" s="3887" t="s">
        <v>13</v>
      </c>
      <c r="S12" s="3344">
        <f t="shared" si="0"/>
        <v>100</v>
      </c>
      <c r="T12" s="3887" t="s">
        <v>13</v>
      </c>
      <c r="U12" s="3344">
        <f t="shared" si="1"/>
        <v>100</v>
      </c>
      <c r="V12" s="3887" t="s">
        <v>13</v>
      </c>
      <c r="W12" s="3344">
        <f t="shared" si="2"/>
        <v>100</v>
      </c>
      <c r="X12" s="493"/>
      <c r="Y12" s="4419"/>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18"/>
      <c r="Q13" s="1745">
        <f t="shared" si="6"/>
        <v>111</v>
      </c>
      <c r="R13" s="3887" t="s">
        <v>13</v>
      </c>
      <c r="S13" s="3344">
        <f t="shared" si="0"/>
        <v>100</v>
      </c>
      <c r="T13" s="3887" t="s">
        <v>13</v>
      </c>
      <c r="U13" s="3344">
        <f t="shared" si="1"/>
        <v>100</v>
      </c>
      <c r="V13" s="3887" t="s">
        <v>13</v>
      </c>
      <c r="W13" s="3344">
        <f t="shared" si="2"/>
        <v>100</v>
      </c>
      <c r="X13" s="493"/>
      <c r="Y13" s="4419"/>
      <c r="Z13" s="28">
        <f t="shared" si="7"/>
        <v>111</v>
      </c>
      <c r="AA13" s="28">
        <f t="shared" si="3"/>
        <v>1</v>
      </c>
      <c r="AB13" s="28">
        <f t="shared" si="4"/>
        <v>1</v>
      </c>
      <c r="AC13" s="573">
        <f t="shared" si="5"/>
        <v>1</v>
      </c>
    </row>
    <row r="14" spans="1:29" ht="15.6"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18"/>
      <c r="Q14" s="1745">
        <f t="shared" si="6"/>
        <v>111</v>
      </c>
      <c r="R14" s="3887" t="s">
        <v>13</v>
      </c>
      <c r="S14" s="3344">
        <f t="shared" si="0"/>
        <v>100</v>
      </c>
      <c r="T14" s="3887" t="s">
        <v>13</v>
      </c>
      <c r="U14" s="3344">
        <f t="shared" si="1"/>
        <v>100</v>
      </c>
      <c r="V14" s="3887" t="s">
        <v>13</v>
      </c>
      <c r="W14" s="3344">
        <f t="shared" si="2"/>
        <v>100</v>
      </c>
      <c r="X14" s="493"/>
      <c r="Y14" s="4419"/>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09" t="s">
        <v>1609</v>
      </c>
      <c r="Q15" s="1545" t="str">
        <f t="shared" si="6"/>
        <v>办公集聚程度</v>
      </c>
      <c r="R15" s="3993" t="s">
        <v>13</v>
      </c>
      <c r="S15" s="3345">
        <f t="shared" si="0"/>
        <v>100</v>
      </c>
      <c r="T15" s="3993" t="s">
        <v>13</v>
      </c>
      <c r="U15" s="3345">
        <f t="shared" si="1"/>
        <v>100</v>
      </c>
      <c r="V15" s="3993" t="s">
        <v>13</v>
      </c>
      <c r="W15" s="3345">
        <f t="shared" si="2"/>
        <v>100</v>
      </c>
      <c r="X15" s="947"/>
      <c r="Y15" s="4411"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10"/>
      <c r="Q16" s="1545"/>
      <c r="R16" s="3993"/>
      <c r="S16" s="3345"/>
      <c r="T16" s="3993"/>
      <c r="U16" s="3345"/>
      <c r="V16" s="3993"/>
      <c r="W16" s="3345"/>
      <c r="X16" s="947"/>
      <c r="Y16" s="4412"/>
      <c r="Z16" s="945"/>
      <c r="AA16" s="945">
        <v>1</v>
      </c>
      <c r="AB16" s="945">
        <v>1</v>
      </c>
      <c r="AC16" s="1454">
        <v>1</v>
      </c>
    </row>
    <row r="17" spans="1:29" ht="124.2">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10"/>
      <c r="Q17" s="1545" t="str">
        <f>B17</f>
        <v>交通便捷度</v>
      </c>
      <c r="R17" s="3993" t="s">
        <v>13</v>
      </c>
      <c r="S17" s="3345">
        <f>F17</f>
        <v>100</v>
      </c>
      <c r="T17" s="3993" t="s">
        <v>13</v>
      </c>
      <c r="U17" s="3345">
        <f>H17</f>
        <v>100</v>
      </c>
      <c r="V17" s="3993" t="s">
        <v>13</v>
      </c>
      <c r="W17" s="3345">
        <f>J17</f>
        <v>100</v>
      </c>
      <c r="X17" s="947"/>
      <c r="Y17" s="4412"/>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10"/>
      <c r="Q18" s="1545"/>
      <c r="R18" s="3993"/>
      <c r="S18" s="3345"/>
      <c r="T18" s="3993"/>
      <c r="U18" s="3345"/>
      <c r="V18" s="3993"/>
      <c r="W18" s="3345"/>
      <c r="X18" s="947"/>
      <c r="Y18" s="4412"/>
      <c r="Z18" s="945"/>
      <c r="AA18" s="945">
        <v>1</v>
      </c>
      <c r="AB18" s="945">
        <v>1</v>
      </c>
      <c r="AC18" s="1454">
        <v>1</v>
      </c>
    </row>
    <row r="19" spans="1:29" ht="82.8">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10"/>
      <c r="Q19" s="1545" t="str">
        <f>B19</f>
        <v>公共配套设施</v>
      </c>
      <c r="R19" s="3993" t="s">
        <v>13</v>
      </c>
      <c r="S19" s="3345">
        <f>F19</f>
        <v>100</v>
      </c>
      <c r="T19" s="3993" t="s">
        <v>13</v>
      </c>
      <c r="U19" s="3345">
        <f>H19</f>
        <v>100</v>
      </c>
      <c r="V19" s="3993" t="s">
        <v>13</v>
      </c>
      <c r="W19" s="3345">
        <f>J19</f>
        <v>100</v>
      </c>
      <c r="X19" s="947"/>
      <c r="Y19" s="4412"/>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10"/>
      <c r="Q20" s="1545"/>
      <c r="R20" s="3993"/>
      <c r="S20" s="3345"/>
      <c r="T20" s="3993"/>
      <c r="U20" s="3345"/>
      <c r="V20" s="3993"/>
      <c r="W20" s="3345"/>
      <c r="X20" s="947"/>
      <c r="Y20" s="4412"/>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10"/>
      <c r="Q22" s="1545"/>
      <c r="R22" s="3993"/>
      <c r="S22" s="3345"/>
      <c r="T22" s="3993"/>
      <c r="U22" s="3345"/>
      <c r="V22" s="3993"/>
      <c r="W22" s="3345"/>
      <c r="X22" s="947"/>
      <c r="Y22" s="4412"/>
      <c r="Z22" s="945"/>
      <c r="AA22" s="945">
        <v>1</v>
      </c>
      <c r="AB22" s="945">
        <v>1</v>
      </c>
      <c r="AC22" s="1454">
        <v>1</v>
      </c>
    </row>
    <row r="23" spans="1:29" ht="96.6">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10"/>
      <c r="Q23" s="1545" t="str">
        <f>B23</f>
        <v>环境质量</v>
      </c>
      <c r="R23" s="3993" t="s">
        <v>13</v>
      </c>
      <c r="S23" s="3345">
        <f>F23</f>
        <v>100</v>
      </c>
      <c r="T23" s="3993" t="s">
        <v>13</v>
      </c>
      <c r="U23" s="3345">
        <f>H23</f>
        <v>100</v>
      </c>
      <c r="V23" s="3993" t="s">
        <v>13</v>
      </c>
      <c r="W23" s="3345">
        <f>J23</f>
        <v>100</v>
      </c>
      <c r="X23" s="947"/>
      <c r="Y23" s="4412"/>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10"/>
      <c r="Q24" s="1545"/>
      <c r="R24" s="3993"/>
      <c r="S24" s="3345"/>
      <c r="T24" s="3993"/>
      <c r="U24" s="3345"/>
      <c r="V24" s="3993"/>
      <c r="W24" s="3345"/>
      <c r="X24" s="947"/>
      <c r="Y24" s="4412"/>
      <c r="Z24" s="945"/>
      <c r="AA24" s="945">
        <v>1</v>
      </c>
      <c r="AB24" s="945">
        <v>1</v>
      </c>
      <c r="AC24" s="1454">
        <v>1</v>
      </c>
    </row>
    <row r="25" spans="1:29" ht="28.8">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10"/>
      <c r="Q25" s="1545" t="str">
        <f>B25</f>
        <v>毗邻道路的类型与等级</v>
      </c>
      <c r="R25" s="3993" t="s">
        <v>13</v>
      </c>
      <c r="S25" s="3345">
        <f>F25</f>
        <v>100</v>
      </c>
      <c r="T25" s="3993" t="s">
        <v>13</v>
      </c>
      <c r="U25" s="3345">
        <f>H25</f>
        <v>100</v>
      </c>
      <c r="V25" s="3993" t="s">
        <v>13</v>
      </c>
      <c r="W25" s="3345">
        <f>J25</f>
        <v>100</v>
      </c>
      <c r="X25" s="947"/>
      <c r="Y25" s="4412"/>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10"/>
      <c r="Q26" s="1545"/>
      <c r="R26" s="3993"/>
      <c r="S26" s="3345"/>
      <c r="T26" s="3993"/>
      <c r="U26" s="3345"/>
      <c r="V26" s="3993"/>
      <c r="W26" s="3345"/>
      <c r="X26" s="947"/>
      <c r="Y26" s="4412"/>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10"/>
      <c r="Q27" s="1545" t="str">
        <f t="shared" ref="Q27:Q47" si="11">B27</f>
        <v>楼层</v>
      </c>
      <c r="R27" s="3993" t="s">
        <v>13</v>
      </c>
      <c r="S27" s="3345">
        <f>F27</f>
        <v>100</v>
      </c>
      <c r="T27" s="3993" t="s">
        <v>13</v>
      </c>
      <c r="U27" s="3345">
        <f>H27</f>
        <v>100</v>
      </c>
      <c r="V27" s="3993" t="s">
        <v>13</v>
      </c>
      <c r="W27" s="3345">
        <f>J27</f>
        <v>100</v>
      </c>
      <c r="X27" s="947"/>
      <c r="Y27" s="4412"/>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10"/>
      <c r="Q28" s="1745" t="str">
        <f t="shared" si="11"/>
        <v>朝向</v>
      </c>
      <c r="R28" s="3887" t="s">
        <v>13</v>
      </c>
      <c r="S28" s="3344">
        <f>F28</f>
        <v>100</v>
      </c>
      <c r="T28" s="3887" t="s">
        <v>13</v>
      </c>
      <c r="U28" s="3344">
        <f>H28</f>
        <v>100</v>
      </c>
      <c r="V28" s="3887" t="s">
        <v>13</v>
      </c>
      <c r="W28" s="3344">
        <f>J28</f>
        <v>100</v>
      </c>
      <c r="X28" s="493"/>
      <c r="Y28" s="4412"/>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10"/>
      <c r="Q29" s="1545">
        <f t="shared" si="11"/>
        <v>111</v>
      </c>
      <c r="R29" s="3993" t="s">
        <v>13</v>
      </c>
      <c r="S29" s="3345">
        <f t="shared" ref="S29:S47" si="12">F29</f>
        <v>100</v>
      </c>
      <c r="T29" s="3993" t="s">
        <v>13</v>
      </c>
      <c r="U29" s="3345">
        <f t="shared" ref="U29:U47" si="13">H29</f>
        <v>100</v>
      </c>
      <c r="V29" s="3993" t="s">
        <v>13</v>
      </c>
      <c r="W29" s="3345">
        <f t="shared" ref="W29:W47" si="14">J29</f>
        <v>100</v>
      </c>
      <c r="X29" s="947"/>
      <c r="Y29" s="4412"/>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10"/>
      <c r="Q30" s="1545">
        <f t="shared" si="11"/>
        <v>111</v>
      </c>
      <c r="R30" s="3993" t="s">
        <v>13</v>
      </c>
      <c r="S30" s="3345">
        <f t="shared" si="12"/>
        <v>100</v>
      </c>
      <c r="T30" s="3993" t="s">
        <v>13</v>
      </c>
      <c r="U30" s="3345">
        <f t="shared" si="13"/>
        <v>100</v>
      </c>
      <c r="V30" s="3993" t="s">
        <v>13</v>
      </c>
      <c r="W30" s="3345">
        <f t="shared" si="14"/>
        <v>100</v>
      </c>
      <c r="X30" s="947"/>
      <c r="Y30" s="4412"/>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10"/>
      <c r="Q31" s="1545">
        <f t="shared" si="11"/>
        <v>111</v>
      </c>
      <c r="R31" s="3993" t="s">
        <v>13</v>
      </c>
      <c r="S31" s="3345">
        <f t="shared" si="12"/>
        <v>100</v>
      </c>
      <c r="T31" s="3993" t="s">
        <v>13</v>
      </c>
      <c r="U31" s="3345">
        <f t="shared" si="13"/>
        <v>100</v>
      </c>
      <c r="V31" s="3993" t="s">
        <v>13</v>
      </c>
      <c r="W31" s="3345">
        <f t="shared" si="14"/>
        <v>100</v>
      </c>
      <c r="X31" s="947"/>
      <c r="Y31" s="4412"/>
      <c r="Z31" s="945">
        <f t="shared" si="15"/>
        <v>111</v>
      </c>
      <c r="AA31" s="945">
        <f t="shared" si="3"/>
        <v>1</v>
      </c>
      <c r="AB31" s="945">
        <f t="shared" si="4"/>
        <v>1</v>
      </c>
      <c r="AC31" s="1454">
        <f t="shared" si="5"/>
        <v>1</v>
      </c>
    </row>
    <row r="32" spans="1:29" ht="15.6"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10"/>
      <c r="Q32" s="1545">
        <f t="shared" si="11"/>
        <v>111</v>
      </c>
      <c r="R32" s="3993" t="s">
        <v>13</v>
      </c>
      <c r="S32" s="3345">
        <f t="shared" si="12"/>
        <v>100</v>
      </c>
      <c r="T32" s="3993" t="s">
        <v>13</v>
      </c>
      <c r="U32" s="3345">
        <f t="shared" si="13"/>
        <v>100</v>
      </c>
      <c r="V32" s="3993" t="s">
        <v>13</v>
      </c>
      <c r="W32" s="3345">
        <f t="shared" si="14"/>
        <v>100</v>
      </c>
      <c r="X32" s="947"/>
      <c r="Y32" s="4412"/>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13" t="s">
        <v>1614</v>
      </c>
      <c r="Q33" s="1545" t="str">
        <f t="shared" si="11"/>
        <v>建筑类型</v>
      </c>
      <c r="R33" s="3993" t="s">
        <v>13</v>
      </c>
      <c r="S33" s="3345">
        <f t="shared" si="12"/>
        <v>100</v>
      </c>
      <c r="T33" s="3993" t="s">
        <v>13</v>
      </c>
      <c r="U33" s="3345">
        <f t="shared" si="13"/>
        <v>100</v>
      </c>
      <c r="V33" s="3993" t="s">
        <v>13</v>
      </c>
      <c r="W33" s="3345">
        <f t="shared" si="14"/>
        <v>100</v>
      </c>
      <c r="X33" s="947"/>
      <c r="Y33" s="4416"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14"/>
      <c r="Q34" s="392" t="str">
        <f t="shared" si="11"/>
        <v>项目建筑规模</v>
      </c>
      <c r="R34" s="3994" t="s">
        <v>13</v>
      </c>
      <c r="S34" s="3346" t="e">
        <f t="shared" si="12"/>
        <v>#N/A</v>
      </c>
      <c r="T34" s="3994" t="s">
        <v>13</v>
      </c>
      <c r="U34" s="3346" t="e">
        <f t="shared" si="13"/>
        <v>#N/A</v>
      </c>
      <c r="V34" s="3994" t="s">
        <v>13</v>
      </c>
      <c r="W34" s="3346" t="e">
        <f t="shared" si="14"/>
        <v>#N/A</v>
      </c>
      <c r="X34" s="494"/>
      <c r="Y34" s="4416"/>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14"/>
      <c r="Q35" s="1545" t="str">
        <f t="shared" si="11"/>
        <v>建筑结构</v>
      </c>
      <c r="R35" s="3993" t="s">
        <v>13</v>
      </c>
      <c r="S35" s="3345">
        <f t="shared" si="12"/>
        <v>100</v>
      </c>
      <c r="T35" s="3993" t="s">
        <v>13</v>
      </c>
      <c r="U35" s="3345">
        <f t="shared" si="13"/>
        <v>100</v>
      </c>
      <c r="V35" s="3993" t="s">
        <v>13</v>
      </c>
      <c r="W35" s="3345">
        <f t="shared" si="14"/>
        <v>100</v>
      </c>
      <c r="X35" s="947"/>
      <c r="Y35" s="4416"/>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14"/>
      <c r="Q36" s="1545" t="str">
        <f t="shared" si="11"/>
        <v>公共部分装修</v>
      </c>
      <c r="R36" s="3993" t="s">
        <v>13</v>
      </c>
      <c r="S36" s="3345">
        <f t="shared" si="12"/>
        <v>100</v>
      </c>
      <c r="T36" s="3993" t="s">
        <v>13</v>
      </c>
      <c r="U36" s="3345">
        <f t="shared" si="13"/>
        <v>100</v>
      </c>
      <c r="V36" s="3993" t="s">
        <v>13</v>
      </c>
      <c r="W36" s="3345">
        <f t="shared" si="14"/>
        <v>100</v>
      </c>
      <c r="X36" s="947"/>
      <c r="Y36" s="4416"/>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14"/>
      <c r="Q37" s="1545" t="str">
        <f t="shared" si="11"/>
        <v>成新度</v>
      </c>
      <c r="R37" s="3993" t="s">
        <v>13</v>
      </c>
      <c r="S37" s="3345" t="e">
        <f t="shared" si="12"/>
        <v>#N/A</v>
      </c>
      <c r="T37" s="3993" t="s">
        <v>13</v>
      </c>
      <c r="U37" s="3345" t="e">
        <f t="shared" si="13"/>
        <v>#N/A</v>
      </c>
      <c r="V37" s="3993" t="s">
        <v>13</v>
      </c>
      <c r="W37" s="3345" t="e">
        <f t="shared" si="14"/>
        <v>#N/A</v>
      </c>
      <c r="X37" s="947"/>
      <c r="Y37" s="4416"/>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14"/>
      <c r="Q38" s="1745" t="str">
        <f t="shared" si="11"/>
        <v>写字楼等级</v>
      </c>
      <c r="R38" s="3887" t="s">
        <v>13</v>
      </c>
      <c r="S38" s="3344">
        <f t="shared" si="12"/>
        <v>100</v>
      </c>
      <c r="T38" s="3887" t="s">
        <v>13</v>
      </c>
      <c r="U38" s="3344">
        <f t="shared" si="13"/>
        <v>100</v>
      </c>
      <c r="V38" s="3887" t="s">
        <v>13</v>
      </c>
      <c r="W38" s="3344">
        <f t="shared" si="14"/>
        <v>100</v>
      </c>
      <c r="X38" s="493"/>
      <c r="Y38" s="4416"/>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14" t="s">
        <v>1614</v>
      </c>
      <c r="Q39" s="1545" t="str">
        <f t="shared" si="11"/>
        <v>物业管理</v>
      </c>
      <c r="R39" s="3993" t="s">
        <v>13</v>
      </c>
      <c r="S39" s="3345">
        <f t="shared" si="12"/>
        <v>100</v>
      </c>
      <c r="T39" s="3993" t="s">
        <v>13</v>
      </c>
      <c r="U39" s="3345">
        <f t="shared" si="13"/>
        <v>100</v>
      </c>
      <c r="V39" s="3993" t="s">
        <v>13</v>
      </c>
      <c r="W39" s="3345">
        <f t="shared" si="14"/>
        <v>100</v>
      </c>
      <c r="X39" s="947"/>
      <c r="Y39" s="4416"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14"/>
      <c r="Q40" s="1545" t="str">
        <f t="shared" si="11"/>
        <v>市政基础设施</v>
      </c>
      <c r="R40" s="3993" t="s">
        <v>13</v>
      </c>
      <c r="S40" s="3345">
        <f t="shared" si="12"/>
        <v>100</v>
      </c>
      <c r="T40" s="3993" t="s">
        <v>13</v>
      </c>
      <c r="U40" s="3345">
        <f t="shared" si="13"/>
        <v>100</v>
      </c>
      <c r="V40" s="3993" t="s">
        <v>13</v>
      </c>
      <c r="W40" s="3345">
        <f t="shared" si="14"/>
        <v>100</v>
      </c>
      <c r="X40" s="947"/>
      <c r="Y40" s="4416"/>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14"/>
      <c r="Q41" s="1545" t="str">
        <f t="shared" si="11"/>
        <v>层高</v>
      </c>
      <c r="R41" s="3993" t="s">
        <v>13</v>
      </c>
      <c r="S41" s="3345">
        <f t="shared" si="12"/>
        <v>100</v>
      </c>
      <c r="T41" s="3993" t="s">
        <v>13</v>
      </c>
      <c r="U41" s="3345">
        <f t="shared" si="13"/>
        <v>100</v>
      </c>
      <c r="V41" s="3993" t="s">
        <v>13</v>
      </c>
      <c r="W41" s="3345">
        <f t="shared" si="14"/>
        <v>100</v>
      </c>
      <c r="X41" s="947"/>
      <c r="Y41" s="4416"/>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14"/>
      <c r="Q42" s="392" t="str">
        <f t="shared" si="11"/>
        <v>单套建筑面积</v>
      </c>
      <c r="R42" s="3994" t="s">
        <v>13</v>
      </c>
      <c r="S42" s="3346">
        <f t="shared" si="12"/>
        <v>100</v>
      </c>
      <c r="T42" s="3994" t="s">
        <v>13</v>
      </c>
      <c r="U42" s="3346">
        <f t="shared" si="13"/>
        <v>100</v>
      </c>
      <c r="V42" s="3994" t="s">
        <v>13</v>
      </c>
      <c r="W42" s="3346">
        <f t="shared" si="14"/>
        <v>100</v>
      </c>
      <c r="X42" s="494"/>
      <c r="Y42" s="4416"/>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14"/>
      <c r="Q43" s="1545" t="str">
        <f t="shared" si="11"/>
        <v>内部装修</v>
      </c>
      <c r="R43" s="3993" t="s">
        <v>13</v>
      </c>
      <c r="S43" s="3345">
        <f t="shared" si="12"/>
        <v>100</v>
      </c>
      <c r="T43" s="3993" t="s">
        <v>13</v>
      </c>
      <c r="U43" s="3345">
        <f t="shared" si="13"/>
        <v>100</v>
      </c>
      <c r="V43" s="3993" t="s">
        <v>13</v>
      </c>
      <c r="W43" s="3345">
        <f t="shared" si="14"/>
        <v>100</v>
      </c>
      <c r="X43" s="947"/>
      <c r="Y43" s="4416"/>
      <c r="Z43" s="945" t="str">
        <f t="shared" si="15"/>
        <v>内部装修</v>
      </c>
      <c r="AA43" s="945">
        <f t="shared" si="3"/>
        <v>1</v>
      </c>
      <c r="AB43" s="945">
        <f t="shared" si="4"/>
        <v>1</v>
      </c>
      <c r="AC43" s="1454">
        <f t="shared" si="5"/>
        <v>1</v>
      </c>
    </row>
    <row r="44" spans="1:29" ht="28.8">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14"/>
      <c r="Q44" s="1545" t="str">
        <f t="shared" si="11"/>
        <v>内部装修维护情况</v>
      </c>
      <c r="R44" s="3993" t="s">
        <v>13</v>
      </c>
      <c r="S44" s="3345">
        <f t="shared" si="12"/>
        <v>100</v>
      </c>
      <c r="T44" s="3993" t="s">
        <v>13</v>
      </c>
      <c r="U44" s="3345">
        <f t="shared" si="13"/>
        <v>100</v>
      </c>
      <c r="V44" s="3993" t="s">
        <v>13</v>
      </c>
      <c r="W44" s="3345">
        <f t="shared" si="14"/>
        <v>100</v>
      </c>
      <c r="X44" s="947"/>
      <c r="Y44" s="4416"/>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14"/>
      <c r="Q45" s="1745">
        <f t="shared" si="11"/>
        <v>111</v>
      </c>
      <c r="R45" s="3887" t="s">
        <v>13</v>
      </c>
      <c r="S45" s="3344">
        <f t="shared" si="12"/>
        <v>100</v>
      </c>
      <c r="T45" s="3887" t="s">
        <v>13</v>
      </c>
      <c r="U45" s="3344">
        <f t="shared" si="13"/>
        <v>100</v>
      </c>
      <c r="V45" s="3887" t="s">
        <v>13</v>
      </c>
      <c r="W45" s="3344">
        <f t="shared" si="14"/>
        <v>100</v>
      </c>
      <c r="X45" s="493"/>
      <c r="Y45" s="4416"/>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14"/>
      <c r="Q46" s="1545">
        <f t="shared" si="11"/>
        <v>111</v>
      </c>
      <c r="R46" s="3993" t="s">
        <v>13</v>
      </c>
      <c r="S46" s="3345">
        <f t="shared" si="12"/>
        <v>100</v>
      </c>
      <c r="T46" s="3993" t="s">
        <v>13</v>
      </c>
      <c r="U46" s="3345">
        <f t="shared" si="13"/>
        <v>100</v>
      </c>
      <c r="V46" s="3993" t="s">
        <v>13</v>
      </c>
      <c r="W46" s="3345">
        <f t="shared" si="14"/>
        <v>100</v>
      </c>
      <c r="X46" s="947"/>
      <c r="Y46" s="4416"/>
      <c r="Z46" s="945">
        <f t="shared" si="15"/>
        <v>111</v>
      </c>
      <c r="AA46" s="945">
        <f t="shared" si="3"/>
        <v>1</v>
      </c>
      <c r="AB46" s="945">
        <f t="shared" si="4"/>
        <v>1</v>
      </c>
      <c r="AC46" s="1454">
        <f t="shared" si="5"/>
        <v>1</v>
      </c>
    </row>
    <row r="47" spans="1:29" ht="15.6"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15"/>
      <c r="Q47" s="1545">
        <f t="shared" si="11"/>
        <v>111</v>
      </c>
      <c r="R47" s="3993" t="s">
        <v>13</v>
      </c>
      <c r="S47" s="3345">
        <f t="shared" si="12"/>
        <v>100</v>
      </c>
      <c r="T47" s="3993" t="s">
        <v>13</v>
      </c>
      <c r="U47" s="3345">
        <f t="shared" si="13"/>
        <v>100</v>
      </c>
      <c r="V47" s="3993" t="s">
        <v>13</v>
      </c>
      <c r="W47" s="3345">
        <f t="shared" si="14"/>
        <v>100</v>
      </c>
      <c r="X47" s="947"/>
      <c r="Y47" s="4417"/>
      <c r="Z47" s="945">
        <f t="shared" si="15"/>
        <v>111</v>
      </c>
      <c r="AA47" s="945">
        <f t="shared" si="3"/>
        <v>1</v>
      </c>
      <c r="AB47" s="945">
        <f t="shared" si="4"/>
        <v>1</v>
      </c>
      <c r="AC47" s="1454">
        <f t="shared" si="5"/>
        <v>1</v>
      </c>
    </row>
    <row r="48" spans="1:29" ht="14.4">
      <c r="A48" s="287" t="s">
        <v>1626</v>
      </c>
      <c r="B48" s="288"/>
      <c r="C48" s="799" t="s">
        <v>0</v>
      </c>
      <c r="D48" s="289"/>
      <c r="E48" s="3416"/>
      <c r="F48" s="3341"/>
      <c r="G48" s="3417"/>
      <c r="H48" s="3342"/>
      <c r="I48" s="3416"/>
      <c r="J48" s="3342"/>
      <c r="K48" s="3007"/>
      <c r="L48" s="2028"/>
      <c r="M48" s="2021"/>
      <c r="N48" s="2021"/>
      <c r="O48" s="2021"/>
      <c r="P48" s="4418" t="str">
        <f>A48</f>
        <v>成交单价（元/平方米）</v>
      </c>
      <c r="Q48" s="4404"/>
      <c r="R48" s="4405">
        <f>E48</f>
        <v>0</v>
      </c>
      <c r="S48" s="4405"/>
      <c r="T48" s="4405">
        <f>G48</f>
        <v>0</v>
      </c>
      <c r="U48" s="4405"/>
      <c r="V48" s="4405">
        <f>I48</f>
        <v>0</v>
      </c>
      <c r="W48" s="4405"/>
      <c r="X48" s="266"/>
      <c r="Y48" s="496"/>
      <c r="Z48" s="266"/>
      <c r="AA48" s="266"/>
      <c r="AB48" s="266"/>
      <c r="AC48" s="412"/>
    </row>
    <row r="49" spans="1:29" ht="1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18" t="str">
        <f>A49</f>
        <v>比较价值（元/平方米）</v>
      </c>
      <c r="Q49" s="4404"/>
      <c r="R49" s="4405" t="e">
        <f>IF(F1="售价",ROUND(PRODUCT(R48,AA7:AA47),0),ROUND(PRODUCT(R48,AA7:AA47),1))</f>
        <v>#DIV/0!</v>
      </c>
      <c r="S49" s="4405"/>
      <c r="T49" s="4405" t="e">
        <f>IF(F1="售价",ROUND(PRODUCT(T48,AB7:AB47),0),ROUND(PRODUCT(T48,AB7:AB47),1))</f>
        <v>#DIV/0!</v>
      </c>
      <c r="U49" s="4405"/>
      <c r="V49" s="4405" t="e">
        <f>IF(F1="售价",ROUND(PRODUCT(V48,AC7:AC47),0),ROUND(PRODUCT(V48,AC7:AC47),1))</f>
        <v>#DIV/0!</v>
      </c>
      <c r="W49" s="4405"/>
      <c r="X49" s="266"/>
      <c r="Y49" s="266"/>
      <c r="Z49" s="266"/>
      <c r="AA49" s="266"/>
      <c r="AB49" s="266"/>
      <c r="AC49" s="412"/>
    </row>
    <row r="50" spans="1:29" ht="15" thickBot="1">
      <c r="A50" s="292" t="s">
        <v>1712</v>
      </c>
      <c r="B50" s="293"/>
      <c r="C50" s="4003" t="e">
        <f>R50</f>
        <v>#DIV/0!</v>
      </c>
      <c r="D50" s="242"/>
      <c r="E50" s="242"/>
      <c r="F50" s="242"/>
      <c r="G50" s="242"/>
      <c r="H50" s="242"/>
      <c r="I50" s="242"/>
      <c r="J50" s="294"/>
      <c r="K50" s="497"/>
      <c r="L50" s="2028"/>
      <c r="M50" s="2021"/>
      <c r="N50" s="2021"/>
      <c r="O50" s="2021"/>
      <c r="P50" s="4460" t="str">
        <f>A50</f>
        <v>估价对象XX用房的比较价值（楼面单价，元/平方米）</v>
      </c>
      <c r="Q50" s="4461"/>
      <c r="R50" s="4462" t="e">
        <f>IF(F1="售价",ROUND(IF(D49="简单平均",AVERAGE(R49:V49),R49*F49+T49*H49+V49*J49),0),ROUND(IF(D49="简单平均",AVERAGE(R49:V49),R49*F49+T49*H49+V49*J49),1))</f>
        <v>#DIV/0!</v>
      </c>
      <c r="S50" s="4462"/>
      <c r="T50" s="4462"/>
      <c r="U50" s="4462"/>
      <c r="V50" s="4462"/>
      <c r="W50" s="4462"/>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4.4">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ht="14.4">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4.4"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76" customWidth="1"/>
    <col min="17" max="17" width="19.44140625" style="3376" customWidth="1"/>
    <col min="18" max="18" width="6.109375" style="3376" customWidth="1"/>
    <col min="19" max="19" width="4.33203125" style="3376" customWidth="1"/>
    <col min="20" max="20" width="6.109375" style="3376" customWidth="1"/>
    <col min="21" max="21" width="4.33203125" style="3376" customWidth="1"/>
    <col min="22" max="22" width="6.109375" style="3376" customWidth="1"/>
    <col min="23" max="23" width="4.33203125" style="3376"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620"/>
      <c r="M4" s="621"/>
      <c r="N4" s="621"/>
      <c r="O4" s="621"/>
      <c r="P4" s="4427" t="s">
        <v>1693</v>
      </c>
      <c r="Q4" s="4428"/>
      <c r="R4" s="4433" t="s">
        <v>1689</v>
      </c>
      <c r="S4" s="4434"/>
      <c r="T4" s="4433" t="s">
        <v>1690</v>
      </c>
      <c r="U4" s="4434"/>
      <c r="V4" s="4439" t="s">
        <v>1691</v>
      </c>
      <c r="W4" s="4439"/>
      <c r="X4" s="947"/>
      <c r="Y4" s="4448" t="s">
        <v>1693</v>
      </c>
      <c r="Z4" s="4449"/>
      <c r="AA4" s="4420" t="s">
        <v>1689</v>
      </c>
      <c r="AB4" s="4421" t="s">
        <v>1690</v>
      </c>
      <c r="AC4" s="4420" t="s">
        <v>1691</v>
      </c>
    </row>
    <row r="5" spans="1:29">
      <c r="A5" s="239"/>
      <c r="B5" s="240"/>
      <c r="C5" s="4479" t="s">
        <v>1591</v>
      </c>
      <c r="D5" s="4480"/>
      <c r="E5" s="4487" t="s">
        <v>1592</v>
      </c>
      <c r="F5" s="4488"/>
      <c r="G5" s="4479" t="s">
        <v>1593</v>
      </c>
      <c r="H5" s="4480"/>
      <c r="I5" s="4479" t="s">
        <v>1594</v>
      </c>
      <c r="J5" s="4480"/>
      <c r="K5" s="397"/>
      <c r="L5" s="620"/>
      <c r="M5" s="621"/>
      <c r="N5" s="621"/>
      <c r="O5" s="621"/>
      <c r="P5" s="4429"/>
      <c r="Q5" s="4430"/>
      <c r="R5" s="4435"/>
      <c r="S5" s="4436"/>
      <c r="T5" s="4435"/>
      <c r="U5" s="4436"/>
      <c r="V5" s="4439"/>
      <c r="W5" s="4439"/>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620"/>
      <c r="M6" s="621"/>
      <c r="N6" s="621"/>
      <c r="O6" s="621"/>
      <c r="P6" s="4431"/>
      <c r="Q6" s="4432"/>
      <c r="R6" s="4435"/>
      <c r="S6" s="4436"/>
      <c r="T6" s="4437"/>
      <c r="U6" s="4438"/>
      <c r="V6" s="4439"/>
      <c r="W6" s="4439"/>
      <c r="X6" s="947"/>
      <c r="Y6" s="4452"/>
      <c r="Z6" s="4453"/>
      <c r="AA6" s="4422"/>
      <c r="AB6" s="4422"/>
      <c r="AC6" s="4422"/>
    </row>
    <row r="7" spans="1:29" s="46" customFormat="1" ht="1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44" t="s">
        <v>1598</v>
      </c>
      <c r="Q7" s="4454"/>
      <c r="R7" s="4017" t="s">
        <v>13</v>
      </c>
      <c r="S7" s="3787">
        <f t="shared" ref="S7:S15" si="0">F7</f>
        <v>0</v>
      </c>
      <c r="T7" s="4017" t="s">
        <v>13</v>
      </c>
      <c r="U7" s="3787">
        <f t="shared" ref="U7:U15" si="1">H7</f>
        <v>0</v>
      </c>
      <c r="V7" s="4017" t="s">
        <v>13</v>
      </c>
      <c r="W7" s="3787">
        <f t="shared" ref="W7:W15" si="2">J7</f>
        <v>0</v>
      </c>
      <c r="X7" s="493"/>
      <c r="Y7" s="4446" t="s">
        <v>1598</v>
      </c>
      <c r="Z7" s="4447"/>
      <c r="AA7" s="28" t="e">
        <f>D7/F7</f>
        <v>#DIV/0!</v>
      </c>
      <c r="AB7" s="28" t="e">
        <f>D7/H7</f>
        <v>#DIV/0!</v>
      </c>
      <c r="AC7" s="28" t="e">
        <f>D7/J7</f>
        <v>#DIV/0!</v>
      </c>
    </row>
    <row r="8" spans="1:29" s="46" customFormat="1" ht="1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44" t="s">
        <v>1601</v>
      </c>
      <c r="Q8" s="4445"/>
      <c r="R8" s="4017" t="s">
        <v>13</v>
      </c>
      <c r="S8" s="3787">
        <f t="shared" si="0"/>
        <v>100</v>
      </c>
      <c r="T8" s="4017" t="s">
        <v>13</v>
      </c>
      <c r="U8" s="3787">
        <f t="shared" si="1"/>
        <v>100</v>
      </c>
      <c r="V8" s="4017" t="s">
        <v>13</v>
      </c>
      <c r="W8" s="3787">
        <f t="shared" si="2"/>
        <v>100</v>
      </c>
      <c r="X8" s="493"/>
      <c r="Y8" s="4446" t="s">
        <v>1601</v>
      </c>
      <c r="Z8" s="4447"/>
      <c r="AA8" s="28">
        <f t="shared" ref="AA8:AA40" si="3">D8/F8</f>
        <v>1</v>
      </c>
      <c r="AB8" s="28">
        <f t="shared" ref="AB8:AB40" si="4">D8/H8</f>
        <v>1</v>
      </c>
      <c r="AC8" s="28">
        <f t="shared" ref="AC8:AC40" si="5">D8/J8</f>
        <v>1</v>
      </c>
    </row>
    <row r="9" spans="1:29" s="46" customFormat="1" ht="14.4">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04" t="s">
        <v>1604</v>
      </c>
      <c r="Q9" s="1745" t="str">
        <f t="shared" ref="Q9:Q15" si="6">B9</f>
        <v>用途</v>
      </c>
      <c r="R9" s="4017" t="s">
        <v>13</v>
      </c>
      <c r="S9" s="3787">
        <f t="shared" si="0"/>
        <v>100</v>
      </c>
      <c r="T9" s="4017" t="s">
        <v>13</v>
      </c>
      <c r="U9" s="3787">
        <f t="shared" si="1"/>
        <v>100</v>
      </c>
      <c r="V9" s="4017" t="s">
        <v>13</v>
      </c>
      <c r="W9" s="3787">
        <f t="shared" si="2"/>
        <v>100</v>
      </c>
      <c r="X9" s="493"/>
      <c r="Y9" s="4419" t="s">
        <v>1605</v>
      </c>
      <c r="Z9" s="28" t="str">
        <f t="shared" ref="Z9:Z15" si="7">Q9</f>
        <v>用途</v>
      </c>
      <c r="AA9" s="28">
        <f t="shared" si="3"/>
        <v>1</v>
      </c>
      <c r="AB9" s="28">
        <f t="shared" si="4"/>
        <v>1</v>
      </c>
      <c r="AC9" s="28">
        <f t="shared" si="5"/>
        <v>1</v>
      </c>
    </row>
    <row r="10" spans="1:29" s="254" customFormat="1" ht="28.8">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04"/>
      <c r="Q10" s="1745" t="str">
        <f t="shared" si="6"/>
        <v>土地使用年限（年）</v>
      </c>
      <c r="R10" s="4017" t="s">
        <v>13</v>
      </c>
      <c r="S10" s="3787">
        <f t="shared" si="0"/>
        <v>100</v>
      </c>
      <c r="T10" s="4017" t="s">
        <v>13</v>
      </c>
      <c r="U10" s="3787">
        <f t="shared" si="1"/>
        <v>100</v>
      </c>
      <c r="V10" s="4017" t="s">
        <v>13</v>
      </c>
      <c r="W10" s="3787">
        <f t="shared" si="2"/>
        <v>100</v>
      </c>
      <c r="X10" s="493"/>
      <c r="Y10" s="4419"/>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4"/>
      <c r="Q11" s="1745" t="str">
        <f t="shared" si="6"/>
        <v>容积率</v>
      </c>
      <c r="R11" s="4017" t="s">
        <v>13</v>
      </c>
      <c r="S11" s="3787">
        <f t="shared" si="0"/>
        <v>100</v>
      </c>
      <c r="T11" s="4017" t="s">
        <v>13</v>
      </c>
      <c r="U11" s="3787">
        <f t="shared" si="1"/>
        <v>100</v>
      </c>
      <c r="V11" s="4017" t="s">
        <v>13</v>
      </c>
      <c r="W11" s="3787">
        <f t="shared" si="2"/>
        <v>100</v>
      </c>
      <c r="X11" s="493"/>
      <c r="Y11" s="4419"/>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04"/>
      <c r="Q12" s="1745">
        <f t="shared" si="6"/>
        <v>111</v>
      </c>
      <c r="R12" s="4017" t="s">
        <v>13</v>
      </c>
      <c r="S12" s="3787">
        <f t="shared" si="0"/>
        <v>100</v>
      </c>
      <c r="T12" s="4017" t="s">
        <v>13</v>
      </c>
      <c r="U12" s="3787">
        <f t="shared" si="1"/>
        <v>100</v>
      </c>
      <c r="V12" s="4017" t="s">
        <v>13</v>
      </c>
      <c r="W12" s="3787">
        <f t="shared" si="2"/>
        <v>100</v>
      </c>
      <c r="X12" s="493"/>
      <c r="Y12" s="4419"/>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04"/>
      <c r="Q13" s="1745">
        <f t="shared" si="6"/>
        <v>111</v>
      </c>
      <c r="R13" s="4017" t="s">
        <v>13</v>
      </c>
      <c r="S13" s="3787">
        <f t="shared" si="0"/>
        <v>100</v>
      </c>
      <c r="T13" s="4017" t="s">
        <v>13</v>
      </c>
      <c r="U13" s="3787">
        <f t="shared" si="1"/>
        <v>100</v>
      </c>
      <c r="V13" s="4017" t="s">
        <v>13</v>
      </c>
      <c r="W13" s="3787">
        <f t="shared" si="2"/>
        <v>100</v>
      </c>
      <c r="X13" s="493"/>
      <c r="Y13" s="4419"/>
      <c r="Z13" s="28">
        <f t="shared" si="7"/>
        <v>111</v>
      </c>
      <c r="AA13" s="28">
        <f t="shared" si="3"/>
        <v>1</v>
      </c>
      <c r="AB13" s="28">
        <f t="shared" si="4"/>
        <v>1</v>
      </c>
      <c r="AC13" s="28">
        <f t="shared" si="5"/>
        <v>1</v>
      </c>
    </row>
    <row r="14" spans="1:29" ht="15.6"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04"/>
      <c r="Q14" s="1745">
        <f t="shared" si="6"/>
        <v>111</v>
      </c>
      <c r="R14" s="4017" t="s">
        <v>13</v>
      </c>
      <c r="S14" s="3787">
        <f t="shared" si="0"/>
        <v>100</v>
      </c>
      <c r="T14" s="4017" t="s">
        <v>13</v>
      </c>
      <c r="U14" s="3787">
        <f t="shared" si="1"/>
        <v>100</v>
      </c>
      <c r="V14" s="4017" t="s">
        <v>13</v>
      </c>
      <c r="W14" s="3787">
        <f t="shared" si="2"/>
        <v>100</v>
      </c>
      <c r="X14" s="493"/>
      <c r="Y14" s="4419"/>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89" t="s">
        <v>1609</v>
      </c>
      <c r="Q15" s="1545" t="str">
        <f t="shared" si="6"/>
        <v>产业集聚程度</v>
      </c>
      <c r="R15" s="4018" t="s">
        <v>13</v>
      </c>
      <c r="S15" s="4020">
        <f t="shared" si="0"/>
        <v>100</v>
      </c>
      <c r="T15" s="4018" t="s">
        <v>13</v>
      </c>
      <c r="U15" s="4020">
        <f t="shared" si="1"/>
        <v>100</v>
      </c>
      <c r="V15" s="4018" t="s">
        <v>13</v>
      </c>
      <c r="W15" s="4020">
        <f t="shared" si="2"/>
        <v>100</v>
      </c>
      <c r="X15" s="947"/>
      <c r="Y15" s="4411"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0"/>
      <c r="Q16" s="1545"/>
      <c r="R16" s="4018"/>
      <c r="S16" s="4020"/>
      <c r="T16" s="4018"/>
      <c r="U16" s="4020"/>
      <c r="V16" s="4018"/>
      <c r="W16" s="4020"/>
      <c r="X16" s="947"/>
      <c r="Y16" s="4412"/>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0"/>
      <c r="Q17" s="1545" t="str">
        <f>B17</f>
        <v>交通便捷度</v>
      </c>
      <c r="R17" s="4018" t="s">
        <v>13</v>
      </c>
      <c r="S17" s="4020">
        <f>F17</f>
        <v>100</v>
      </c>
      <c r="T17" s="4018" t="s">
        <v>13</v>
      </c>
      <c r="U17" s="4020">
        <f>H17</f>
        <v>100</v>
      </c>
      <c r="V17" s="4018" t="s">
        <v>13</v>
      </c>
      <c r="W17" s="4020">
        <f>J17</f>
        <v>100</v>
      </c>
      <c r="X17" s="947"/>
      <c r="Y17" s="4412"/>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0"/>
      <c r="Q18" s="1545"/>
      <c r="R18" s="4018"/>
      <c r="S18" s="4020"/>
      <c r="T18" s="4018"/>
      <c r="U18" s="4020"/>
      <c r="V18" s="4018"/>
      <c r="W18" s="4020"/>
      <c r="X18" s="947"/>
      <c r="Y18" s="4412"/>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0"/>
      <c r="Q19" s="1545" t="str">
        <f>B19</f>
        <v>公共配套设施</v>
      </c>
      <c r="R19" s="4018" t="s">
        <v>13</v>
      </c>
      <c r="S19" s="4020">
        <f>F19</f>
        <v>100</v>
      </c>
      <c r="T19" s="4018" t="s">
        <v>13</v>
      </c>
      <c r="U19" s="4020">
        <f>H19</f>
        <v>100</v>
      </c>
      <c r="V19" s="4018" t="s">
        <v>13</v>
      </c>
      <c r="W19" s="4020">
        <f>J19</f>
        <v>100</v>
      </c>
      <c r="X19" s="947"/>
      <c r="Y19" s="4412"/>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0"/>
      <c r="Q20" s="1545"/>
      <c r="R20" s="4018"/>
      <c r="S20" s="4020"/>
      <c r="T20" s="4018"/>
      <c r="U20" s="4020"/>
      <c r="V20" s="4018"/>
      <c r="W20" s="4020"/>
      <c r="X20" s="947"/>
      <c r="Y20" s="4412"/>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0"/>
      <c r="Q21" s="1545" t="str">
        <f>B21</f>
        <v>基础设施水平</v>
      </c>
      <c r="R21" s="4018" t="s">
        <v>13</v>
      </c>
      <c r="S21" s="4020">
        <f>F21</f>
        <v>100</v>
      </c>
      <c r="T21" s="4018" t="s">
        <v>13</v>
      </c>
      <c r="U21" s="4020">
        <f>H21</f>
        <v>100</v>
      </c>
      <c r="V21" s="4018" t="s">
        <v>13</v>
      </c>
      <c r="W21" s="4020">
        <f>J21</f>
        <v>100</v>
      </c>
      <c r="X21" s="947"/>
      <c r="Y21" s="4412"/>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0"/>
      <c r="Q22" s="1545"/>
      <c r="R22" s="4018"/>
      <c r="S22" s="4020"/>
      <c r="T22" s="4018"/>
      <c r="U22" s="4020"/>
      <c r="V22" s="4018"/>
      <c r="W22" s="4020"/>
      <c r="X22" s="947"/>
      <c r="Y22" s="4412"/>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0"/>
      <c r="Q23" s="1545" t="str">
        <f>B23</f>
        <v>环境质量</v>
      </c>
      <c r="R23" s="4018" t="s">
        <v>13</v>
      </c>
      <c r="S23" s="4020">
        <f>F23</f>
        <v>100</v>
      </c>
      <c r="T23" s="4018" t="s">
        <v>13</v>
      </c>
      <c r="U23" s="4020">
        <f>H23</f>
        <v>100</v>
      </c>
      <c r="V23" s="4018" t="s">
        <v>13</v>
      </c>
      <c r="W23" s="4020">
        <f>J23</f>
        <v>100</v>
      </c>
      <c r="X23" s="947"/>
      <c r="Y23" s="4412"/>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0"/>
      <c r="Q24" s="1545"/>
      <c r="R24" s="4018"/>
      <c r="S24" s="4020"/>
      <c r="T24" s="4018"/>
      <c r="U24" s="4020"/>
      <c r="V24" s="4018"/>
      <c r="W24" s="4020"/>
      <c r="X24" s="947"/>
      <c r="Y24" s="4412"/>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0"/>
      <c r="Q25" s="1545">
        <f>B25</f>
        <v>111</v>
      </c>
      <c r="R25" s="4018" t="s">
        <v>13</v>
      </c>
      <c r="S25" s="4020">
        <f>F25</f>
        <v>100</v>
      </c>
      <c r="T25" s="4018" t="s">
        <v>13</v>
      </c>
      <c r="U25" s="4020">
        <f>H25</f>
        <v>100</v>
      </c>
      <c r="V25" s="4018" t="s">
        <v>13</v>
      </c>
      <c r="W25" s="4020">
        <f>J25</f>
        <v>100</v>
      </c>
      <c r="X25" s="947"/>
      <c r="Y25" s="4412"/>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0"/>
      <c r="Q26" s="1545">
        <f t="shared" ref="Q26:Q40" si="11">B26</f>
        <v>111</v>
      </c>
      <c r="R26" s="4018" t="s">
        <v>13</v>
      </c>
      <c r="S26" s="4020">
        <f>F26</f>
        <v>100</v>
      </c>
      <c r="T26" s="4018" t="s">
        <v>13</v>
      </c>
      <c r="U26" s="4020">
        <f>H26</f>
        <v>100</v>
      </c>
      <c r="V26" s="4018" t="s">
        <v>13</v>
      </c>
      <c r="W26" s="4020">
        <f>J26</f>
        <v>100</v>
      </c>
      <c r="X26" s="947"/>
      <c r="Y26" s="4412"/>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0"/>
      <c r="Q27" s="1745">
        <f t="shared" si="11"/>
        <v>111</v>
      </c>
      <c r="R27" s="4017" t="s">
        <v>13</v>
      </c>
      <c r="S27" s="3787">
        <f>F27</f>
        <v>100</v>
      </c>
      <c r="T27" s="4017" t="s">
        <v>13</v>
      </c>
      <c r="U27" s="3787">
        <f>H27</f>
        <v>100</v>
      </c>
      <c r="V27" s="4017" t="s">
        <v>13</v>
      </c>
      <c r="W27" s="3787">
        <f>J27</f>
        <v>100</v>
      </c>
      <c r="X27" s="493"/>
      <c r="Y27" s="4412"/>
      <c r="Z27" s="28">
        <f>Q27</f>
        <v>111</v>
      </c>
      <c r="AA27" s="945">
        <f>D27/F27</f>
        <v>1</v>
      </c>
      <c r="AB27" s="945">
        <f>D27/H27</f>
        <v>1</v>
      </c>
      <c r="AC27" s="945">
        <f>D27/J27</f>
        <v>1</v>
      </c>
    </row>
    <row r="28" spans="1:29" ht="15.6"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0"/>
      <c r="Q28" s="1545">
        <f t="shared" si="11"/>
        <v>111</v>
      </c>
      <c r="R28" s="4018" t="s">
        <v>13</v>
      </c>
      <c r="S28" s="4020">
        <f t="shared" ref="S28:S40" si="12">F28</f>
        <v>100</v>
      </c>
      <c r="T28" s="4018" t="s">
        <v>13</v>
      </c>
      <c r="U28" s="4020">
        <f t="shared" ref="U28:U40" si="13">H28</f>
        <v>100</v>
      </c>
      <c r="V28" s="4018" t="s">
        <v>13</v>
      </c>
      <c r="W28" s="4020">
        <f t="shared" ref="W28:W40" si="14">J28</f>
        <v>100</v>
      </c>
      <c r="X28" s="947"/>
      <c r="Y28" s="4412"/>
      <c r="Z28" s="945">
        <f t="shared" ref="Z28:Z40" si="15">Q28</f>
        <v>111</v>
      </c>
      <c r="AA28" s="945">
        <f t="shared" si="3"/>
        <v>1</v>
      </c>
      <c r="AB28" s="945">
        <f t="shared" si="4"/>
        <v>1</v>
      </c>
      <c r="AC28" s="945">
        <f t="shared" si="5"/>
        <v>1</v>
      </c>
    </row>
    <row r="29" spans="1:29" ht="30">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1" t="s">
        <v>1614</v>
      </c>
      <c r="Q29" s="1545" t="str">
        <f t="shared" si="11"/>
        <v>建筑类型</v>
      </c>
      <c r="R29" s="4018" t="s">
        <v>13</v>
      </c>
      <c r="S29" s="4020">
        <f t="shared" si="12"/>
        <v>100</v>
      </c>
      <c r="T29" s="4018" t="s">
        <v>13</v>
      </c>
      <c r="U29" s="4020">
        <f t="shared" si="13"/>
        <v>100</v>
      </c>
      <c r="V29" s="4018" t="s">
        <v>13</v>
      </c>
      <c r="W29" s="4020">
        <f t="shared" si="14"/>
        <v>100</v>
      </c>
      <c r="X29" s="947"/>
      <c r="Y29" s="4416"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2"/>
      <c r="Q30" s="392" t="str">
        <f t="shared" si="11"/>
        <v>项目建筑规模</v>
      </c>
      <c r="R30" s="4019" t="s">
        <v>13</v>
      </c>
      <c r="S30" s="4021" t="e">
        <f t="shared" si="12"/>
        <v>#N/A</v>
      </c>
      <c r="T30" s="4019" t="s">
        <v>13</v>
      </c>
      <c r="U30" s="4021" t="e">
        <f t="shared" si="13"/>
        <v>#N/A</v>
      </c>
      <c r="V30" s="4019" t="s">
        <v>13</v>
      </c>
      <c r="W30" s="4021" t="e">
        <f t="shared" si="14"/>
        <v>#N/A</v>
      </c>
      <c r="X30" s="494"/>
      <c r="Y30" s="4416"/>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2"/>
      <c r="Q31" s="1545" t="str">
        <f t="shared" si="11"/>
        <v>建筑结构</v>
      </c>
      <c r="R31" s="4018" t="s">
        <v>13</v>
      </c>
      <c r="S31" s="4020">
        <f t="shared" si="12"/>
        <v>100</v>
      </c>
      <c r="T31" s="4018" t="s">
        <v>13</v>
      </c>
      <c r="U31" s="4020">
        <f t="shared" si="13"/>
        <v>100</v>
      </c>
      <c r="V31" s="4018" t="s">
        <v>13</v>
      </c>
      <c r="W31" s="4020">
        <f t="shared" si="14"/>
        <v>100</v>
      </c>
      <c r="X31" s="947"/>
      <c r="Y31" s="4416"/>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2"/>
      <c r="Q32" s="1545" t="str">
        <f t="shared" si="11"/>
        <v>公共部分装修</v>
      </c>
      <c r="R32" s="4018" t="s">
        <v>13</v>
      </c>
      <c r="S32" s="4020">
        <f t="shared" si="12"/>
        <v>100</v>
      </c>
      <c r="T32" s="4018" t="s">
        <v>13</v>
      </c>
      <c r="U32" s="4020">
        <f t="shared" si="13"/>
        <v>100</v>
      </c>
      <c r="V32" s="4018" t="s">
        <v>13</v>
      </c>
      <c r="W32" s="4020">
        <f t="shared" si="14"/>
        <v>100</v>
      </c>
      <c r="X32" s="947"/>
      <c r="Y32" s="4416"/>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2"/>
      <c r="Q33" s="1545" t="str">
        <f t="shared" si="11"/>
        <v>成新度</v>
      </c>
      <c r="R33" s="4018" t="s">
        <v>13</v>
      </c>
      <c r="S33" s="4020" t="e">
        <f t="shared" si="12"/>
        <v>#N/A</v>
      </c>
      <c r="T33" s="4018" t="s">
        <v>13</v>
      </c>
      <c r="U33" s="4020" t="e">
        <f t="shared" si="13"/>
        <v>#N/A</v>
      </c>
      <c r="V33" s="4018" t="s">
        <v>13</v>
      </c>
      <c r="W33" s="4020" t="e">
        <f t="shared" si="14"/>
        <v>#N/A</v>
      </c>
      <c r="X33" s="947"/>
      <c r="Y33" s="4416"/>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2"/>
      <c r="Q34" s="1745" t="str">
        <f t="shared" si="11"/>
        <v>物业管理</v>
      </c>
      <c r="R34" s="4017" t="s">
        <v>13</v>
      </c>
      <c r="S34" s="3787">
        <f t="shared" si="12"/>
        <v>100</v>
      </c>
      <c r="T34" s="4017" t="s">
        <v>13</v>
      </c>
      <c r="U34" s="3787">
        <f t="shared" si="13"/>
        <v>100</v>
      </c>
      <c r="V34" s="4017" t="s">
        <v>13</v>
      </c>
      <c r="W34" s="3787">
        <f t="shared" si="14"/>
        <v>100</v>
      </c>
      <c r="X34" s="493"/>
      <c r="Y34" s="4416"/>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2" t="s">
        <v>1614</v>
      </c>
      <c r="Q35" s="1545" t="str">
        <f t="shared" si="11"/>
        <v>市政基础设施</v>
      </c>
      <c r="R35" s="4018" t="s">
        <v>13</v>
      </c>
      <c r="S35" s="4020">
        <f t="shared" si="12"/>
        <v>100</v>
      </c>
      <c r="T35" s="4018" t="s">
        <v>13</v>
      </c>
      <c r="U35" s="4020">
        <f t="shared" si="13"/>
        <v>100</v>
      </c>
      <c r="V35" s="4018" t="s">
        <v>13</v>
      </c>
      <c r="W35" s="4020">
        <f t="shared" si="14"/>
        <v>100</v>
      </c>
      <c r="X35" s="947"/>
      <c r="Y35" s="4416"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2"/>
      <c r="Q36" s="1545" t="str">
        <f t="shared" si="11"/>
        <v>内部装修</v>
      </c>
      <c r="R36" s="4018" t="s">
        <v>13</v>
      </c>
      <c r="S36" s="4020">
        <f t="shared" si="12"/>
        <v>100</v>
      </c>
      <c r="T36" s="4018" t="s">
        <v>13</v>
      </c>
      <c r="U36" s="4020">
        <f t="shared" si="13"/>
        <v>100</v>
      </c>
      <c r="V36" s="4018" t="s">
        <v>13</v>
      </c>
      <c r="W36" s="4020">
        <f t="shared" si="14"/>
        <v>100</v>
      </c>
      <c r="X36" s="947"/>
      <c r="Y36" s="4416"/>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2"/>
      <c r="Q37" s="1545" t="str">
        <f t="shared" si="11"/>
        <v>内部装修状况</v>
      </c>
      <c r="R37" s="4018" t="s">
        <v>13</v>
      </c>
      <c r="S37" s="4020">
        <f t="shared" si="12"/>
        <v>100</v>
      </c>
      <c r="T37" s="4018" t="s">
        <v>13</v>
      </c>
      <c r="U37" s="4020">
        <f t="shared" si="13"/>
        <v>100</v>
      </c>
      <c r="V37" s="4018" t="s">
        <v>13</v>
      </c>
      <c r="W37" s="4020">
        <f t="shared" si="14"/>
        <v>100</v>
      </c>
      <c r="X37" s="947"/>
      <c r="Y37" s="4416"/>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2"/>
      <c r="Q38" s="392">
        <f t="shared" si="11"/>
        <v>111</v>
      </c>
      <c r="R38" s="4019" t="s">
        <v>13</v>
      </c>
      <c r="S38" s="4021">
        <f t="shared" si="12"/>
        <v>100</v>
      </c>
      <c r="T38" s="4019" t="s">
        <v>13</v>
      </c>
      <c r="U38" s="4021">
        <f t="shared" si="13"/>
        <v>100</v>
      </c>
      <c r="V38" s="4019" t="s">
        <v>13</v>
      </c>
      <c r="W38" s="4021">
        <f t="shared" si="14"/>
        <v>100</v>
      </c>
      <c r="X38" s="494"/>
      <c r="Y38" s="4416"/>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2"/>
      <c r="Q39" s="1545">
        <f t="shared" si="11"/>
        <v>111</v>
      </c>
      <c r="R39" s="4018" t="s">
        <v>13</v>
      </c>
      <c r="S39" s="4020">
        <f t="shared" si="12"/>
        <v>100</v>
      </c>
      <c r="T39" s="4018" t="s">
        <v>13</v>
      </c>
      <c r="U39" s="4020">
        <f t="shared" si="13"/>
        <v>100</v>
      </c>
      <c r="V39" s="4018" t="s">
        <v>13</v>
      </c>
      <c r="W39" s="4020">
        <f t="shared" si="14"/>
        <v>100</v>
      </c>
      <c r="X39" s="947"/>
      <c r="Y39" s="4416"/>
      <c r="Z39" s="945">
        <f t="shared" si="15"/>
        <v>111</v>
      </c>
      <c r="AA39" s="945">
        <f t="shared" si="3"/>
        <v>1</v>
      </c>
      <c r="AB39" s="945">
        <f t="shared" si="4"/>
        <v>1</v>
      </c>
      <c r="AC39" s="945">
        <f t="shared" si="5"/>
        <v>1</v>
      </c>
    </row>
    <row r="40" spans="1:29" ht="15.6"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3"/>
      <c r="Q40" s="1545">
        <f t="shared" si="11"/>
        <v>111</v>
      </c>
      <c r="R40" s="4018" t="s">
        <v>13</v>
      </c>
      <c r="S40" s="4020">
        <f t="shared" si="12"/>
        <v>100</v>
      </c>
      <c r="T40" s="4018" t="s">
        <v>13</v>
      </c>
      <c r="U40" s="4020">
        <f t="shared" si="13"/>
        <v>100</v>
      </c>
      <c r="V40" s="4018" t="s">
        <v>13</v>
      </c>
      <c r="W40" s="4020">
        <f t="shared" si="14"/>
        <v>100</v>
      </c>
      <c r="X40" s="947"/>
      <c r="Y40" s="4417"/>
      <c r="Z40" s="945">
        <f t="shared" si="15"/>
        <v>111</v>
      </c>
      <c r="AA40" s="945">
        <f t="shared" si="3"/>
        <v>1</v>
      </c>
      <c r="AB40" s="945">
        <f t="shared" si="4"/>
        <v>1</v>
      </c>
      <c r="AC40" s="945">
        <f t="shared" si="5"/>
        <v>1</v>
      </c>
    </row>
    <row r="41" spans="1:29" ht="14.4">
      <c r="A41" s="287" t="s">
        <v>1626</v>
      </c>
      <c r="B41" s="288"/>
      <c r="C41" s="799" t="s">
        <v>0</v>
      </c>
      <c r="D41" s="289"/>
      <c r="E41" s="3416"/>
      <c r="F41" s="3341"/>
      <c r="G41" s="3417"/>
      <c r="H41" s="3342"/>
      <c r="I41" s="3416"/>
      <c r="J41" s="3342"/>
      <c r="K41" s="3007"/>
      <c r="L41" s="633"/>
      <c r="M41" s="621"/>
      <c r="N41" s="621"/>
      <c r="O41" s="621"/>
      <c r="P41" s="4404" t="str">
        <f>A41</f>
        <v>成交单价（元/平方米）</v>
      </c>
      <c r="Q41" s="4404"/>
      <c r="R41" s="4405">
        <f>E41</f>
        <v>0</v>
      </c>
      <c r="S41" s="4405"/>
      <c r="T41" s="4405">
        <f>G41</f>
        <v>0</v>
      </c>
      <c r="U41" s="4405"/>
      <c r="V41" s="4405">
        <f>I41</f>
        <v>0</v>
      </c>
      <c r="W41" s="4405"/>
      <c r="X41" s="266"/>
      <c r="Y41" s="496"/>
      <c r="Z41" s="266"/>
      <c r="AA41" s="266"/>
      <c r="AB41" s="266"/>
      <c r="AC41" s="266"/>
    </row>
    <row r="42" spans="1:29" ht="1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04" t="str">
        <f>A42</f>
        <v>比较价值（元/平方米）</v>
      </c>
      <c r="Q42" s="4404"/>
      <c r="R42" s="4405" t="e">
        <f>IF(F1="售价",ROUND(PRODUCT(R41,AA7:AA40),0),ROUND(PRODUCT(R41,AA7:AA40),1))</f>
        <v>#DIV/0!</v>
      </c>
      <c r="S42" s="4405"/>
      <c r="T42" s="4405" t="e">
        <f>IF(F1="售价",ROUND(PRODUCT(T41,AB7:AB40),0),ROUND(PRODUCT(T41,AB7:AB40),1))</f>
        <v>#DIV/0!</v>
      </c>
      <c r="U42" s="4405"/>
      <c r="V42" s="4405" t="e">
        <f>IF(F1="售价",ROUND(PRODUCT(V41,AC7:AC40),0),ROUND(PRODUCT(V41,AC7:AC40),1))</f>
        <v>#DIV/0!</v>
      </c>
      <c r="W42" s="4405"/>
      <c r="X42" s="266"/>
      <c r="Y42" s="266"/>
      <c r="Z42" s="266"/>
      <c r="AA42" s="266"/>
      <c r="AB42" s="266"/>
      <c r="AC42" s="266"/>
    </row>
    <row r="43" spans="1:29" ht="15" thickBot="1">
      <c r="A43" s="292" t="s">
        <v>1712</v>
      </c>
      <c r="B43" s="293"/>
      <c r="C43" s="4003" t="e">
        <f>R43</f>
        <v>#DIV/0!</v>
      </c>
      <c r="D43" s="242"/>
      <c r="E43" s="242"/>
      <c r="F43" s="242"/>
      <c r="G43" s="242"/>
      <c r="H43" s="242"/>
      <c r="I43" s="242"/>
      <c r="J43" s="242"/>
      <c r="K43" s="497"/>
      <c r="L43" s="633"/>
      <c r="M43" s="621"/>
      <c r="N43" s="621"/>
      <c r="O43" s="621"/>
      <c r="P43" s="4406" t="str">
        <f>A43</f>
        <v>估价对象XX用房的比较价值（楼面单价，元/平方米）</v>
      </c>
      <c r="Q43" s="4407"/>
      <c r="R43" s="4408" t="e">
        <f>IF(F1="售价",ROUND(IF(D42="简单平均",AVERAGE(R42:V42),R42*F42+T42*H42+V42*J42),0),ROUND(IF(D42="简单平均",AVERAGE(R42:V42),R42*F42+T42*H42+V42*J42),1))</f>
        <v>#DIV/0!</v>
      </c>
      <c r="S43" s="4408"/>
      <c r="T43" s="4408"/>
      <c r="U43" s="4408"/>
      <c r="V43" s="4408"/>
      <c r="W43" s="440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2.2" thickBot="1">
      <c r="A51" s="487" t="s">
        <v>1716</v>
      </c>
      <c r="B51" s="266"/>
      <c r="C51" s="488"/>
      <c r="D51" s="488"/>
      <c r="E51" s="488"/>
      <c r="F51" s="489"/>
      <c r="G51" s="489"/>
      <c r="H51" s="488"/>
      <c r="I51" s="488"/>
      <c r="J51" s="488"/>
      <c r="K51" s="647"/>
      <c r="L51" s="648"/>
      <c r="M51" s="646"/>
      <c r="N51" s="646"/>
      <c r="O51" s="646"/>
      <c r="P51" s="3378"/>
      <c r="Q51" s="3379"/>
    </row>
    <row r="52" spans="1:23" s="306" customFormat="1" ht="14.4">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4.4">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4.4"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ht="14.4">
      <c r="A57" s="263" t="s">
        <v>1637</v>
      </c>
      <c r="B57" s="323" t="s">
        <v>1603</v>
      </c>
      <c r="C57" s="324">
        <f>C9</f>
        <v>0</v>
      </c>
      <c r="D57" s="325"/>
      <c r="E57" s="325"/>
      <c r="F57" s="325"/>
      <c r="G57" s="325"/>
      <c r="H57" s="325"/>
      <c r="I57" s="325"/>
      <c r="J57" s="325"/>
      <c r="K57" s="326"/>
      <c r="L57" s="327"/>
      <c r="M57" s="328"/>
      <c r="N57" s="639"/>
      <c r="O57" s="639"/>
      <c r="P57" s="3382"/>
      <c r="Q57" s="3379"/>
    </row>
    <row r="58" spans="1:23" ht="14.4" thickBot="1">
      <c r="A58" s="255"/>
      <c r="B58" s="329"/>
      <c r="C58" s="330">
        <v>100</v>
      </c>
      <c r="D58" s="330"/>
      <c r="E58" s="330"/>
      <c r="F58" s="330"/>
      <c r="G58" s="330"/>
      <c r="H58" s="330"/>
      <c r="I58" s="330"/>
      <c r="J58" s="330"/>
      <c r="K58" s="330"/>
      <c r="L58" s="330"/>
      <c r="M58" s="331"/>
      <c r="N58" s="640"/>
      <c r="O58" s="640"/>
      <c r="P58" s="3382"/>
      <c r="Q58" s="3379"/>
    </row>
    <row r="59" spans="1:23" ht="29.4" thickTop="1">
      <c r="A59" s="255"/>
      <c r="B59" s="332" t="s">
        <v>1606</v>
      </c>
      <c r="C59" s="373"/>
      <c r="D59" s="373"/>
      <c r="E59" s="373"/>
      <c r="F59" s="373"/>
      <c r="G59" s="373"/>
      <c r="H59" s="373"/>
      <c r="I59" s="373"/>
      <c r="J59" s="373"/>
      <c r="K59" s="374"/>
      <c r="L59" s="375"/>
      <c r="M59" s="376"/>
      <c r="N59" s="639"/>
      <c r="O59" s="639"/>
      <c r="P59" s="3382"/>
      <c r="Q59" s="3379"/>
    </row>
    <row r="60" spans="1:23" ht="14.4" thickBot="1">
      <c r="A60" s="255"/>
      <c r="B60" s="337"/>
      <c r="C60" s="330"/>
      <c r="D60" s="330"/>
      <c r="E60" s="330"/>
      <c r="F60" s="330"/>
      <c r="G60" s="330"/>
      <c r="H60" s="330"/>
      <c r="I60" s="330"/>
      <c r="J60" s="330"/>
      <c r="K60" s="330"/>
      <c r="L60" s="330"/>
      <c r="M60" s="331"/>
      <c r="N60" s="640"/>
      <c r="O60" s="640"/>
      <c r="P60" s="3382"/>
      <c r="Q60" s="3379"/>
    </row>
    <row r="61" spans="1:23" ht="1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c r="A62" s="255"/>
      <c r="B62" s="342"/>
      <c r="C62" s="343">
        <v>0</v>
      </c>
      <c r="D62" s="343">
        <v>2</v>
      </c>
      <c r="E62" s="343"/>
      <c r="F62" s="343"/>
      <c r="G62" s="343"/>
      <c r="H62" s="343"/>
      <c r="I62" s="343"/>
      <c r="J62" s="343"/>
      <c r="K62" s="344"/>
      <c r="L62" s="345"/>
      <c r="M62" s="346"/>
      <c r="N62" s="639"/>
      <c r="O62" s="639"/>
      <c r="P62" s="3382"/>
      <c r="Q62" s="3379"/>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4.4"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4.4"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4.4"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4.4"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4.4"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4.4"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ht="14.4">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4.4"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4.4"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4.4"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4.4"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4.4"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4.4"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4.4" thickTop="1">
      <c r="A86" s="255"/>
      <c r="B86" s="340">
        <f>B28</f>
        <v>111</v>
      </c>
      <c r="C86" s="20"/>
      <c r="D86" s="20"/>
      <c r="E86" s="20"/>
      <c r="F86" s="20"/>
      <c r="G86" s="377"/>
      <c r="H86" s="377"/>
      <c r="I86" s="377"/>
      <c r="J86" s="377"/>
      <c r="K86" s="378"/>
      <c r="L86" s="379"/>
      <c r="M86" s="380"/>
      <c r="N86" s="639"/>
      <c r="O86" s="639"/>
      <c r="P86" s="3382"/>
      <c r="Q86" s="3379"/>
    </row>
    <row r="87" spans="1:23" ht="14.4" thickBot="1">
      <c r="A87" s="261"/>
      <c r="B87" s="361"/>
      <c r="C87" s="362"/>
      <c r="D87" s="362"/>
      <c r="E87" s="362"/>
      <c r="F87" s="362"/>
      <c r="G87" s="381"/>
      <c r="H87" s="381"/>
      <c r="I87" s="381"/>
      <c r="J87" s="381"/>
      <c r="K87" s="381"/>
      <c r="L87" s="381"/>
      <c r="M87" s="382"/>
      <c r="N87" s="640"/>
      <c r="O87" s="640"/>
      <c r="P87" s="3382"/>
      <c r="Q87" s="3379"/>
    </row>
    <row r="88" spans="1:23" ht="14.4">
      <c r="A88" s="263" t="s">
        <v>1612</v>
      </c>
      <c r="B88" s="323" t="s">
        <v>1654</v>
      </c>
      <c r="C88" s="325"/>
      <c r="D88" s="325"/>
      <c r="E88" s="325"/>
      <c r="F88" s="325"/>
      <c r="G88" s="325"/>
      <c r="H88" s="325"/>
      <c r="I88" s="325"/>
      <c r="J88" s="325"/>
      <c r="K88" s="326"/>
      <c r="L88" s="327"/>
      <c r="M88" s="328"/>
      <c r="N88" s="639"/>
      <c r="O88" s="639"/>
      <c r="P88" s="3382"/>
      <c r="Q88" s="3379"/>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4.4"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29.4"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4.4"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4.4"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4.4" thickTop="1">
      <c r="A110" s="281"/>
      <c r="B110" s="332">
        <f>B39</f>
        <v>111</v>
      </c>
      <c r="C110" s="348"/>
      <c r="D110" s="348"/>
      <c r="E110" s="348"/>
      <c r="F110" s="348"/>
      <c r="G110" s="348"/>
      <c r="H110" s="349"/>
      <c r="I110" s="349"/>
      <c r="J110" s="349"/>
      <c r="K110" s="349"/>
      <c r="L110" s="350"/>
      <c r="M110" s="351"/>
      <c r="N110" s="639"/>
      <c r="O110" s="639"/>
      <c r="P110" s="3382"/>
      <c r="Q110" s="3379"/>
    </row>
    <row r="111" spans="1:23" ht="14.4" thickBot="1">
      <c r="A111" s="255"/>
      <c r="B111" s="337"/>
      <c r="C111" s="353"/>
      <c r="D111" s="330"/>
      <c r="E111" s="330"/>
      <c r="F111" s="330"/>
      <c r="G111" s="353"/>
      <c r="H111" s="355"/>
      <c r="I111" s="355"/>
      <c r="J111" s="355"/>
      <c r="K111" s="355"/>
      <c r="L111" s="355"/>
      <c r="M111" s="356"/>
      <c r="N111" s="640"/>
      <c r="O111" s="640"/>
      <c r="P111" s="3382"/>
      <c r="Q111" s="3379"/>
    </row>
    <row r="112" spans="1:23" ht="14.4" thickTop="1">
      <c r="A112" s="281"/>
      <c r="B112" s="340">
        <f>B40</f>
        <v>111</v>
      </c>
      <c r="C112" s="20"/>
      <c r="D112" s="20"/>
      <c r="E112" s="20"/>
      <c r="F112" s="20"/>
      <c r="G112" s="377"/>
      <c r="H112" s="377"/>
      <c r="I112" s="377"/>
      <c r="J112" s="377"/>
      <c r="K112" s="20"/>
      <c r="L112" s="321"/>
      <c r="M112" s="380"/>
      <c r="N112" s="639"/>
      <c r="O112" s="639"/>
      <c r="P112" s="3382"/>
      <c r="Q112" s="3379"/>
    </row>
    <row r="113" spans="1:17" ht="14.4"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99" t="s">
        <v>1693</v>
      </c>
      <c r="Q4" s="4500"/>
      <c r="R4" s="4448" t="s">
        <v>1689</v>
      </c>
      <c r="S4" s="4449"/>
      <c r="T4" s="4448" t="s">
        <v>1690</v>
      </c>
      <c r="U4" s="4449"/>
      <c r="V4" s="4457" t="s">
        <v>1691</v>
      </c>
      <c r="W4" s="4457"/>
      <c r="X4" s="947"/>
      <c r="Y4" s="4448" t="s">
        <v>1693</v>
      </c>
      <c r="Z4" s="4449"/>
      <c r="AA4" s="4420" t="s">
        <v>1689</v>
      </c>
      <c r="AB4" s="4421" t="s">
        <v>1690</v>
      </c>
      <c r="AC4" s="4420" t="s">
        <v>1691</v>
      </c>
    </row>
    <row r="5" spans="1:29">
      <c r="A5" s="239"/>
      <c r="B5" s="240"/>
      <c r="C5" s="4479" t="s">
        <v>1591</v>
      </c>
      <c r="D5" s="4480"/>
      <c r="E5" s="4487" t="s">
        <v>1592</v>
      </c>
      <c r="F5" s="4488"/>
      <c r="G5" s="4479" t="s">
        <v>1593</v>
      </c>
      <c r="H5" s="4480"/>
      <c r="I5" s="4479" t="s">
        <v>1594</v>
      </c>
      <c r="J5" s="4480"/>
      <c r="K5" s="397"/>
      <c r="L5" s="2020"/>
      <c r="M5" s="2021"/>
      <c r="N5" s="2021"/>
      <c r="O5" s="2021"/>
      <c r="P5" s="4501"/>
      <c r="Q5" s="4502"/>
      <c r="R5" s="4450"/>
      <c r="S5" s="4451"/>
      <c r="T5" s="4450"/>
      <c r="U5" s="4451"/>
      <c r="V5" s="4457"/>
      <c r="W5" s="4457"/>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503"/>
      <c r="Q6" s="4504"/>
      <c r="R6" s="4450"/>
      <c r="S6" s="4451"/>
      <c r="T6" s="4452"/>
      <c r="U6" s="4453"/>
      <c r="V6" s="4457"/>
      <c r="W6" s="4457"/>
      <c r="X6" s="947"/>
      <c r="Y6" s="4452"/>
      <c r="Z6" s="4453"/>
      <c r="AA6" s="4422"/>
      <c r="AB6" s="4422"/>
      <c r="AC6" s="4422"/>
    </row>
    <row r="7" spans="1:29" s="46" customFormat="1" ht="1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46" t="s">
        <v>1598</v>
      </c>
      <c r="Q7" s="4505"/>
      <c r="R7" s="4024" t="s">
        <v>13</v>
      </c>
      <c r="S7" s="4027">
        <f t="shared" ref="S7:S14" si="0">F7</f>
        <v>0</v>
      </c>
      <c r="T7" s="4024" t="s">
        <v>13</v>
      </c>
      <c r="U7" s="4027">
        <f t="shared" ref="U7:U14" si="1">H7</f>
        <v>0</v>
      </c>
      <c r="V7" s="4024" t="s">
        <v>13</v>
      </c>
      <c r="W7" s="4027">
        <f t="shared" ref="W7:W14" si="2">J7</f>
        <v>0</v>
      </c>
      <c r="X7" s="493"/>
      <c r="Y7" s="4446" t="s">
        <v>1598</v>
      </c>
      <c r="Z7" s="4447"/>
      <c r="AA7" s="28" t="e">
        <f>D7/F7</f>
        <v>#DIV/0!</v>
      </c>
      <c r="AB7" s="28" t="e">
        <f>D7/H7</f>
        <v>#DIV/0!</v>
      </c>
      <c r="AC7" s="28" t="e">
        <f>D7/J7</f>
        <v>#DIV/0!</v>
      </c>
    </row>
    <row r="8" spans="1:29" s="46" customFormat="1" ht="1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46" t="s">
        <v>1601</v>
      </c>
      <c r="Q8" s="4447"/>
      <c r="R8" s="4024" t="s">
        <v>13</v>
      </c>
      <c r="S8" s="4027">
        <f t="shared" si="0"/>
        <v>100</v>
      </c>
      <c r="T8" s="4024" t="s">
        <v>13</v>
      </c>
      <c r="U8" s="4027">
        <f t="shared" si="1"/>
        <v>100</v>
      </c>
      <c r="V8" s="4024" t="s">
        <v>13</v>
      </c>
      <c r="W8" s="4027">
        <f t="shared" si="2"/>
        <v>100</v>
      </c>
      <c r="X8" s="493"/>
      <c r="Y8" s="4446" t="s">
        <v>1601</v>
      </c>
      <c r="Z8" s="4447"/>
      <c r="AA8" s="28">
        <f t="shared" ref="AA8:AA34" si="3">D8/F8</f>
        <v>1</v>
      </c>
      <c r="AB8" s="28">
        <f t="shared" ref="AB8:AB34" si="4">D8/H8</f>
        <v>1</v>
      </c>
      <c r="AC8" s="28">
        <f t="shared" ref="AC8:AC34" si="5">D8/J8</f>
        <v>1</v>
      </c>
    </row>
    <row r="9" spans="1:29" s="46" customFormat="1" ht="14.4">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4" t="s">
        <v>1604</v>
      </c>
      <c r="Q9" s="390" t="str">
        <f t="shared" ref="Q9:Q14" si="6">B9</f>
        <v>用途</v>
      </c>
      <c r="R9" s="4024" t="s">
        <v>13</v>
      </c>
      <c r="S9" s="4027">
        <f t="shared" si="0"/>
        <v>100</v>
      </c>
      <c r="T9" s="4024" t="s">
        <v>13</v>
      </c>
      <c r="U9" s="4027">
        <f t="shared" si="1"/>
        <v>100</v>
      </c>
      <c r="V9" s="4024" t="s">
        <v>13</v>
      </c>
      <c r="W9" s="4027">
        <f t="shared" si="2"/>
        <v>100</v>
      </c>
      <c r="X9" s="493"/>
      <c r="Y9" s="4419" t="s">
        <v>1605</v>
      </c>
      <c r="Z9" s="28" t="str">
        <f t="shared" ref="Z9:Z14" si="7">Q9</f>
        <v>用途</v>
      </c>
      <c r="AA9" s="28">
        <f t="shared" si="3"/>
        <v>1</v>
      </c>
      <c r="AB9" s="28">
        <f t="shared" si="4"/>
        <v>1</v>
      </c>
      <c r="AC9" s="28">
        <f t="shared" si="5"/>
        <v>1</v>
      </c>
    </row>
    <row r="10" spans="1:29" s="254" customFormat="1" ht="28.8">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4"/>
      <c r="Q10" s="390" t="str">
        <f t="shared" si="6"/>
        <v>土地使用年限（年）</v>
      </c>
      <c r="R10" s="4024" t="s">
        <v>13</v>
      </c>
      <c r="S10" s="4027">
        <f t="shared" si="0"/>
        <v>100</v>
      </c>
      <c r="T10" s="4024" t="s">
        <v>13</v>
      </c>
      <c r="U10" s="4027">
        <f t="shared" si="1"/>
        <v>100</v>
      </c>
      <c r="V10" s="4024" t="s">
        <v>13</v>
      </c>
      <c r="W10" s="4027">
        <f t="shared" si="2"/>
        <v>100</v>
      </c>
      <c r="X10" s="493"/>
      <c r="Y10" s="4419"/>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4"/>
      <c r="Q11" s="390">
        <f t="shared" si="6"/>
        <v>111</v>
      </c>
      <c r="R11" s="4024" t="s">
        <v>13</v>
      </c>
      <c r="S11" s="4027">
        <f t="shared" si="0"/>
        <v>100</v>
      </c>
      <c r="T11" s="4024" t="s">
        <v>13</v>
      </c>
      <c r="U11" s="4027">
        <f t="shared" si="1"/>
        <v>100</v>
      </c>
      <c r="V11" s="4024" t="s">
        <v>13</v>
      </c>
      <c r="W11" s="4027">
        <f t="shared" si="2"/>
        <v>100</v>
      </c>
      <c r="X11" s="493"/>
      <c r="Y11" s="4419"/>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4"/>
      <c r="Q12" s="390">
        <f t="shared" si="6"/>
        <v>111</v>
      </c>
      <c r="R12" s="4024" t="s">
        <v>13</v>
      </c>
      <c r="S12" s="4027">
        <f t="shared" si="0"/>
        <v>100</v>
      </c>
      <c r="T12" s="4024" t="s">
        <v>13</v>
      </c>
      <c r="U12" s="4027">
        <f t="shared" si="1"/>
        <v>100</v>
      </c>
      <c r="V12" s="4024" t="s">
        <v>13</v>
      </c>
      <c r="W12" s="4027">
        <f t="shared" si="2"/>
        <v>100</v>
      </c>
      <c r="X12" s="493"/>
      <c r="Y12" s="4419"/>
      <c r="Z12" s="28">
        <f t="shared" si="7"/>
        <v>111</v>
      </c>
      <c r="AA12" s="28">
        <f>D12/F12</f>
        <v>1</v>
      </c>
      <c r="AB12" s="28">
        <f>D12/H12</f>
        <v>1</v>
      </c>
      <c r="AC12" s="28">
        <f>D12/J12</f>
        <v>1</v>
      </c>
    </row>
    <row r="13" spans="1:29" ht="15.6"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4"/>
      <c r="Q13" s="390">
        <f t="shared" si="6"/>
        <v>111</v>
      </c>
      <c r="R13" s="4024" t="s">
        <v>13</v>
      </c>
      <c r="S13" s="4027">
        <f t="shared" si="0"/>
        <v>100</v>
      </c>
      <c r="T13" s="4024" t="s">
        <v>13</v>
      </c>
      <c r="U13" s="4027">
        <f t="shared" si="1"/>
        <v>100</v>
      </c>
      <c r="V13" s="4024" t="s">
        <v>13</v>
      </c>
      <c r="W13" s="4027">
        <f t="shared" si="2"/>
        <v>100</v>
      </c>
      <c r="X13" s="493"/>
      <c r="Y13" s="4419"/>
      <c r="Z13" s="28">
        <f t="shared" si="7"/>
        <v>111</v>
      </c>
      <c r="AA13" s="28">
        <f t="shared" si="3"/>
        <v>1</v>
      </c>
      <c r="AB13" s="28">
        <f t="shared" si="4"/>
        <v>1</v>
      </c>
      <c r="AC13" s="28">
        <f t="shared" si="5"/>
        <v>1</v>
      </c>
    </row>
    <row r="14" spans="1:29" ht="138">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11" t="s">
        <v>1609</v>
      </c>
      <c r="Q14" s="944" t="str">
        <f t="shared" si="6"/>
        <v>交通便捷度</v>
      </c>
      <c r="R14" s="4025" t="s">
        <v>13</v>
      </c>
      <c r="S14" s="4028">
        <f t="shared" si="0"/>
        <v>100</v>
      </c>
      <c r="T14" s="4025" t="s">
        <v>13</v>
      </c>
      <c r="U14" s="4028">
        <f t="shared" si="1"/>
        <v>100</v>
      </c>
      <c r="V14" s="4025" t="s">
        <v>13</v>
      </c>
      <c r="W14" s="4028">
        <f t="shared" si="2"/>
        <v>100</v>
      </c>
      <c r="X14" s="947"/>
      <c r="Y14" s="4411"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12"/>
      <c r="Q15" s="944"/>
      <c r="R15" s="4025"/>
      <c r="S15" s="4028"/>
      <c r="T15" s="4025"/>
      <c r="U15" s="4028"/>
      <c r="V15" s="4025"/>
      <c r="W15" s="4028"/>
      <c r="X15" s="947"/>
      <c r="Y15" s="4412"/>
      <c r="Z15" s="945"/>
      <c r="AA15" s="945">
        <v>1</v>
      </c>
      <c r="AB15" s="945">
        <v>1</v>
      </c>
      <c r="AC15" s="945">
        <v>1</v>
      </c>
    </row>
    <row r="16" spans="1:29" ht="96.6">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12"/>
      <c r="Q16" s="944" t="str">
        <f>B16</f>
        <v>公共配套设施</v>
      </c>
      <c r="R16" s="4025" t="s">
        <v>13</v>
      </c>
      <c r="S16" s="4028">
        <f>F16</f>
        <v>100</v>
      </c>
      <c r="T16" s="4025" t="s">
        <v>13</v>
      </c>
      <c r="U16" s="4028">
        <f>H16</f>
        <v>100</v>
      </c>
      <c r="V16" s="4025" t="s">
        <v>13</v>
      </c>
      <c r="W16" s="4028">
        <f>J16</f>
        <v>100</v>
      </c>
      <c r="X16" s="947"/>
      <c r="Y16" s="4412"/>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12"/>
      <c r="Q17" s="944"/>
      <c r="R17" s="4025"/>
      <c r="S17" s="4028"/>
      <c r="T17" s="4025"/>
      <c r="U17" s="4028"/>
      <c r="V17" s="4025"/>
      <c r="W17" s="4028"/>
      <c r="X17" s="947"/>
      <c r="Y17" s="4412"/>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12"/>
      <c r="Q18" s="944" t="str">
        <f>B18</f>
        <v>基础设施水平</v>
      </c>
      <c r="R18" s="4025" t="s">
        <v>13</v>
      </c>
      <c r="S18" s="4028">
        <f>F18</f>
        <v>100</v>
      </c>
      <c r="T18" s="4025" t="s">
        <v>13</v>
      </c>
      <c r="U18" s="4028">
        <f>H18</f>
        <v>100</v>
      </c>
      <c r="V18" s="4025" t="s">
        <v>13</v>
      </c>
      <c r="W18" s="4028">
        <f>J18</f>
        <v>100</v>
      </c>
      <c r="X18" s="947"/>
      <c r="Y18" s="4412"/>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12"/>
      <c r="Q19" s="944"/>
      <c r="R19" s="4025"/>
      <c r="S19" s="4028"/>
      <c r="T19" s="4025"/>
      <c r="U19" s="4028"/>
      <c r="V19" s="4025"/>
      <c r="W19" s="4028"/>
      <c r="X19" s="947"/>
      <c r="Y19" s="4412"/>
      <c r="Z19" s="945"/>
      <c r="AA19" s="945">
        <v>1</v>
      </c>
      <c r="AB19" s="945">
        <v>1</v>
      </c>
      <c r="AC19" s="945">
        <v>1</v>
      </c>
    </row>
    <row r="20" spans="1:29" ht="110.4">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12"/>
      <c r="Q20" s="944" t="str">
        <f>B20</f>
        <v>自然及人文环境</v>
      </c>
      <c r="R20" s="4025" t="s">
        <v>13</v>
      </c>
      <c r="S20" s="4028">
        <f>F20</f>
        <v>100</v>
      </c>
      <c r="T20" s="4025" t="s">
        <v>13</v>
      </c>
      <c r="U20" s="4028">
        <f>H20</f>
        <v>100</v>
      </c>
      <c r="V20" s="4025" t="s">
        <v>13</v>
      </c>
      <c r="W20" s="4028">
        <f>J20</f>
        <v>100</v>
      </c>
      <c r="X20" s="947"/>
      <c r="Y20" s="4412"/>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12"/>
      <c r="Q21" s="944"/>
      <c r="R21" s="4025"/>
      <c r="S21" s="4028"/>
      <c r="T21" s="4025"/>
      <c r="U21" s="4028"/>
      <c r="V21" s="4025"/>
      <c r="W21" s="4028"/>
      <c r="X21" s="947"/>
      <c r="Y21" s="4412"/>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12"/>
      <c r="Q22" s="944" t="str">
        <f>B22</f>
        <v>楼层</v>
      </c>
      <c r="R22" s="4025" t="s">
        <v>13</v>
      </c>
      <c r="S22" s="4028">
        <f>F22</f>
        <v>100</v>
      </c>
      <c r="T22" s="4025" t="s">
        <v>13</v>
      </c>
      <c r="U22" s="4028">
        <f>H22</f>
        <v>100</v>
      </c>
      <c r="V22" s="4025" t="s">
        <v>13</v>
      </c>
      <c r="W22" s="4028">
        <f>J22</f>
        <v>100</v>
      </c>
      <c r="X22" s="947"/>
      <c r="Y22" s="4412"/>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12"/>
      <c r="Q23" s="944">
        <f>B23</f>
        <v>111</v>
      </c>
      <c r="R23" s="4025" t="s">
        <v>13</v>
      </c>
      <c r="S23" s="4028">
        <f>F23</f>
        <v>100</v>
      </c>
      <c r="T23" s="4025" t="s">
        <v>13</v>
      </c>
      <c r="U23" s="4028">
        <f>H23</f>
        <v>100</v>
      </c>
      <c r="V23" s="4025" t="s">
        <v>13</v>
      </c>
      <c r="W23" s="4028">
        <f>J23</f>
        <v>100</v>
      </c>
      <c r="X23" s="947"/>
      <c r="Y23" s="4412"/>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12"/>
      <c r="Q24" s="944">
        <f t="shared" ref="Q24:Q34" si="11">B24</f>
        <v>111</v>
      </c>
      <c r="R24" s="4025" t="s">
        <v>13</v>
      </c>
      <c r="S24" s="4028">
        <f>F24</f>
        <v>100</v>
      </c>
      <c r="T24" s="4025" t="s">
        <v>13</v>
      </c>
      <c r="U24" s="4028">
        <f>H24</f>
        <v>100</v>
      </c>
      <c r="V24" s="4025" t="s">
        <v>13</v>
      </c>
      <c r="W24" s="4028">
        <f>J24</f>
        <v>100</v>
      </c>
      <c r="X24" s="947"/>
      <c r="Y24" s="4412"/>
      <c r="Z24" s="945">
        <f>Q24</f>
        <v>111</v>
      </c>
      <c r="AA24" s="945">
        <f t="shared" si="3"/>
        <v>1</v>
      </c>
      <c r="AB24" s="945">
        <f t="shared" si="4"/>
        <v>1</v>
      </c>
      <c r="AC24" s="945">
        <f t="shared" si="5"/>
        <v>1</v>
      </c>
    </row>
    <row r="25" spans="1:29" s="46" customFormat="1" ht="15.6"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12"/>
      <c r="Q25" s="390">
        <f t="shared" si="11"/>
        <v>111</v>
      </c>
      <c r="R25" s="4024" t="s">
        <v>13</v>
      </c>
      <c r="S25" s="4027">
        <f>F25</f>
        <v>100</v>
      </c>
      <c r="T25" s="4024" t="s">
        <v>13</v>
      </c>
      <c r="U25" s="4027">
        <f>H25</f>
        <v>100</v>
      </c>
      <c r="V25" s="4024" t="s">
        <v>13</v>
      </c>
      <c r="W25" s="4027">
        <f>J25</f>
        <v>100</v>
      </c>
      <c r="X25" s="493"/>
      <c r="Y25" s="4412"/>
      <c r="Z25" s="28">
        <f>Q25</f>
        <v>111</v>
      </c>
      <c r="AA25" s="945">
        <f>D25/F25</f>
        <v>1</v>
      </c>
      <c r="AB25" s="945">
        <f>D25/H25</f>
        <v>1</v>
      </c>
      <c r="AC25" s="945">
        <f>D25/J25</f>
        <v>1</v>
      </c>
    </row>
    <row r="26" spans="1:29" ht="30">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498"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16"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16"/>
      <c r="Q27" s="391" t="str">
        <f t="shared" si="11"/>
        <v>成新率</v>
      </c>
      <c r="R27" s="4026" t="s">
        <v>13</v>
      </c>
      <c r="S27" s="4029" t="e">
        <f t="shared" si="12"/>
        <v>#N/A</v>
      </c>
      <c r="T27" s="4026" t="s">
        <v>13</v>
      </c>
      <c r="U27" s="4029" t="e">
        <f t="shared" si="13"/>
        <v>#N/A</v>
      </c>
      <c r="V27" s="4026" t="s">
        <v>13</v>
      </c>
      <c r="W27" s="4029" t="e">
        <f t="shared" si="14"/>
        <v>#N/A</v>
      </c>
      <c r="X27" s="494"/>
      <c r="Y27" s="4416"/>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16"/>
      <c r="Q28" s="944" t="str">
        <f t="shared" si="11"/>
        <v>物业等级</v>
      </c>
      <c r="R28" s="4025" t="s">
        <v>13</v>
      </c>
      <c r="S28" s="4028">
        <f t="shared" si="12"/>
        <v>100</v>
      </c>
      <c r="T28" s="4025" t="s">
        <v>13</v>
      </c>
      <c r="U28" s="4028">
        <f t="shared" si="13"/>
        <v>100</v>
      </c>
      <c r="V28" s="4025" t="s">
        <v>13</v>
      </c>
      <c r="W28" s="4028">
        <f t="shared" si="14"/>
        <v>100</v>
      </c>
      <c r="X28" s="947"/>
      <c r="Y28" s="4416"/>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16"/>
      <c r="Q29" s="944" t="str">
        <f t="shared" si="11"/>
        <v>有无电梯</v>
      </c>
      <c r="R29" s="4025" t="s">
        <v>13</v>
      </c>
      <c r="S29" s="4028">
        <f t="shared" si="12"/>
        <v>100</v>
      </c>
      <c r="T29" s="4025" t="s">
        <v>13</v>
      </c>
      <c r="U29" s="4028">
        <f t="shared" si="13"/>
        <v>100</v>
      </c>
      <c r="V29" s="4025" t="s">
        <v>13</v>
      </c>
      <c r="W29" s="4028">
        <f t="shared" si="14"/>
        <v>100</v>
      </c>
      <c r="X29" s="947"/>
      <c r="Y29" s="4416"/>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16"/>
      <c r="Q30" s="944" t="str">
        <f t="shared" si="11"/>
        <v>建筑面积</v>
      </c>
      <c r="R30" s="4025" t="s">
        <v>13</v>
      </c>
      <c r="S30" s="4028" t="e">
        <f t="shared" si="12"/>
        <v>#N/A</v>
      </c>
      <c r="T30" s="4025" t="s">
        <v>13</v>
      </c>
      <c r="U30" s="4028" t="e">
        <f t="shared" si="13"/>
        <v>#N/A</v>
      </c>
      <c r="V30" s="4025" t="s">
        <v>13</v>
      </c>
      <c r="W30" s="4028" t="e">
        <f t="shared" si="14"/>
        <v>#N/A</v>
      </c>
      <c r="X30" s="947"/>
      <c r="Y30" s="4416"/>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16"/>
      <c r="Q31" s="390" t="str">
        <f t="shared" si="11"/>
        <v>是否封闭</v>
      </c>
      <c r="R31" s="4024" t="s">
        <v>13</v>
      </c>
      <c r="S31" s="4027">
        <f t="shared" si="12"/>
        <v>100</v>
      </c>
      <c r="T31" s="4024" t="s">
        <v>13</v>
      </c>
      <c r="U31" s="4027">
        <f t="shared" si="13"/>
        <v>100</v>
      </c>
      <c r="V31" s="4024" t="s">
        <v>13</v>
      </c>
      <c r="W31" s="4027">
        <f t="shared" si="14"/>
        <v>100</v>
      </c>
      <c r="X31" s="493"/>
      <c r="Y31" s="4416"/>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16" t="s">
        <v>1614</v>
      </c>
      <c r="Q32" s="944">
        <f t="shared" si="11"/>
        <v>111</v>
      </c>
      <c r="R32" s="4025" t="s">
        <v>13</v>
      </c>
      <c r="S32" s="4028">
        <f t="shared" si="12"/>
        <v>100</v>
      </c>
      <c r="T32" s="4025" t="s">
        <v>13</v>
      </c>
      <c r="U32" s="4028">
        <f t="shared" si="13"/>
        <v>100</v>
      </c>
      <c r="V32" s="4025" t="s">
        <v>13</v>
      </c>
      <c r="W32" s="4028">
        <f t="shared" si="14"/>
        <v>100</v>
      </c>
      <c r="X32" s="947"/>
      <c r="Y32" s="4416"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16"/>
      <c r="Q33" s="944">
        <f t="shared" si="11"/>
        <v>111</v>
      </c>
      <c r="R33" s="4025" t="s">
        <v>13</v>
      </c>
      <c r="S33" s="4028">
        <f t="shared" si="12"/>
        <v>100</v>
      </c>
      <c r="T33" s="4025" t="s">
        <v>13</v>
      </c>
      <c r="U33" s="4028">
        <f t="shared" si="13"/>
        <v>100</v>
      </c>
      <c r="V33" s="4025" t="s">
        <v>13</v>
      </c>
      <c r="W33" s="4028">
        <f t="shared" si="14"/>
        <v>100</v>
      </c>
      <c r="X33" s="947"/>
      <c r="Y33" s="4416"/>
      <c r="Z33" s="945">
        <f t="shared" si="15"/>
        <v>111</v>
      </c>
      <c r="AA33" s="945">
        <f t="shared" si="3"/>
        <v>1</v>
      </c>
      <c r="AB33" s="945">
        <f t="shared" si="4"/>
        <v>1</v>
      </c>
      <c r="AC33" s="945">
        <f t="shared" si="5"/>
        <v>1</v>
      </c>
    </row>
    <row r="34" spans="1:30" ht="15.6"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16"/>
      <c r="Q34" s="944">
        <f t="shared" si="11"/>
        <v>111</v>
      </c>
      <c r="R34" s="4025" t="s">
        <v>13</v>
      </c>
      <c r="S34" s="4028">
        <f t="shared" si="12"/>
        <v>100</v>
      </c>
      <c r="T34" s="4025" t="s">
        <v>13</v>
      </c>
      <c r="U34" s="4028">
        <f t="shared" si="13"/>
        <v>100</v>
      </c>
      <c r="V34" s="4025" t="s">
        <v>13</v>
      </c>
      <c r="W34" s="4028">
        <f t="shared" si="14"/>
        <v>100</v>
      </c>
      <c r="X34" s="947"/>
      <c r="Y34" s="4416"/>
      <c r="Z34" s="945">
        <f t="shared" si="15"/>
        <v>111</v>
      </c>
      <c r="AA34" s="945">
        <f t="shared" si="3"/>
        <v>1</v>
      </c>
      <c r="AB34" s="945">
        <f t="shared" si="4"/>
        <v>1</v>
      </c>
      <c r="AC34" s="945">
        <f t="shared" si="5"/>
        <v>1</v>
      </c>
    </row>
    <row r="35" spans="1:30" ht="14.4">
      <c r="A35" s="287" t="s">
        <v>1626</v>
      </c>
      <c r="B35" s="288"/>
      <c r="C35" s="799" t="s">
        <v>0</v>
      </c>
      <c r="D35" s="289"/>
      <c r="E35" s="3416"/>
      <c r="F35" s="3341"/>
      <c r="G35" s="3417"/>
      <c r="H35" s="3342"/>
      <c r="I35" s="3416"/>
      <c r="J35" s="3342"/>
      <c r="K35" s="3007"/>
      <c r="L35" s="2028"/>
      <c r="M35" s="2021"/>
      <c r="N35" s="2021"/>
      <c r="O35" s="2021"/>
      <c r="P35" s="4494" t="str">
        <f>A35</f>
        <v>成交单价（元/平方米）</v>
      </c>
      <c r="Q35" s="4494"/>
      <c r="R35" s="4457">
        <f>E35</f>
        <v>0</v>
      </c>
      <c r="S35" s="4457"/>
      <c r="T35" s="4457">
        <f>G35</f>
        <v>0</v>
      </c>
      <c r="U35" s="4457"/>
      <c r="V35" s="4457">
        <f>I35</f>
        <v>0</v>
      </c>
      <c r="W35" s="4457"/>
      <c r="X35" s="266"/>
      <c r="Y35" s="496"/>
      <c r="Z35" s="266"/>
      <c r="AA35" s="266"/>
      <c r="AB35" s="266"/>
      <c r="AC35" s="266"/>
    </row>
    <row r="36" spans="1:30" ht="1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4" t="str">
        <f>A36</f>
        <v>比较价值（元/平方米）</v>
      </c>
      <c r="Q36" s="4494"/>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6"/>
      <c r="Y36" s="266"/>
      <c r="Z36" s="266"/>
      <c r="AA36" s="266"/>
      <c r="AB36" s="266"/>
      <c r="AC36" s="266"/>
    </row>
    <row r="37" spans="1:30" ht="15" thickBot="1">
      <c r="A37" s="292" t="s">
        <v>1712</v>
      </c>
      <c r="B37" s="293"/>
      <c r="C37" s="4003" t="e">
        <f>R37</f>
        <v>#DIV/0!</v>
      </c>
      <c r="D37" s="242"/>
      <c r="E37" s="242"/>
      <c r="F37" s="242"/>
      <c r="G37" s="242"/>
      <c r="H37" s="242"/>
      <c r="I37" s="242"/>
      <c r="J37" s="242"/>
      <c r="K37" s="497"/>
      <c r="L37" s="2028"/>
      <c r="M37" s="2021"/>
      <c r="N37" s="2021"/>
      <c r="O37" s="2021"/>
      <c r="P37" s="4495" t="str">
        <f>A37</f>
        <v>估价对象XX用房的比较价值（楼面单价，元/平方米）</v>
      </c>
      <c r="Q37" s="4496"/>
      <c r="R37" s="4497" t="e">
        <f>IF(F1="售价",ROUND(IF(D36="简单平均",AVERAGE(R36:W36),R36*F36+T36*H36+V36*J36),0),ROUND(IF(D36="简单平均",AVERAGE(R36:V36),R36*F36+T36*H36+V36*J36),1))</f>
        <v>#DIV/0!</v>
      </c>
      <c r="S37" s="4497"/>
      <c r="T37" s="4497"/>
      <c r="U37" s="4497"/>
      <c r="V37" s="4497"/>
      <c r="W37" s="4497"/>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4.4">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ht="14.4">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4.4"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4.4"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E2" xr:uid="{00000000-0002-0000-1F00-00000E000000}">
      <formula1>"需扣减承租人权益,——"</formula1>
    </dataValidation>
    <dataValidation type="list" allowBlank="1" showInputMessage="1" showErrorMessage="1" sqref="H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32" zoomScale="85" zoomScaleNormal="60" zoomScaleSheetLayoutView="85" workbookViewId="0">
      <selection activeCell="I57" sqref="I57"/>
    </sheetView>
  </sheetViews>
  <sheetFormatPr defaultColWidth="9" defaultRowHeight="13.8"/>
  <cols>
    <col min="1" max="1" width="14.33203125" style="238" customWidth="1"/>
    <col min="2" max="2" width="15.77734375" style="238" customWidth="1"/>
    <col min="3" max="3" width="19.441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36"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45803</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45834</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2" customHeight="1">
      <c r="A4" s="3604" t="s">
        <v>3672</v>
      </c>
      <c r="B4" s="3606">
        <f>IF(B48="单位面积地价",C50,ROUND(B2*10000/'数据-汇总表'!D3,0))</f>
        <v>169641</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11309</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4.4">
      <c r="A6" s="236" t="s">
        <v>1687</v>
      </c>
      <c r="B6" s="237"/>
      <c r="C6" s="4423" t="s">
        <v>1688</v>
      </c>
      <c r="D6" s="4424"/>
      <c r="E6" s="4425" t="s">
        <v>1689</v>
      </c>
      <c r="F6" s="4426"/>
      <c r="G6" s="4423" t="s">
        <v>1690</v>
      </c>
      <c r="H6" s="4424"/>
      <c r="I6" s="4423" t="s">
        <v>1691</v>
      </c>
      <c r="J6" s="4424"/>
      <c r="K6" s="3008" t="s">
        <v>1692</v>
      </c>
      <c r="L6" s="2020"/>
      <c r="M6" s="2021"/>
      <c r="N6" s="2021"/>
      <c r="O6" s="2021"/>
      <c r="P6" s="4427" t="s">
        <v>1693</v>
      </c>
      <c r="Q6" s="4428"/>
      <c r="R6" s="4433" t="s">
        <v>1689</v>
      </c>
      <c r="S6" s="4434"/>
      <c r="T6" s="4433" t="s">
        <v>1690</v>
      </c>
      <c r="U6" s="4434"/>
      <c r="V6" s="4439" t="s">
        <v>1691</v>
      </c>
      <c r="W6" s="4439"/>
      <c r="X6" s="947"/>
      <c r="Y6" s="4448" t="s">
        <v>1693</v>
      </c>
      <c r="Z6" s="4449"/>
      <c r="AA6" s="4420" t="s">
        <v>1689</v>
      </c>
      <c r="AB6" s="4421" t="s">
        <v>1690</v>
      </c>
      <c r="AC6" s="4420" t="s">
        <v>1691</v>
      </c>
    </row>
    <row r="7" spans="1:29" ht="57" customHeight="1">
      <c r="A7" s="239"/>
      <c r="B7" s="240"/>
      <c r="C7" s="4442" t="s">
        <v>1591</v>
      </c>
      <c r="D7" s="4443"/>
      <c r="E7" s="4458" t="str">
        <f>土地!A14</f>
        <v>北京市海淀区东升镇北部片区朱房四街棚户区改造项目二期(剩余用地)HD00-0803-0030地块R2二类居住用地</v>
      </c>
      <c r="F7" s="4459"/>
      <c r="G7" s="4442" t="str">
        <f>土地!A9</f>
        <v>北京市海淀区半壁店地区城中村改造项目HD00-2201-0003、0004地块R2二类居住用地</v>
      </c>
      <c r="H7" s="4443"/>
      <c r="I7" s="4442" t="str">
        <f>土地!A13</f>
        <v>北京市海淀区东升镇北部片区朱房四街棚户区改造项目二期(剩余用地)HD00-0803-0029地块R2二类居住用地</v>
      </c>
      <c r="J7" s="4443"/>
      <c r="K7" s="3008"/>
      <c r="L7" s="2020"/>
      <c r="M7" s="2021"/>
      <c r="N7" s="2021"/>
      <c r="O7" s="2021"/>
      <c r="P7" s="4429"/>
      <c r="Q7" s="4430"/>
      <c r="R7" s="4435"/>
      <c r="S7" s="4436"/>
      <c r="T7" s="4435"/>
      <c r="U7" s="4436"/>
      <c r="V7" s="4439"/>
      <c r="W7" s="4439"/>
      <c r="X7" s="947"/>
      <c r="Y7" s="4450"/>
      <c r="Z7" s="4451"/>
      <c r="AA7" s="4421"/>
      <c r="AB7" s="4421"/>
      <c r="AC7" s="4421"/>
    </row>
    <row r="8" spans="1:29" ht="15" thickBot="1">
      <c r="A8" s="241"/>
      <c r="B8" s="242"/>
      <c r="C8" s="4440" t="s">
        <v>1595</v>
      </c>
      <c r="D8" s="4441"/>
      <c r="E8" s="4455" t="s">
        <v>1595</v>
      </c>
      <c r="F8" s="4456"/>
      <c r="G8" s="4440" t="s">
        <v>1595</v>
      </c>
      <c r="H8" s="4441"/>
      <c r="I8" s="4440" t="s">
        <v>1595</v>
      </c>
      <c r="J8" s="4441"/>
      <c r="K8" s="3008" t="s">
        <v>1596</v>
      </c>
      <c r="L8" s="2020"/>
      <c r="M8" s="2021"/>
      <c r="N8" s="2021"/>
      <c r="O8" s="2021"/>
      <c r="P8" s="4431"/>
      <c r="Q8" s="4432"/>
      <c r="R8" s="4435"/>
      <c r="S8" s="4436"/>
      <c r="T8" s="4437"/>
      <c r="U8" s="4438"/>
      <c r="V8" s="4439"/>
      <c r="W8" s="4439"/>
      <c r="X8" s="947"/>
      <c r="Y8" s="4452"/>
      <c r="Z8" s="4453"/>
      <c r="AA8" s="4422"/>
      <c r="AB8" s="4422"/>
      <c r="AC8" s="4422"/>
    </row>
    <row r="9" spans="1:29" s="46" customFormat="1" ht="1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44" t="s">
        <v>1598</v>
      </c>
      <c r="Q9" s="4454"/>
      <c r="R9" s="4017" t="s">
        <v>13</v>
      </c>
      <c r="S9" s="3787">
        <f t="shared" ref="S9:S17" si="0">F9</f>
        <v>100</v>
      </c>
      <c r="T9" s="4017" t="s">
        <v>13</v>
      </c>
      <c r="U9" s="3787">
        <f t="shared" ref="U9:U17" si="1">H9</f>
        <v>100</v>
      </c>
      <c r="V9" s="4017" t="s">
        <v>13</v>
      </c>
      <c r="W9" s="3787">
        <f t="shared" ref="W9:W17" si="2">J9</f>
        <v>100</v>
      </c>
      <c r="X9" s="493"/>
      <c r="Y9" s="4446" t="s">
        <v>1598</v>
      </c>
      <c r="Z9" s="4447"/>
      <c r="AA9" s="28">
        <f>D9/F9</f>
        <v>1</v>
      </c>
      <c r="AB9" s="28">
        <f>D9/H9</f>
        <v>1</v>
      </c>
      <c r="AC9" s="28">
        <f>D9/J9</f>
        <v>1</v>
      </c>
    </row>
    <row r="10" spans="1:29" s="46" customFormat="1" ht="1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44" t="s">
        <v>1601</v>
      </c>
      <c r="Q10" s="4445"/>
      <c r="R10" s="4017" t="s">
        <v>13</v>
      </c>
      <c r="S10" s="3787">
        <f t="shared" si="0"/>
        <v>100</v>
      </c>
      <c r="T10" s="4017" t="s">
        <v>13</v>
      </c>
      <c r="U10" s="3787">
        <f t="shared" si="1"/>
        <v>100</v>
      </c>
      <c r="V10" s="4017" t="s">
        <v>13</v>
      </c>
      <c r="W10" s="3787">
        <f t="shared" si="2"/>
        <v>100</v>
      </c>
      <c r="X10" s="493"/>
      <c r="Y10" s="4446" t="s">
        <v>1601</v>
      </c>
      <c r="Z10" s="4447"/>
      <c r="AA10" s="28">
        <f t="shared" ref="AA10:AA47" si="3">D10/F10</f>
        <v>1</v>
      </c>
      <c r="AB10" s="28">
        <f t="shared" ref="AB10:AB47" si="4">D10/H10</f>
        <v>1</v>
      </c>
      <c r="AC10" s="28">
        <f t="shared" ref="AC10:AC47" si="5">D10/J10</f>
        <v>1</v>
      </c>
    </row>
    <row r="11" spans="1:29" s="46" customFormat="1" ht="14.4">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04" t="s">
        <v>1604</v>
      </c>
      <c r="Q11" s="1745" t="str">
        <f t="shared" ref="Q11:Q17" si="6">B11</f>
        <v>用途</v>
      </c>
      <c r="R11" s="4017" t="s">
        <v>13</v>
      </c>
      <c r="S11" s="3787">
        <f t="shared" si="0"/>
        <v>100</v>
      </c>
      <c r="T11" s="4017" t="s">
        <v>13</v>
      </c>
      <c r="U11" s="3787">
        <f t="shared" si="1"/>
        <v>100</v>
      </c>
      <c r="V11" s="4017" t="s">
        <v>13</v>
      </c>
      <c r="W11" s="3787">
        <f t="shared" si="2"/>
        <v>100</v>
      </c>
      <c r="X11" s="493"/>
      <c r="Y11" s="4419"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04"/>
      <c r="Q12" s="1745" t="str">
        <f t="shared" si="6"/>
        <v>土地使用年限（年）</v>
      </c>
      <c r="R12" s="4017" t="s">
        <v>13</v>
      </c>
      <c r="S12" s="3787">
        <f t="shared" si="0"/>
        <v>100.1</v>
      </c>
      <c r="T12" s="4017" t="s">
        <v>13</v>
      </c>
      <c r="U12" s="3787">
        <f t="shared" si="1"/>
        <v>100.1</v>
      </c>
      <c r="V12" s="4017" t="s">
        <v>13</v>
      </c>
      <c r="W12" s="3787">
        <f t="shared" si="2"/>
        <v>100.1</v>
      </c>
      <c r="X12" s="493"/>
      <c r="Y12" s="4419"/>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04"/>
      <c r="Q13" s="1745" t="str">
        <f t="shared" si="6"/>
        <v>容积率</v>
      </c>
      <c r="R13" s="4017" t="s">
        <v>13</v>
      </c>
      <c r="S13" s="3787">
        <f t="shared" si="0"/>
        <v>100</v>
      </c>
      <c r="T13" s="4017" t="s">
        <v>13</v>
      </c>
      <c r="U13" s="3787">
        <f t="shared" si="1"/>
        <v>101</v>
      </c>
      <c r="V13" s="4017" t="s">
        <v>13</v>
      </c>
      <c r="W13" s="3787">
        <f t="shared" si="2"/>
        <v>100</v>
      </c>
      <c r="X13" s="493"/>
      <c r="Y13" s="4419"/>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04"/>
      <c r="Q14" s="1745" t="str">
        <f t="shared" si="6"/>
        <v>配建</v>
      </c>
      <c r="R14" s="4017" t="s">
        <v>13</v>
      </c>
      <c r="S14" s="3787">
        <f t="shared" si="0"/>
        <v>100</v>
      </c>
      <c r="T14" s="4017" t="s">
        <v>13</v>
      </c>
      <c r="U14" s="3787">
        <f t="shared" si="1"/>
        <v>100</v>
      </c>
      <c r="V14" s="4017" t="s">
        <v>13</v>
      </c>
      <c r="W14" s="3787">
        <f t="shared" si="2"/>
        <v>100</v>
      </c>
      <c r="X14" s="493"/>
      <c r="Y14" s="4419"/>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04"/>
      <c r="Q15" s="1745">
        <f t="shared" si="6"/>
        <v>111</v>
      </c>
      <c r="R15" s="4017" t="s">
        <v>13</v>
      </c>
      <c r="S15" s="3787">
        <f t="shared" si="0"/>
        <v>100</v>
      </c>
      <c r="T15" s="4017" t="s">
        <v>13</v>
      </c>
      <c r="U15" s="3787">
        <f t="shared" si="1"/>
        <v>100</v>
      </c>
      <c r="V15" s="4017" t="s">
        <v>13</v>
      </c>
      <c r="W15" s="3787">
        <f t="shared" si="2"/>
        <v>100</v>
      </c>
      <c r="X15" s="493"/>
      <c r="Y15" s="4419"/>
      <c r="Z15" s="28">
        <f t="shared" si="7"/>
        <v>111</v>
      </c>
      <c r="AA15" s="28">
        <f>D15/F15</f>
        <v>1</v>
      </c>
      <c r="AB15" s="28">
        <f>D15/H15</f>
        <v>1</v>
      </c>
      <c r="AC15" s="28">
        <f>D15/J15</f>
        <v>1</v>
      </c>
    </row>
    <row r="16" spans="1:29" ht="15.6"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04"/>
      <c r="Q16" s="1745">
        <f t="shared" si="6"/>
        <v>111</v>
      </c>
      <c r="R16" s="4017" t="s">
        <v>13</v>
      </c>
      <c r="S16" s="3787">
        <f t="shared" si="0"/>
        <v>100</v>
      </c>
      <c r="T16" s="4017" t="s">
        <v>13</v>
      </c>
      <c r="U16" s="3787">
        <f t="shared" si="1"/>
        <v>100</v>
      </c>
      <c r="V16" s="4017" t="s">
        <v>13</v>
      </c>
      <c r="W16" s="3787">
        <f t="shared" si="2"/>
        <v>100</v>
      </c>
      <c r="X16" s="493"/>
      <c r="Y16" s="4419"/>
      <c r="Z16" s="28">
        <f t="shared" si="7"/>
        <v>111</v>
      </c>
      <c r="AA16" s="28">
        <f>D16/F16</f>
        <v>1</v>
      </c>
      <c r="AB16" s="28">
        <f>D16/H16</f>
        <v>1</v>
      </c>
      <c r="AC16" s="28">
        <f>D16/J16</f>
        <v>1</v>
      </c>
    </row>
    <row r="17" spans="1:29" ht="96.6">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89" t="s">
        <v>1609</v>
      </c>
      <c r="Q17" s="1545" t="str">
        <f t="shared" si="6"/>
        <v>居住社区成熟度</v>
      </c>
      <c r="R17" s="4018" t="s">
        <v>13</v>
      </c>
      <c r="S17" s="4020">
        <f t="shared" si="0"/>
        <v>100</v>
      </c>
      <c r="T17" s="4018" t="s">
        <v>13</v>
      </c>
      <c r="U17" s="4020">
        <f t="shared" si="1"/>
        <v>100</v>
      </c>
      <c r="V17" s="4018" t="s">
        <v>13</v>
      </c>
      <c r="W17" s="4020">
        <f t="shared" si="2"/>
        <v>100</v>
      </c>
      <c r="X17" s="947"/>
      <c r="Y17" s="4411"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0"/>
      <c r="Q18" s="1545"/>
      <c r="R18" s="4018"/>
      <c r="S18" s="4020"/>
      <c r="T18" s="4018"/>
      <c r="U18" s="4020"/>
      <c r="V18" s="4018"/>
      <c r="W18" s="4020"/>
      <c r="X18" s="947"/>
      <c r="Y18" s="4412"/>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0"/>
      <c r="Q19" s="1545" t="str">
        <f>B19</f>
        <v>商业繁华度</v>
      </c>
      <c r="R19" s="4018" t="s">
        <v>13</v>
      </c>
      <c r="S19" s="4020">
        <f>F19</f>
        <v>100</v>
      </c>
      <c r="T19" s="4018" t="s">
        <v>13</v>
      </c>
      <c r="U19" s="4020">
        <f>H19</f>
        <v>100</v>
      </c>
      <c r="V19" s="4018" t="s">
        <v>13</v>
      </c>
      <c r="W19" s="4020">
        <f>J19</f>
        <v>100</v>
      </c>
      <c r="X19" s="947"/>
      <c r="Y19" s="4412"/>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0"/>
      <c r="Q20" s="1545"/>
      <c r="R20" s="4018"/>
      <c r="S20" s="4020"/>
      <c r="T20" s="4018"/>
      <c r="U20" s="4020"/>
      <c r="V20" s="4018"/>
      <c r="W20" s="4020"/>
      <c r="X20" s="947"/>
      <c r="Y20" s="4412"/>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0"/>
      <c r="Q21" s="1545" t="str">
        <f>B21</f>
        <v>办公集聚程度</v>
      </c>
      <c r="R21" s="4018" t="s">
        <v>13</v>
      </c>
      <c r="S21" s="4020">
        <f>F21</f>
        <v>100</v>
      </c>
      <c r="T21" s="4018" t="s">
        <v>13</v>
      </c>
      <c r="U21" s="4020">
        <f>H21</f>
        <v>100</v>
      </c>
      <c r="V21" s="4018" t="s">
        <v>13</v>
      </c>
      <c r="W21" s="4020">
        <f>J21</f>
        <v>100</v>
      </c>
      <c r="X21" s="947"/>
      <c r="Y21" s="4412"/>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0"/>
      <c r="Q22" s="1545"/>
      <c r="R22" s="4018"/>
      <c r="S22" s="4020"/>
      <c r="T22" s="4018"/>
      <c r="U22" s="4020"/>
      <c r="V22" s="4018"/>
      <c r="W22" s="4020"/>
      <c r="X22" s="947"/>
      <c r="Y22" s="4412"/>
      <c r="Z22" s="945"/>
      <c r="AA22" s="945">
        <v>1</v>
      </c>
      <c r="AB22" s="945">
        <v>1</v>
      </c>
      <c r="AC22" s="945">
        <v>1</v>
      </c>
    </row>
    <row r="23" spans="1:29" ht="96.6">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0"/>
      <c r="Q23" s="1545" t="str">
        <f>B23</f>
        <v>交通便捷度</v>
      </c>
      <c r="R23" s="4018" t="s">
        <v>13</v>
      </c>
      <c r="S23" s="4020">
        <f>F23</f>
        <v>100</v>
      </c>
      <c r="T23" s="4018" t="s">
        <v>13</v>
      </c>
      <c r="U23" s="4020">
        <f>H23</f>
        <v>100</v>
      </c>
      <c r="V23" s="4018" t="s">
        <v>13</v>
      </c>
      <c r="W23" s="4020">
        <f>J23</f>
        <v>100</v>
      </c>
      <c r="X23" s="947"/>
      <c r="Y23" s="4412"/>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0"/>
      <c r="Q24" s="1545"/>
      <c r="R24" s="4018"/>
      <c r="S24" s="4020"/>
      <c r="T24" s="4018"/>
      <c r="U24" s="4020"/>
      <c r="V24" s="4018"/>
      <c r="W24" s="4020"/>
      <c r="X24" s="947"/>
      <c r="Y24" s="4412"/>
      <c r="Z24" s="945"/>
      <c r="AA24" s="945">
        <v>1</v>
      </c>
      <c r="AB24" s="945">
        <v>1</v>
      </c>
      <c r="AC24" s="945">
        <v>1</v>
      </c>
    </row>
    <row r="25" spans="1:29" ht="28.8">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0"/>
      <c r="Q25" s="1545" t="str">
        <f t="shared" ref="Q25:Q39" si="8">B25</f>
        <v>区域土地利用方向</v>
      </c>
      <c r="R25" s="4018" t="s">
        <v>13</v>
      </c>
      <c r="S25" s="4020">
        <f>F25</f>
        <v>100</v>
      </c>
      <c r="T25" s="4018" t="s">
        <v>13</v>
      </c>
      <c r="U25" s="4020">
        <f>H25</f>
        <v>100</v>
      </c>
      <c r="V25" s="4018" t="s">
        <v>13</v>
      </c>
      <c r="W25" s="4020">
        <f>J25</f>
        <v>100</v>
      </c>
      <c r="X25" s="947"/>
      <c r="Y25" s="4412"/>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0"/>
      <c r="Q26" s="1545"/>
      <c r="R26" s="4018"/>
      <c r="S26" s="4020"/>
      <c r="T26" s="4018"/>
      <c r="U26" s="4020"/>
      <c r="V26" s="4018"/>
      <c r="W26" s="4020"/>
      <c r="X26" s="947"/>
      <c r="Y26" s="4412"/>
      <c r="Z26" s="945"/>
      <c r="AA26" s="945"/>
      <c r="AB26" s="945"/>
      <c r="AC26" s="945"/>
    </row>
    <row r="27" spans="1:29" ht="72">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0"/>
      <c r="Q27" s="1545" t="str">
        <f t="shared" si="8"/>
        <v>自然及人文环境状况</v>
      </c>
      <c r="R27" s="4018" t="s">
        <v>13</v>
      </c>
      <c r="S27" s="4020">
        <f>F27</f>
        <v>100</v>
      </c>
      <c r="T27" s="4018" t="s">
        <v>13</v>
      </c>
      <c r="U27" s="4020">
        <f>H27</f>
        <v>97</v>
      </c>
      <c r="V27" s="4018" t="s">
        <v>13</v>
      </c>
      <c r="W27" s="4020">
        <f>J27</f>
        <v>100</v>
      </c>
      <c r="X27" s="947"/>
      <c r="Y27" s="4412"/>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0"/>
      <c r="Q28" s="1545"/>
      <c r="R28" s="4018"/>
      <c r="S28" s="4020"/>
      <c r="T28" s="4018"/>
      <c r="U28" s="4020"/>
      <c r="V28" s="4018"/>
      <c r="W28" s="4020"/>
      <c r="X28" s="947"/>
      <c r="Y28" s="4412"/>
      <c r="Z28" s="945"/>
      <c r="AA28" s="945">
        <v>1</v>
      </c>
      <c r="AB28" s="945">
        <v>1</v>
      </c>
      <c r="AC28" s="945">
        <v>1</v>
      </c>
    </row>
    <row r="29" spans="1:29" s="46" customFormat="1" ht="86.4">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0"/>
      <c r="Q29" s="1745" t="str">
        <f t="shared" si="8"/>
        <v>公共配套设施</v>
      </c>
      <c r="R29" s="4017" t="s">
        <v>13</v>
      </c>
      <c r="S29" s="3787">
        <f>F29</f>
        <v>100</v>
      </c>
      <c r="T29" s="4017" t="s">
        <v>13</v>
      </c>
      <c r="U29" s="3787">
        <f>H29</f>
        <v>97</v>
      </c>
      <c r="V29" s="4017" t="s">
        <v>13</v>
      </c>
      <c r="W29" s="3787">
        <f>J29</f>
        <v>100</v>
      </c>
      <c r="X29" s="493"/>
      <c r="Y29" s="4412"/>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0"/>
      <c r="Q30" s="1745"/>
      <c r="R30" s="4017"/>
      <c r="S30" s="3787"/>
      <c r="T30" s="4017"/>
      <c r="U30" s="3787"/>
      <c r="V30" s="4017"/>
      <c r="W30" s="3787"/>
      <c r="X30" s="493"/>
      <c r="Y30" s="4412"/>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0"/>
      <c r="Q31" s="1745" t="str">
        <f t="shared" ref="Q31" si="9">B31</f>
        <v>基础设施水平</v>
      </c>
      <c r="R31" s="4017" t="s">
        <v>13</v>
      </c>
      <c r="S31" s="3787">
        <f>F31</f>
        <v>100</v>
      </c>
      <c r="T31" s="4017" t="s">
        <v>13</v>
      </c>
      <c r="U31" s="3787">
        <f>H31</f>
        <v>100</v>
      </c>
      <c r="V31" s="4017" t="s">
        <v>13</v>
      </c>
      <c r="W31" s="3787">
        <f>J31</f>
        <v>100</v>
      </c>
      <c r="X31" s="493"/>
      <c r="Y31" s="4412"/>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0"/>
      <c r="Q32" s="1745"/>
      <c r="R32" s="4017"/>
      <c r="S32" s="3787"/>
      <c r="T32" s="4017"/>
      <c r="U32" s="3787"/>
      <c r="V32" s="4017"/>
      <c r="W32" s="3787"/>
      <c r="X32" s="493"/>
      <c r="Y32" s="4412"/>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0"/>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12"/>
      <c r="Z33" s="945" t="str">
        <f t="shared" ref="Z33:Z47" si="13">Q33</f>
        <v>临街状况</v>
      </c>
      <c r="AA33" s="945">
        <f t="shared" si="3"/>
        <v>1</v>
      </c>
      <c r="AB33" s="945">
        <f t="shared" si="4"/>
        <v>1</v>
      </c>
      <c r="AC33" s="945">
        <f t="shared" si="5"/>
        <v>1</v>
      </c>
    </row>
    <row r="34" spans="1:29" ht="28.8">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0"/>
      <c r="Q34" s="1545" t="str">
        <f t="shared" si="8"/>
        <v>毗邻道路的类型与等级</v>
      </c>
      <c r="R34" s="4018" t="s">
        <v>13</v>
      </c>
      <c r="S34" s="4020">
        <f t="shared" si="10"/>
        <v>100</v>
      </c>
      <c r="T34" s="4018" t="s">
        <v>13</v>
      </c>
      <c r="U34" s="4020">
        <f t="shared" si="11"/>
        <v>100</v>
      </c>
      <c r="V34" s="4018" t="s">
        <v>13</v>
      </c>
      <c r="W34" s="4020">
        <f t="shared" si="12"/>
        <v>100</v>
      </c>
      <c r="X34" s="947"/>
      <c r="Y34" s="4412"/>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0"/>
      <c r="Q35" s="1545"/>
      <c r="R35" s="4018"/>
      <c r="S35" s="4020"/>
      <c r="T35" s="4018"/>
      <c r="U35" s="4020"/>
      <c r="V35" s="4018"/>
      <c r="W35" s="4020"/>
      <c r="X35" s="947"/>
      <c r="Y35" s="4412"/>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0"/>
      <c r="Q36" s="1545" t="str">
        <f t="shared" si="8"/>
        <v>土地级别</v>
      </c>
      <c r="R36" s="4018" t="s">
        <v>13</v>
      </c>
      <c r="S36" s="4020">
        <f t="shared" si="10"/>
        <v>100</v>
      </c>
      <c r="T36" s="4018" t="s">
        <v>13</v>
      </c>
      <c r="U36" s="4020">
        <f t="shared" si="11"/>
        <v>100</v>
      </c>
      <c r="V36" s="4018" t="s">
        <v>13</v>
      </c>
      <c r="W36" s="4020">
        <f t="shared" si="12"/>
        <v>100</v>
      </c>
      <c r="X36" s="947"/>
      <c r="Y36" s="4412"/>
      <c r="Z36" s="945" t="str">
        <f t="shared" si="13"/>
        <v>土地级别</v>
      </c>
      <c r="AA36" s="945">
        <f t="shared" si="3"/>
        <v>1</v>
      </c>
      <c r="AB36" s="945">
        <f t="shared" si="4"/>
        <v>1</v>
      </c>
      <c r="AC36" s="945">
        <f t="shared" si="5"/>
        <v>1</v>
      </c>
    </row>
    <row r="37" spans="1:29" ht="15">
      <c r="A37" s="3285"/>
      <c r="B37" s="2944" t="s">
        <v>4669</v>
      </c>
      <c r="C37" s="3289" t="s">
        <v>4670</v>
      </c>
      <c r="D37" s="3029">
        <v>100</v>
      </c>
      <c r="E37" s="4573" t="s">
        <v>4671</v>
      </c>
      <c r="F37" s="3983">
        <f>SUMIF(111:111,E37,112:112)-SUMIF(111:111,C37,112:112)+100</f>
        <v>97</v>
      </c>
      <c r="G37" s="4573" t="s">
        <v>4671</v>
      </c>
      <c r="H37" s="3983">
        <f>SUMIF(111:111,G37,112:112)-SUMIF(111:111,C37,112:112)+100</f>
        <v>97</v>
      </c>
      <c r="I37" s="4573" t="s">
        <v>4671</v>
      </c>
      <c r="J37" s="3983">
        <f>SUMIF(111:111,I37,112:112)-SUMIF(111:111,C37,112:112)+100</f>
        <v>97</v>
      </c>
      <c r="K37" s="3003"/>
      <c r="L37" s="2026"/>
      <c r="M37" s="2021"/>
      <c r="N37" s="2021"/>
      <c r="O37" s="2076"/>
      <c r="P37" s="4490"/>
      <c r="Q37" s="1545" t="str">
        <f t="shared" si="8"/>
        <v>距离市中心</v>
      </c>
      <c r="R37" s="4018" t="s">
        <v>13</v>
      </c>
      <c r="S37" s="4020">
        <f t="shared" si="10"/>
        <v>97</v>
      </c>
      <c r="T37" s="4018" t="s">
        <v>13</v>
      </c>
      <c r="U37" s="4020">
        <f t="shared" si="11"/>
        <v>97</v>
      </c>
      <c r="V37" s="4018" t="s">
        <v>13</v>
      </c>
      <c r="W37" s="4020">
        <f t="shared" si="12"/>
        <v>97</v>
      </c>
      <c r="X37" s="947"/>
      <c r="Y37" s="4412"/>
      <c r="Z37" s="945" t="str">
        <f t="shared" si="13"/>
        <v>距离市中心</v>
      </c>
      <c r="AA37" s="945">
        <f t="shared" si="3"/>
        <v>1.0309278350515463</v>
      </c>
      <c r="AB37" s="945">
        <f t="shared" si="4"/>
        <v>1.0309278350515463</v>
      </c>
      <c r="AC37" s="945">
        <f t="shared" si="5"/>
        <v>1.0309278350515463</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1" t="s">
        <v>1614</v>
      </c>
      <c r="Q38" s="1545">
        <f t="shared" si="8"/>
        <v>111</v>
      </c>
      <c r="R38" s="4018" t="s">
        <v>13</v>
      </c>
      <c r="S38" s="4020">
        <f t="shared" si="10"/>
        <v>100</v>
      </c>
      <c r="T38" s="4018" t="s">
        <v>13</v>
      </c>
      <c r="U38" s="4020">
        <f t="shared" si="11"/>
        <v>100</v>
      </c>
      <c r="V38" s="4018" t="s">
        <v>13</v>
      </c>
      <c r="W38" s="4020">
        <f t="shared" si="12"/>
        <v>100</v>
      </c>
      <c r="X38" s="947"/>
      <c r="Y38" s="4416" t="s">
        <v>1614</v>
      </c>
      <c r="Z38" s="945">
        <f t="shared" si="13"/>
        <v>111</v>
      </c>
      <c r="AA38" s="945">
        <f t="shared" si="3"/>
        <v>1</v>
      </c>
      <c r="AB38" s="945">
        <f t="shared" si="4"/>
        <v>1</v>
      </c>
      <c r="AC38" s="945">
        <f t="shared" si="5"/>
        <v>1</v>
      </c>
    </row>
    <row r="39" spans="1:29" s="280" customFormat="1" ht="15.6"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2"/>
      <c r="Q39" s="1545">
        <f t="shared" si="8"/>
        <v>111</v>
      </c>
      <c r="R39" s="4019" t="s">
        <v>13</v>
      </c>
      <c r="S39" s="4021">
        <f t="shared" si="10"/>
        <v>100</v>
      </c>
      <c r="T39" s="4019" t="s">
        <v>13</v>
      </c>
      <c r="U39" s="4021">
        <f t="shared" si="11"/>
        <v>100</v>
      </c>
      <c r="V39" s="4019" t="s">
        <v>13</v>
      </c>
      <c r="W39" s="4021">
        <f t="shared" si="12"/>
        <v>100</v>
      </c>
      <c r="X39" s="494"/>
      <c r="Y39" s="4416"/>
      <c r="Z39" s="495">
        <f t="shared" si="13"/>
        <v>111</v>
      </c>
      <c r="AA39" s="945">
        <f t="shared" si="3"/>
        <v>1</v>
      </c>
      <c r="AB39" s="945">
        <f t="shared" si="4"/>
        <v>1</v>
      </c>
      <c r="AC39" s="945">
        <f t="shared" si="5"/>
        <v>1</v>
      </c>
    </row>
    <row r="40" spans="1:29" ht="15.6">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2"/>
      <c r="Q40" s="1545" t="str">
        <f>B40</f>
        <v>宗地面积</v>
      </c>
      <c r="R40" s="4018" t="s">
        <v>13</v>
      </c>
      <c r="S40" s="4020">
        <f t="shared" si="10"/>
        <v>104</v>
      </c>
      <c r="T40" s="4018" t="s">
        <v>13</v>
      </c>
      <c r="U40" s="4020">
        <f t="shared" si="11"/>
        <v>106</v>
      </c>
      <c r="V40" s="4018" t="s">
        <v>13</v>
      </c>
      <c r="W40" s="4020">
        <f t="shared" si="12"/>
        <v>106</v>
      </c>
      <c r="X40" s="947"/>
      <c r="Y40" s="4416"/>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2"/>
      <c r="Q41" s="1545" t="str">
        <f t="shared" ref="Q41:Q47" si="14">B41</f>
        <v>宗地形状</v>
      </c>
      <c r="R41" s="4018" t="s">
        <v>13</v>
      </c>
      <c r="S41" s="4020">
        <f t="shared" si="10"/>
        <v>100</v>
      </c>
      <c r="T41" s="4018" t="s">
        <v>13</v>
      </c>
      <c r="U41" s="4020">
        <f t="shared" si="11"/>
        <v>98</v>
      </c>
      <c r="V41" s="4018" t="s">
        <v>13</v>
      </c>
      <c r="W41" s="4020">
        <f t="shared" si="12"/>
        <v>99</v>
      </c>
      <c r="X41" s="947"/>
      <c r="Y41" s="4416"/>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2"/>
      <c r="Q42" s="1545" t="str">
        <f t="shared" si="14"/>
        <v>临街宽度及深度</v>
      </c>
      <c r="R42" s="4018" t="s">
        <v>13</v>
      </c>
      <c r="S42" s="4020">
        <f t="shared" si="10"/>
        <v>100</v>
      </c>
      <c r="T42" s="4018" t="s">
        <v>13</v>
      </c>
      <c r="U42" s="4020">
        <f t="shared" si="11"/>
        <v>100</v>
      </c>
      <c r="V42" s="4018" t="s">
        <v>13</v>
      </c>
      <c r="W42" s="4020">
        <f t="shared" si="12"/>
        <v>100</v>
      </c>
      <c r="X42" s="947"/>
      <c r="Y42" s="4416"/>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2"/>
      <c r="Q43" s="1545" t="str">
        <f t="shared" si="14"/>
        <v>宗地开发程度</v>
      </c>
      <c r="R43" s="4017" t="s">
        <v>13</v>
      </c>
      <c r="S43" s="3787">
        <f t="shared" si="10"/>
        <v>100</v>
      </c>
      <c r="T43" s="4017" t="s">
        <v>13</v>
      </c>
      <c r="U43" s="3787">
        <f t="shared" si="11"/>
        <v>100</v>
      </c>
      <c r="V43" s="4017" t="s">
        <v>13</v>
      </c>
      <c r="W43" s="3787">
        <f t="shared" si="12"/>
        <v>100</v>
      </c>
      <c r="X43" s="493"/>
      <c r="Y43" s="4416"/>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2" t="s">
        <v>1614</v>
      </c>
      <c r="Q44" s="1545" t="str">
        <f t="shared" si="14"/>
        <v>工程地质条件</v>
      </c>
      <c r="R44" s="4018" t="s">
        <v>13</v>
      </c>
      <c r="S44" s="4020">
        <f t="shared" si="10"/>
        <v>100</v>
      </c>
      <c r="T44" s="4018" t="s">
        <v>13</v>
      </c>
      <c r="U44" s="4020">
        <f t="shared" si="11"/>
        <v>100</v>
      </c>
      <c r="V44" s="4018" t="s">
        <v>13</v>
      </c>
      <c r="W44" s="4020">
        <f t="shared" si="12"/>
        <v>100</v>
      </c>
      <c r="X44" s="947"/>
      <c r="Y44" s="4416"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2"/>
      <c r="Q45" s="1545">
        <f t="shared" si="14"/>
        <v>111</v>
      </c>
      <c r="R45" s="4018" t="s">
        <v>13</v>
      </c>
      <c r="S45" s="4020">
        <f t="shared" si="10"/>
        <v>100</v>
      </c>
      <c r="T45" s="4018" t="s">
        <v>13</v>
      </c>
      <c r="U45" s="4020">
        <f t="shared" si="11"/>
        <v>100</v>
      </c>
      <c r="V45" s="4018" t="s">
        <v>13</v>
      </c>
      <c r="W45" s="4020">
        <f t="shared" si="12"/>
        <v>100</v>
      </c>
      <c r="X45" s="947"/>
      <c r="Y45" s="4416"/>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2"/>
      <c r="Q46" s="1545">
        <f t="shared" si="14"/>
        <v>111</v>
      </c>
      <c r="R46" s="4018" t="s">
        <v>13</v>
      </c>
      <c r="S46" s="4020">
        <f t="shared" si="10"/>
        <v>100</v>
      </c>
      <c r="T46" s="4018" t="s">
        <v>13</v>
      </c>
      <c r="U46" s="4020">
        <f t="shared" si="11"/>
        <v>100</v>
      </c>
      <c r="V46" s="4018" t="s">
        <v>13</v>
      </c>
      <c r="W46" s="4020">
        <f t="shared" si="12"/>
        <v>100</v>
      </c>
      <c r="X46" s="947"/>
      <c r="Y46" s="4416"/>
      <c r="Z46" s="945">
        <f t="shared" si="13"/>
        <v>111</v>
      </c>
      <c r="AA46" s="945">
        <f t="shared" si="3"/>
        <v>1</v>
      </c>
      <c r="AB46" s="945">
        <f t="shared" si="4"/>
        <v>1</v>
      </c>
      <c r="AC46" s="945">
        <f t="shared" si="5"/>
        <v>1</v>
      </c>
    </row>
    <row r="47" spans="1:29" s="280" customFormat="1" ht="15.6"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2"/>
      <c r="Q47" s="1545">
        <f t="shared" si="14"/>
        <v>111</v>
      </c>
      <c r="R47" s="4019" t="s">
        <v>13</v>
      </c>
      <c r="S47" s="4021">
        <f t="shared" si="10"/>
        <v>100</v>
      </c>
      <c r="T47" s="4019" t="s">
        <v>13</v>
      </c>
      <c r="U47" s="4021">
        <f t="shared" si="11"/>
        <v>100</v>
      </c>
      <c r="V47" s="4019" t="s">
        <v>13</v>
      </c>
      <c r="W47" s="4021">
        <f t="shared" si="12"/>
        <v>100</v>
      </c>
      <c r="X47" s="494"/>
      <c r="Y47" s="4416"/>
      <c r="Z47" s="495">
        <f t="shared" si="13"/>
        <v>111</v>
      </c>
      <c r="AA47" s="945">
        <f t="shared" si="3"/>
        <v>1</v>
      </c>
      <c r="AB47" s="945">
        <f t="shared" si="4"/>
        <v>1</v>
      </c>
      <c r="AC47" s="945">
        <f t="shared" si="5"/>
        <v>1</v>
      </c>
    </row>
    <row r="48" spans="1:29" ht="14.4">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04" t="str">
        <f>A48</f>
        <v>成交单价</v>
      </c>
      <c r="Q48" s="4404"/>
      <c r="R48" s="4405">
        <f>E48</f>
        <v>85331</v>
      </c>
      <c r="S48" s="4405"/>
      <c r="T48" s="4405">
        <f>G48</f>
        <v>78418</v>
      </c>
      <c r="U48" s="4405"/>
      <c r="V48" s="4405">
        <f>I48</f>
        <v>89234</v>
      </c>
      <c r="W48" s="4405"/>
      <c r="X48" s="266"/>
      <c r="Y48" s="496"/>
      <c r="Z48" s="266"/>
      <c r="AA48" s="266"/>
      <c r="AB48" s="266"/>
      <c r="AC48" s="266"/>
    </row>
    <row r="49" spans="1:29" ht="15" thickBot="1">
      <c r="A49" s="290" t="s">
        <v>1711</v>
      </c>
      <c r="B49" s="451"/>
      <c r="C49" s="4002">
        <f>R50</f>
        <v>84630</v>
      </c>
      <c r="D49" s="1740" t="s">
        <v>2054</v>
      </c>
      <c r="E49" s="4002">
        <f>R49</f>
        <v>84502</v>
      </c>
      <c r="F49" s="2945"/>
      <c r="G49" s="3991">
        <f>T49</f>
        <v>81811</v>
      </c>
      <c r="H49" s="2945"/>
      <c r="I49" s="4002">
        <f>V49</f>
        <v>87576</v>
      </c>
      <c r="J49" s="2945"/>
      <c r="K49" s="3000">
        <f>F49+H49+J49</f>
        <v>0</v>
      </c>
      <c r="L49" s="2028"/>
      <c r="M49" s="2021"/>
      <c r="N49" s="2021"/>
      <c r="O49" s="2021"/>
      <c r="P49" s="4404" t="str">
        <f>A49</f>
        <v>比较价值（元/平方米）</v>
      </c>
      <c r="Q49" s="4404"/>
      <c r="R49" s="4405">
        <f>ROUND(PRODUCT(R48,AA9:AA47),0)</f>
        <v>84502</v>
      </c>
      <c r="S49" s="4405"/>
      <c r="T49" s="4405">
        <f>ROUND(PRODUCT(T48,AB9:AB47),0)</f>
        <v>81811</v>
      </c>
      <c r="U49" s="4405"/>
      <c r="V49" s="4405">
        <f>ROUND(PRODUCT(V48,AC9:AC47),0)</f>
        <v>87576</v>
      </c>
      <c r="W49" s="4405"/>
      <c r="X49" s="266"/>
      <c r="Y49" s="266"/>
      <c r="Z49" s="266"/>
      <c r="AA49" s="266"/>
      <c r="AB49" s="266"/>
      <c r="AC49" s="266"/>
    </row>
    <row r="50" spans="1:29" ht="15" thickBot="1">
      <c r="A50" s="292" t="s">
        <v>1798</v>
      </c>
      <c r="B50" s="293"/>
      <c r="C50" s="4003">
        <f>R50</f>
        <v>84630</v>
      </c>
      <c r="D50" s="294"/>
      <c r="E50" s="294"/>
      <c r="F50" s="294"/>
      <c r="G50" s="294"/>
      <c r="H50" s="294"/>
      <c r="I50" s="294"/>
      <c r="J50" s="294"/>
      <c r="K50" s="3314"/>
      <c r="L50" s="2028"/>
      <c r="M50" s="2021"/>
      <c r="N50" s="2021"/>
      <c r="O50" s="2021"/>
      <c r="P50" s="4406" t="str">
        <f>A50</f>
        <v>估价对象XX用房的比较价值（楼面单价，元/平方米）</v>
      </c>
      <c r="Q50" s="4407"/>
      <c r="R50" s="4408">
        <f>ROUND(IF(D49="简单平均",AVERAGE(R49:W49),R49*F49+T49*H49+V49*J49),0)</f>
        <v>84630</v>
      </c>
      <c r="S50" s="4408"/>
      <c r="T50" s="4408"/>
      <c r="U50" s="4408"/>
      <c r="V50" s="4408"/>
      <c r="W50" s="4408"/>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9.8104186883150035E-3</v>
      </c>
      <c r="F53" s="300" t="str">
        <f>IF(OR(E53&gt;=0.3,E53&lt;=-0.3),"超过30%","")</f>
        <v/>
      </c>
      <c r="G53" s="299">
        <f>IF(G48&lt;G49,G49/G48-1,G48/G49-1)</f>
        <v>4.3268127215690289E-2</v>
      </c>
      <c r="H53" s="300" t="str">
        <f>IF(OR(G53&gt;=0.3,G53&lt;=-0.3),"超过30%","")</f>
        <v/>
      </c>
      <c r="I53" s="299">
        <f>IF(I48&lt;I49,I49/I48-1,I48/I49-1)</f>
        <v>1.8932127523522357E-2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3.2892887264548865E-2</v>
      </c>
      <c r="F54" s="300" t="str">
        <f>IF(OR(E54&gt;=0.2,E54&lt;=-0.2),"超过20%","")</f>
        <v/>
      </c>
      <c r="G54" s="299">
        <f>IF(G49&lt;I49,I49/G49-1,G49/I49-1)</f>
        <v>7.0467296573810456E-2</v>
      </c>
      <c r="H54" s="300" t="str">
        <f>IF(OR(G54&gt;=0.2,G54&lt;=-0.2),"超过20%","")</f>
        <v/>
      </c>
      <c r="I54" s="299">
        <f>IF(I49&lt;E49,E49/I49-1,I49/E49-1)</f>
        <v>3.6377837210953556E-2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66" t="s">
        <v>1805</v>
      </c>
      <c r="H57" s="4506"/>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84630</v>
      </c>
      <c r="C58" s="2976">
        <v>1</v>
      </c>
      <c r="D58" s="3253">
        <v>1</v>
      </c>
      <c r="E58" s="3252">
        <f>'数据-汇总表'!E8+'数据-汇总表'!E9</f>
        <v>5375</v>
      </c>
      <c r="F58" s="3274">
        <f t="shared" ref="F58:F66" si="15">ROUND(B58*E58/10000,0)</f>
        <v>45489</v>
      </c>
      <c r="G58" s="4507"/>
      <c r="H58" s="4494"/>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14810</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8463</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6347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6347</v>
      </c>
      <c r="C62" s="3251">
        <f t="shared" si="16"/>
        <v>0.3</v>
      </c>
      <c r="D62" s="3254">
        <v>0.25</v>
      </c>
      <c r="E62" s="3257">
        <f>'数据-汇总表'!E11</f>
        <v>50</v>
      </c>
      <c r="F62" s="3274">
        <f t="shared" si="15"/>
        <v>32</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6347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4232</v>
      </c>
      <c r="C64" s="3251">
        <f t="shared" si="16"/>
        <v>0.2</v>
      </c>
      <c r="D64" s="3254">
        <v>0.25</v>
      </c>
      <c r="E64" s="3257">
        <f>'数据-汇总表'!E13</f>
        <v>665.56</v>
      </c>
      <c r="F64" s="3274">
        <f t="shared" si="15"/>
        <v>282</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4232</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1820</v>
      </c>
      <c r="B66" s="4031">
        <f t="shared" si="17"/>
        <v>4232</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1821</v>
      </c>
      <c r="B67" s="460" t="s">
        <v>20</v>
      </c>
      <c r="C67" s="460" t="s">
        <v>21</v>
      </c>
      <c r="D67" s="3275" t="s">
        <v>386</v>
      </c>
      <c r="E67" s="3258">
        <f>IF(B48="楼面地价",SUM(E58:E66),'数据-汇总表'!D3)</f>
        <v>6090.5599999999995</v>
      </c>
      <c r="F67" s="3259">
        <f>IF(B48="楼面地价",SUM(F58:F66),ROUND(C50*E67/10000,0))</f>
        <v>45803</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4.4">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4.4"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ht="14.4">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4.4"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9.4"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4.4"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t="str">
        <f>B37</f>
        <v>距离市中心</v>
      </c>
      <c r="C111" s="348" t="s">
        <v>4670</v>
      </c>
      <c r="D111" s="348" t="s">
        <v>4672</v>
      </c>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v>100</v>
      </c>
      <c r="D112" s="353">
        <v>97</v>
      </c>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7.6">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xr:uid="{00000000-0002-0000-2000-000000000000}">
      <formula1>住宅朝向</formula1>
    </dataValidation>
    <dataValidation type="list" allowBlank="1" showInputMessage="1" showErrorMessage="1" sqref="E30 C30 G30 I30" xr:uid="{00000000-0002-0000-2000-000001000000}">
      <formula1>公共配套设施</formula1>
    </dataValidation>
    <dataValidation type="list" allowBlank="1" showInputMessage="1" showErrorMessage="1" sqref="E24 C24 G24 I24" xr:uid="{00000000-0002-0000-2000-000002000000}">
      <formula1>交通便捷度</formula1>
    </dataValidation>
    <dataValidation type="list" allowBlank="1" showInputMessage="1" showErrorMessage="1" sqref="E18 G18 I18 C18" xr:uid="{00000000-0002-0000-2000-000003000000}">
      <formula1>居住社区成熟度</formula1>
    </dataValidation>
    <dataValidation type="list" allowBlank="1" showInputMessage="1" showErrorMessage="1" sqref="C28 E28 G28 I28" xr:uid="{00000000-0002-0000-2000-000004000000}">
      <formula1>环境</formula1>
    </dataValidation>
    <dataValidation type="list" allowBlank="1" showInputMessage="1" showErrorMessage="1" sqref="B48" xr:uid="{00000000-0002-0000-2000-000005000000}">
      <formula1>单价内涵</formula1>
    </dataValidation>
    <dataValidation type="list" allowBlank="1" showInputMessage="1" showErrorMessage="1" sqref="C10 E10 G10 I10" xr:uid="{00000000-0002-0000-2000-000006000000}">
      <formula1>套综交易情况</formula1>
    </dataValidation>
    <dataValidation type="list" allowBlank="1" showInputMessage="1" showErrorMessage="1" sqref="C11 E11 G11 I11" xr:uid="{00000000-0002-0000-2000-000007000000}">
      <formula1>套综用途</formula1>
    </dataValidation>
    <dataValidation type="list" allowBlank="1" showInputMessage="1" showErrorMessage="1" sqref="E20 C20 G20 I20" xr:uid="{00000000-0002-0000-2000-000008000000}">
      <formula1>商业繁华度</formula1>
    </dataValidation>
    <dataValidation type="list" allowBlank="1" showInputMessage="1" showErrorMessage="1" sqref="E22 C22 G22 I22" xr:uid="{00000000-0002-0000-2000-000009000000}">
      <formula1>办公集聚程度</formula1>
    </dataValidation>
    <dataValidation type="list" allowBlank="1" showInputMessage="1" showErrorMessage="1" sqref="C35 E35 G35 I35" xr:uid="{00000000-0002-0000-2000-00000A000000}">
      <formula1>套综道路等级</formula1>
    </dataValidation>
    <dataValidation type="list" allowBlank="1" showInputMessage="1" showErrorMessage="1" sqref="C36 E36 G36 I36" xr:uid="{00000000-0002-0000-2000-00000B000000}">
      <formula1>套综土地级别</formula1>
    </dataValidation>
    <dataValidation type="list" allowBlank="1" showInputMessage="1" showErrorMessage="1" sqref="C41 E41 G41 I41" xr:uid="{00000000-0002-0000-2000-00000C000000}">
      <formula1>套综宗地形状</formula1>
    </dataValidation>
    <dataValidation type="list" allowBlank="1" showInputMessage="1" showErrorMessage="1" sqref="C42 E42 G42 I42" xr:uid="{00000000-0002-0000-2000-00000D000000}">
      <formula1>套综临街宽度及深度</formula1>
    </dataValidation>
    <dataValidation type="list" allowBlank="1" showInputMessage="1" showErrorMessage="1" sqref="C43 E43 G43 I43" xr:uid="{00000000-0002-0000-2000-00000E000000}">
      <formula1>套综宗地内开发程度</formula1>
    </dataValidation>
    <dataValidation type="list" allowBlank="1" showInputMessage="1" showErrorMessage="1" sqref="C44 E44 G44 I44" xr:uid="{00000000-0002-0000-2000-00000F000000}">
      <formula1>套综工程地质条件</formula1>
    </dataValidation>
    <dataValidation type="list" allowBlank="1" showInputMessage="1" showErrorMessage="1" sqref="C33 E33 G33 I33" xr:uid="{00000000-0002-0000-2000-000010000000}">
      <formula1>临街状况</formula1>
    </dataValidation>
    <dataValidation type="list" allowBlank="1" showInputMessage="1" showErrorMessage="1" sqref="E26 G26 I26 C26" xr:uid="{00000000-0002-0000-2000-000011000000}">
      <formula1>区域土地利用方向</formula1>
    </dataValidation>
    <dataValidation type="list" allowBlank="1" showInputMessage="1" showErrorMessage="1" sqref="C57" xr:uid="{00000000-0002-0000-2000-000012000000}">
      <formula1>"北京市系数,其他省市系数"</formula1>
    </dataValidation>
    <dataValidation type="list" allowBlank="1" showInputMessage="1" showErrorMessage="1" sqref="G63" xr:uid="{00000000-0002-0000-2000-000013000000}">
      <formula1>"商业,办公,住宅,工业"</formula1>
    </dataValidation>
    <dataValidation type="list" allowBlank="1" showInputMessage="1" showErrorMessage="1" sqref="G64" xr:uid="{00000000-0002-0000-2000-000014000000}">
      <formula1>"住宅,工业"</formula1>
    </dataValidation>
    <dataValidation type="list" allowBlank="1" showInputMessage="1" showErrorMessage="1" sqref="C32 E32 G32 I32" xr:uid="{00000000-0002-0000-2000-000015000000}">
      <formula1>基础设施水平</formula1>
    </dataValidation>
    <dataValidation type="list" allowBlank="1" showInputMessage="1" showErrorMessage="1" sqref="A72" xr:uid="{00000000-0002-0000-2000-000016000000}">
      <formula1>"综合,商业,办公,住宅"</formula1>
    </dataValidation>
    <dataValidation type="list" allowBlank="1" showInputMessage="1" showErrorMessage="1" sqref="D49" xr:uid="{00000000-0002-0000-2000-000017000000}">
      <formula1>"简单平均,加权平均"</formula1>
    </dataValidation>
    <dataValidation type="list" allowBlank="1" showInputMessage="1" showErrorMessage="1" sqref="D59:D66"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48" t="s">
        <v>1687</v>
      </c>
      <c r="B6" s="3349"/>
      <c r="C6" s="4423" t="s">
        <v>1688</v>
      </c>
      <c r="D6" s="4424"/>
      <c r="E6" s="4425" t="s">
        <v>1689</v>
      </c>
      <c r="F6" s="4426"/>
      <c r="G6" s="4423" t="s">
        <v>1690</v>
      </c>
      <c r="H6" s="4424"/>
      <c r="I6" s="4423" t="s">
        <v>1691</v>
      </c>
      <c r="J6" s="4424"/>
      <c r="K6" s="397" t="s">
        <v>1692</v>
      </c>
      <c r="L6" s="2020"/>
      <c r="M6" s="2021"/>
      <c r="N6" s="2021"/>
      <c r="O6" s="2021"/>
      <c r="P6" s="4427" t="s">
        <v>1693</v>
      </c>
      <c r="Q6" s="4428"/>
      <c r="R6" s="4433" t="s">
        <v>1689</v>
      </c>
      <c r="S6" s="4434"/>
      <c r="T6" s="4433" t="s">
        <v>1690</v>
      </c>
      <c r="U6" s="4434"/>
      <c r="V6" s="4439" t="s">
        <v>1691</v>
      </c>
      <c r="W6" s="4439"/>
      <c r="X6" s="947"/>
      <c r="Y6" s="4448" t="s">
        <v>1693</v>
      </c>
      <c r="Z6" s="4449"/>
      <c r="AA6" s="4420" t="s">
        <v>1689</v>
      </c>
      <c r="AB6" s="4421" t="s">
        <v>1690</v>
      </c>
      <c r="AC6" s="4420" t="s">
        <v>1691</v>
      </c>
    </row>
    <row r="7" spans="1:29">
      <c r="A7" s="3285"/>
      <c r="B7" s="3350"/>
      <c r="C7" s="4442" t="s">
        <v>1591</v>
      </c>
      <c r="D7" s="4443"/>
      <c r="E7" s="4458" t="s">
        <v>1592</v>
      </c>
      <c r="F7" s="4459"/>
      <c r="G7" s="4442" t="s">
        <v>1593</v>
      </c>
      <c r="H7" s="4443"/>
      <c r="I7" s="4442" t="s">
        <v>1594</v>
      </c>
      <c r="J7" s="4443"/>
      <c r="K7" s="397"/>
      <c r="L7" s="2020"/>
      <c r="M7" s="2021"/>
      <c r="N7" s="2021"/>
      <c r="O7" s="2021"/>
      <c r="P7" s="4429"/>
      <c r="Q7" s="4430"/>
      <c r="R7" s="4435"/>
      <c r="S7" s="4436"/>
      <c r="T7" s="4435"/>
      <c r="U7" s="4436"/>
      <c r="V7" s="4439"/>
      <c r="W7" s="4439"/>
      <c r="X7" s="947"/>
      <c r="Y7" s="4450"/>
      <c r="Z7" s="4451"/>
      <c r="AA7" s="4421"/>
      <c r="AB7" s="4421"/>
      <c r="AC7" s="4421"/>
    </row>
    <row r="8" spans="1:29" ht="15" thickBot="1">
      <c r="A8" s="3351"/>
      <c r="B8" s="3352"/>
      <c r="C8" s="4508" t="s">
        <v>1837</v>
      </c>
      <c r="D8" s="4509"/>
      <c r="E8" s="4510" t="s">
        <v>1837</v>
      </c>
      <c r="F8" s="4511"/>
      <c r="G8" s="4508" t="s">
        <v>1837</v>
      </c>
      <c r="H8" s="4509"/>
      <c r="I8" s="4508" t="s">
        <v>1837</v>
      </c>
      <c r="J8" s="4509"/>
      <c r="K8" s="397" t="s">
        <v>1596</v>
      </c>
      <c r="L8" s="2020"/>
      <c r="M8" s="2021"/>
      <c r="N8" s="2021"/>
      <c r="O8" s="2021"/>
      <c r="P8" s="4431"/>
      <c r="Q8" s="4432"/>
      <c r="R8" s="4435"/>
      <c r="S8" s="4436"/>
      <c r="T8" s="4437"/>
      <c r="U8" s="4438"/>
      <c r="V8" s="4439"/>
      <c r="W8" s="4439"/>
      <c r="X8" s="947"/>
      <c r="Y8" s="4452"/>
      <c r="Z8" s="4453"/>
      <c r="AA8" s="4422"/>
      <c r="AB8" s="4422"/>
      <c r="AC8" s="4422"/>
    </row>
    <row r="9" spans="1:29" s="46" customFormat="1" ht="1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44" t="s">
        <v>1598</v>
      </c>
      <c r="Q9" s="4454"/>
      <c r="R9" s="4017" t="s">
        <v>13</v>
      </c>
      <c r="S9" s="3787">
        <f t="shared" ref="S9:S17" si="0">F9</f>
        <v>0</v>
      </c>
      <c r="T9" s="4017" t="s">
        <v>13</v>
      </c>
      <c r="U9" s="3787">
        <f t="shared" ref="U9:U17" si="1">H9</f>
        <v>0</v>
      </c>
      <c r="V9" s="4017" t="s">
        <v>13</v>
      </c>
      <c r="W9" s="3787">
        <f t="shared" ref="W9:W17" si="2">J9</f>
        <v>0</v>
      </c>
      <c r="X9" s="493"/>
      <c r="Y9" s="4446" t="s">
        <v>1598</v>
      </c>
      <c r="Z9" s="4447"/>
      <c r="AA9" s="28" t="e">
        <f>D9/F9</f>
        <v>#DIV/0!</v>
      </c>
      <c r="AB9" s="28" t="e">
        <f>D9/H9</f>
        <v>#DIV/0!</v>
      </c>
      <c r="AC9" s="28" t="e">
        <f>D9/J9</f>
        <v>#DIV/0!</v>
      </c>
    </row>
    <row r="10" spans="1:29" s="46" customFormat="1" ht="1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44" t="s">
        <v>1601</v>
      </c>
      <c r="Q10" s="4445"/>
      <c r="R10" s="4017" t="s">
        <v>13</v>
      </c>
      <c r="S10" s="3787">
        <f t="shared" si="0"/>
        <v>0</v>
      </c>
      <c r="T10" s="4017" t="s">
        <v>13</v>
      </c>
      <c r="U10" s="3787">
        <f t="shared" si="1"/>
        <v>0</v>
      </c>
      <c r="V10" s="4017" t="s">
        <v>13</v>
      </c>
      <c r="W10" s="3787">
        <f t="shared" si="2"/>
        <v>0</v>
      </c>
      <c r="X10" s="493"/>
      <c r="Y10" s="4446" t="s">
        <v>1601</v>
      </c>
      <c r="Z10" s="4447"/>
      <c r="AA10" s="28" t="e">
        <f t="shared" ref="AA10:AA42" si="3">D10/F10</f>
        <v>#DIV/0!</v>
      </c>
      <c r="AB10" s="28" t="e">
        <f t="shared" ref="AB10:AB42" si="4">D10/H10</f>
        <v>#DIV/0!</v>
      </c>
      <c r="AC10" s="28" t="e">
        <f t="shared" ref="AC10:AC42" si="5">D10/J10</f>
        <v>#DIV/0!</v>
      </c>
    </row>
    <row r="11" spans="1:29" s="46" customFormat="1" ht="14.4">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04" t="s">
        <v>1604</v>
      </c>
      <c r="Q11" s="1745" t="str">
        <f t="shared" ref="Q11:Q17" si="6">B11</f>
        <v>用途</v>
      </c>
      <c r="R11" s="4017" t="s">
        <v>13</v>
      </c>
      <c r="S11" s="3787">
        <f t="shared" si="0"/>
        <v>100</v>
      </c>
      <c r="T11" s="4017" t="s">
        <v>13</v>
      </c>
      <c r="U11" s="3787">
        <f t="shared" si="1"/>
        <v>100</v>
      </c>
      <c r="V11" s="4017" t="s">
        <v>13</v>
      </c>
      <c r="W11" s="3787">
        <f t="shared" si="2"/>
        <v>100</v>
      </c>
      <c r="X11" s="493"/>
      <c r="Y11" s="4419"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04"/>
      <c r="Q12" s="1745" t="str">
        <f t="shared" si="6"/>
        <v>土地使用年限（年）</v>
      </c>
      <c r="R12" s="4017" t="s">
        <v>13</v>
      </c>
      <c r="S12" s="3787">
        <f t="shared" si="0"/>
        <v>100.1</v>
      </c>
      <c r="T12" s="4017" t="s">
        <v>13</v>
      </c>
      <c r="U12" s="3787">
        <f t="shared" si="1"/>
        <v>100.1</v>
      </c>
      <c r="V12" s="4017" t="s">
        <v>13</v>
      </c>
      <c r="W12" s="3787">
        <f t="shared" si="2"/>
        <v>100.1</v>
      </c>
      <c r="X12" s="493"/>
      <c r="Y12" s="4419"/>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04"/>
      <c r="Q13" s="1745" t="str">
        <f t="shared" si="6"/>
        <v>容积率</v>
      </c>
      <c r="R13" s="4017" t="s">
        <v>13</v>
      </c>
      <c r="S13" s="3787" t="e">
        <f t="shared" si="0"/>
        <v>#N/A</v>
      </c>
      <c r="T13" s="4017" t="s">
        <v>13</v>
      </c>
      <c r="U13" s="3787" t="e">
        <f t="shared" si="1"/>
        <v>#N/A</v>
      </c>
      <c r="V13" s="4017" t="s">
        <v>13</v>
      </c>
      <c r="W13" s="3787" t="e">
        <f t="shared" si="2"/>
        <v>#N/A</v>
      </c>
      <c r="X13" s="493"/>
      <c r="Y13" s="4419"/>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04"/>
      <c r="Q14" s="1745">
        <f t="shared" si="6"/>
        <v>111</v>
      </c>
      <c r="R14" s="4017" t="s">
        <v>13</v>
      </c>
      <c r="S14" s="3787">
        <f t="shared" si="0"/>
        <v>100</v>
      </c>
      <c r="T14" s="4017" t="s">
        <v>13</v>
      </c>
      <c r="U14" s="3787">
        <f t="shared" si="1"/>
        <v>100</v>
      </c>
      <c r="V14" s="4017" t="s">
        <v>13</v>
      </c>
      <c r="W14" s="3787">
        <f t="shared" si="2"/>
        <v>100</v>
      </c>
      <c r="X14" s="493"/>
      <c r="Y14" s="4419"/>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04"/>
      <c r="Q15" s="1745">
        <f t="shared" si="6"/>
        <v>111</v>
      </c>
      <c r="R15" s="4017" t="s">
        <v>13</v>
      </c>
      <c r="S15" s="3787">
        <f t="shared" si="0"/>
        <v>100</v>
      </c>
      <c r="T15" s="4017" t="s">
        <v>13</v>
      </c>
      <c r="U15" s="3787">
        <f t="shared" si="1"/>
        <v>100</v>
      </c>
      <c r="V15" s="4017" t="s">
        <v>13</v>
      </c>
      <c r="W15" s="3787">
        <f t="shared" si="2"/>
        <v>100</v>
      </c>
      <c r="X15" s="493"/>
      <c r="Y15" s="4419"/>
      <c r="Z15" s="28">
        <f t="shared" si="7"/>
        <v>111</v>
      </c>
      <c r="AA15" s="28">
        <f t="shared" si="3"/>
        <v>1</v>
      </c>
      <c r="AB15" s="28">
        <f t="shared" si="4"/>
        <v>1</v>
      </c>
      <c r="AC15" s="28">
        <f t="shared" si="5"/>
        <v>1</v>
      </c>
    </row>
    <row r="16" spans="1:29" ht="15.6"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04"/>
      <c r="Q16" s="1745">
        <f t="shared" si="6"/>
        <v>111</v>
      </c>
      <c r="R16" s="4017" t="s">
        <v>13</v>
      </c>
      <c r="S16" s="3787">
        <f t="shared" si="0"/>
        <v>100</v>
      </c>
      <c r="T16" s="4017" t="s">
        <v>13</v>
      </c>
      <c r="U16" s="3787">
        <f t="shared" si="1"/>
        <v>100</v>
      </c>
      <c r="V16" s="4017" t="s">
        <v>13</v>
      </c>
      <c r="W16" s="3787">
        <f t="shared" si="2"/>
        <v>100</v>
      </c>
      <c r="X16" s="493"/>
      <c r="Y16" s="4419"/>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89" t="s">
        <v>1609</v>
      </c>
      <c r="Q17" s="1545" t="str">
        <f t="shared" si="6"/>
        <v>产业集聚程度</v>
      </c>
      <c r="R17" s="4018" t="s">
        <v>13</v>
      </c>
      <c r="S17" s="4020">
        <f t="shared" si="0"/>
        <v>100</v>
      </c>
      <c r="T17" s="4018" t="s">
        <v>13</v>
      </c>
      <c r="U17" s="4020">
        <f t="shared" si="1"/>
        <v>100</v>
      </c>
      <c r="V17" s="4018" t="s">
        <v>13</v>
      </c>
      <c r="W17" s="4020">
        <f t="shared" si="2"/>
        <v>100</v>
      </c>
      <c r="X17" s="947"/>
      <c r="Y17" s="4411"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0"/>
      <c r="Q18" s="1545"/>
      <c r="R18" s="4018"/>
      <c r="S18" s="4020"/>
      <c r="T18" s="4018"/>
      <c r="U18" s="4020"/>
      <c r="V18" s="4018"/>
      <c r="W18" s="4020"/>
      <c r="X18" s="947"/>
      <c r="Y18" s="4412"/>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0"/>
      <c r="Q19" s="1545" t="str">
        <f>B19</f>
        <v>交通便捷度</v>
      </c>
      <c r="R19" s="4018" t="s">
        <v>13</v>
      </c>
      <c r="S19" s="4020">
        <f>F19</f>
        <v>100</v>
      </c>
      <c r="T19" s="4018" t="s">
        <v>13</v>
      </c>
      <c r="U19" s="4020">
        <f>H19</f>
        <v>100</v>
      </c>
      <c r="V19" s="4018" t="s">
        <v>13</v>
      </c>
      <c r="W19" s="4020">
        <f>J19</f>
        <v>100</v>
      </c>
      <c r="X19" s="947"/>
      <c r="Y19" s="4412"/>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0"/>
      <c r="Q20" s="1545"/>
      <c r="R20" s="4018"/>
      <c r="S20" s="4020"/>
      <c r="T20" s="4018"/>
      <c r="U20" s="4020"/>
      <c r="V20" s="4018"/>
      <c r="W20" s="4020"/>
      <c r="X20" s="947"/>
      <c r="Y20" s="4412"/>
      <c r="Z20" s="945"/>
      <c r="AA20" s="945">
        <v>1</v>
      </c>
      <c r="AB20" s="945">
        <v>1</v>
      </c>
      <c r="AC20" s="945">
        <v>1</v>
      </c>
    </row>
    <row r="21" spans="1:29" ht="28.8">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0"/>
      <c r="Q21" s="1545" t="str">
        <f t="shared" ref="Q21:Q35" si="8">B21</f>
        <v>区域土地利用方向</v>
      </c>
      <c r="R21" s="4018" t="s">
        <v>13</v>
      </c>
      <c r="S21" s="4020">
        <f>F21</f>
        <v>100</v>
      </c>
      <c r="T21" s="4018" t="s">
        <v>13</v>
      </c>
      <c r="U21" s="4020">
        <f>H21</f>
        <v>100</v>
      </c>
      <c r="V21" s="4018" t="s">
        <v>13</v>
      </c>
      <c r="W21" s="4020">
        <f>J21</f>
        <v>100</v>
      </c>
      <c r="X21" s="947"/>
      <c r="Y21" s="4412"/>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0"/>
      <c r="Q22" s="1545"/>
      <c r="R22" s="4018"/>
      <c r="S22" s="4020"/>
      <c r="T22" s="4018"/>
      <c r="U22" s="4020"/>
      <c r="V22" s="4018"/>
      <c r="W22" s="4020"/>
      <c r="X22" s="947"/>
      <c r="Y22" s="4412"/>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0"/>
      <c r="Q23" s="1545" t="str">
        <f t="shared" si="8"/>
        <v>环境状况</v>
      </c>
      <c r="R23" s="4018" t="s">
        <v>13</v>
      </c>
      <c r="S23" s="4020">
        <f>F23</f>
        <v>100</v>
      </c>
      <c r="T23" s="4018" t="s">
        <v>13</v>
      </c>
      <c r="U23" s="4020">
        <f>H23</f>
        <v>100</v>
      </c>
      <c r="V23" s="4018" t="s">
        <v>13</v>
      </c>
      <c r="W23" s="4020">
        <f>J23</f>
        <v>100</v>
      </c>
      <c r="X23" s="947"/>
      <c r="Y23" s="4412"/>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0"/>
      <c r="Q24" s="1545"/>
      <c r="R24" s="4018"/>
      <c r="S24" s="4020"/>
      <c r="T24" s="4018"/>
      <c r="U24" s="4020"/>
      <c r="V24" s="4018"/>
      <c r="W24" s="4020"/>
      <c r="X24" s="947"/>
      <c r="Y24" s="4412"/>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0"/>
      <c r="Q25" s="1745" t="str">
        <f t="shared" si="8"/>
        <v>公共配套设施</v>
      </c>
      <c r="R25" s="4017" t="s">
        <v>13</v>
      </c>
      <c r="S25" s="3787">
        <f>F25</f>
        <v>100</v>
      </c>
      <c r="T25" s="4017" t="s">
        <v>13</v>
      </c>
      <c r="U25" s="3787">
        <f>H25</f>
        <v>100</v>
      </c>
      <c r="V25" s="4017" t="s">
        <v>13</v>
      </c>
      <c r="W25" s="3787">
        <f>J25</f>
        <v>100</v>
      </c>
      <c r="X25" s="493"/>
      <c r="Y25" s="4412"/>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0"/>
      <c r="Q26" s="1745"/>
      <c r="R26" s="4017"/>
      <c r="S26" s="3787"/>
      <c r="T26" s="4017"/>
      <c r="U26" s="3787"/>
      <c r="V26" s="4017"/>
      <c r="W26" s="3787"/>
      <c r="X26" s="493"/>
      <c r="Y26" s="4412"/>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0"/>
      <c r="Q27" s="1745" t="str">
        <f t="shared" ref="Q27" si="9">B27</f>
        <v>基础设施水平</v>
      </c>
      <c r="R27" s="4017" t="s">
        <v>13</v>
      </c>
      <c r="S27" s="3787">
        <f>F27</f>
        <v>100</v>
      </c>
      <c r="T27" s="4017" t="s">
        <v>13</v>
      </c>
      <c r="U27" s="3787">
        <f>H27</f>
        <v>100</v>
      </c>
      <c r="V27" s="4017" t="s">
        <v>13</v>
      </c>
      <c r="W27" s="3787">
        <f>J27</f>
        <v>100</v>
      </c>
      <c r="X27" s="493"/>
      <c r="Y27" s="4412"/>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0"/>
      <c r="Q28" s="1745"/>
      <c r="R28" s="4017"/>
      <c r="S28" s="3787"/>
      <c r="T28" s="4017"/>
      <c r="U28" s="3787"/>
      <c r="V28" s="4017"/>
      <c r="W28" s="3787"/>
      <c r="X28" s="493"/>
      <c r="Y28" s="4412"/>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0"/>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12"/>
      <c r="Z29" s="945" t="str">
        <f t="shared" ref="Z29:Z42" si="13">Q29</f>
        <v>临街状况</v>
      </c>
      <c r="AA29" s="945">
        <f t="shared" si="3"/>
        <v>1</v>
      </c>
      <c r="AB29" s="945">
        <f t="shared" si="4"/>
        <v>1</v>
      </c>
      <c r="AC29" s="945">
        <f t="shared" si="5"/>
        <v>1</v>
      </c>
    </row>
    <row r="30" spans="1:29" ht="28.8">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0"/>
      <c r="Q30" s="1545" t="str">
        <f t="shared" si="8"/>
        <v>毗邻道路的类型与等级</v>
      </c>
      <c r="R30" s="4018" t="s">
        <v>13</v>
      </c>
      <c r="S30" s="4020">
        <f t="shared" si="10"/>
        <v>100</v>
      </c>
      <c r="T30" s="4018" t="s">
        <v>13</v>
      </c>
      <c r="U30" s="4020">
        <f t="shared" si="11"/>
        <v>100</v>
      </c>
      <c r="V30" s="4018" t="s">
        <v>13</v>
      </c>
      <c r="W30" s="4020">
        <f t="shared" si="12"/>
        <v>100</v>
      </c>
      <c r="X30" s="947"/>
      <c r="Y30" s="4412"/>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0"/>
      <c r="Q31" s="1545"/>
      <c r="R31" s="4018"/>
      <c r="S31" s="4020"/>
      <c r="T31" s="4018"/>
      <c r="U31" s="4020"/>
      <c r="V31" s="4018"/>
      <c r="W31" s="4020"/>
      <c r="X31" s="947"/>
      <c r="Y31" s="4412"/>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0"/>
      <c r="Q32" s="1545" t="str">
        <f t="shared" si="8"/>
        <v>土地级别</v>
      </c>
      <c r="R32" s="4018" t="s">
        <v>13</v>
      </c>
      <c r="S32" s="4020">
        <f t="shared" si="10"/>
        <v>100</v>
      </c>
      <c r="T32" s="4018" t="s">
        <v>13</v>
      </c>
      <c r="U32" s="4020">
        <f t="shared" si="11"/>
        <v>100</v>
      </c>
      <c r="V32" s="4018" t="s">
        <v>13</v>
      </c>
      <c r="W32" s="4020">
        <f t="shared" si="12"/>
        <v>100</v>
      </c>
      <c r="X32" s="947"/>
      <c r="Y32" s="4412"/>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0"/>
      <c r="Q33" s="1545">
        <f t="shared" si="8"/>
        <v>111</v>
      </c>
      <c r="R33" s="4018" t="s">
        <v>13</v>
      </c>
      <c r="S33" s="4020">
        <f t="shared" si="10"/>
        <v>100</v>
      </c>
      <c r="T33" s="4018" t="s">
        <v>13</v>
      </c>
      <c r="U33" s="4020">
        <f t="shared" si="11"/>
        <v>100</v>
      </c>
      <c r="V33" s="4018" t="s">
        <v>13</v>
      </c>
      <c r="W33" s="4020">
        <f t="shared" si="12"/>
        <v>100</v>
      </c>
      <c r="X33" s="947"/>
      <c r="Y33" s="4412"/>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1" t="s">
        <v>1614</v>
      </c>
      <c r="Q34" s="1545">
        <f t="shared" si="8"/>
        <v>111</v>
      </c>
      <c r="R34" s="4018" t="s">
        <v>13</v>
      </c>
      <c r="S34" s="4020">
        <f t="shared" si="10"/>
        <v>100</v>
      </c>
      <c r="T34" s="4018" t="s">
        <v>13</v>
      </c>
      <c r="U34" s="4020">
        <f t="shared" si="11"/>
        <v>100</v>
      </c>
      <c r="V34" s="4018" t="s">
        <v>13</v>
      </c>
      <c r="W34" s="4020">
        <f t="shared" si="12"/>
        <v>100</v>
      </c>
      <c r="X34" s="947"/>
      <c r="Y34" s="4416" t="s">
        <v>1614</v>
      </c>
      <c r="Z34" s="945">
        <f t="shared" si="13"/>
        <v>111</v>
      </c>
      <c r="AA34" s="945">
        <f t="shared" si="3"/>
        <v>1</v>
      </c>
      <c r="AB34" s="945">
        <f t="shared" si="4"/>
        <v>1</v>
      </c>
      <c r="AC34" s="945">
        <f t="shared" si="5"/>
        <v>1</v>
      </c>
    </row>
    <row r="35" spans="1:31" s="280" customFormat="1" ht="15.6"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2"/>
      <c r="Q35" s="1545">
        <f t="shared" si="8"/>
        <v>111</v>
      </c>
      <c r="R35" s="4019" t="s">
        <v>13</v>
      </c>
      <c r="S35" s="4021">
        <f t="shared" si="10"/>
        <v>100</v>
      </c>
      <c r="T35" s="4019" t="s">
        <v>13</v>
      </c>
      <c r="U35" s="4021">
        <f t="shared" si="11"/>
        <v>100</v>
      </c>
      <c r="V35" s="4019" t="s">
        <v>13</v>
      </c>
      <c r="W35" s="4021">
        <f t="shared" si="12"/>
        <v>100</v>
      </c>
      <c r="X35" s="494"/>
      <c r="Y35" s="4416"/>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2"/>
      <c r="Q36" s="1545" t="str">
        <f>B36</f>
        <v>宗地面积</v>
      </c>
      <c r="R36" s="4018" t="s">
        <v>13</v>
      </c>
      <c r="S36" s="4020" t="e">
        <f t="shared" si="10"/>
        <v>#N/A</v>
      </c>
      <c r="T36" s="4018" t="s">
        <v>13</v>
      </c>
      <c r="U36" s="4020" t="e">
        <f t="shared" si="11"/>
        <v>#N/A</v>
      </c>
      <c r="V36" s="4018" t="s">
        <v>13</v>
      </c>
      <c r="W36" s="4020" t="e">
        <f t="shared" si="12"/>
        <v>#N/A</v>
      </c>
      <c r="X36" s="947"/>
      <c r="Y36" s="4416"/>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2"/>
      <c r="Q37" s="1545" t="str">
        <f t="shared" ref="Q37:Q42" si="14">B37</f>
        <v>宗地形状</v>
      </c>
      <c r="R37" s="4018" t="s">
        <v>13</v>
      </c>
      <c r="S37" s="4020">
        <f t="shared" si="10"/>
        <v>100</v>
      </c>
      <c r="T37" s="4018" t="s">
        <v>13</v>
      </c>
      <c r="U37" s="4020">
        <f t="shared" si="11"/>
        <v>100</v>
      </c>
      <c r="V37" s="4018" t="s">
        <v>13</v>
      </c>
      <c r="W37" s="4020">
        <f t="shared" si="12"/>
        <v>100</v>
      </c>
      <c r="X37" s="947"/>
      <c r="Y37" s="4416"/>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2"/>
      <c r="Q38" s="1545" t="str">
        <f t="shared" si="14"/>
        <v>宗地开发程度</v>
      </c>
      <c r="R38" s="4017" t="s">
        <v>13</v>
      </c>
      <c r="S38" s="3787">
        <f t="shared" si="10"/>
        <v>100</v>
      </c>
      <c r="T38" s="4017" t="s">
        <v>13</v>
      </c>
      <c r="U38" s="3787">
        <f t="shared" si="11"/>
        <v>100</v>
      </c>
      <c r="V38" s="4017" t="s">
        <v>13</v>
      </c>
      <c r="W38" s="3787">
        <f t="shared" si="12"/>
        <v>100</v>
      </c>
      <c r="X38" s="493"/>
      <c r="Y38" s="4416"/>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2" t="s">
        <v>1614</v>
      </c>
      <c r="Q39" s="1545" t="str">
        <f t="shared" si="14"/>
        <v>工程地质条件</v>
      </c>
      <c r="R39" s="4018" t="s">
        <v>13</v>
      </c>
      <c r="S39" s="4020">
        <f t="shared" si="10"/>
        <v>100</v>
      </c>
      <c r="T39" s="4018" t="s">
        <v>13</v>
      </c>
      <c r="U39" s="4020">
        <f t="shared" si="11"/>
        <v>100</v>
      </c>
      <c r="V39" s="4018" t="s">
        <v>13</v>
      </c>
      <c r="W39" s="4020">
        <f t="shared" si="12"/>
        <v>100</v>
      </c>
      <c r="X39" s="947"/>
      <c r="Y39" s="4416"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2"/>
      <c r="Q40" s="1545">
        <f t="shared" si="14"/>
        <v>111</v>
      </c>
      <c r="R40" s="4018" t="s">
        <v>13</v>
      </c>
      <c r="S40" s="4020">
        <f t="shared" si="10"/>
        <v>100</v>
      </c>
      <c r="T40" s="4018" t="s">
        <v>13</v>
      </c>
      <c r="U40" s="4020">
        <f t="shared" si="11"/>
        <v>100</v>
      </c>
      <c r="V40" s="4018" t="s">
        <v>13</v>
      </c>
      <c r="W40" s="4020">
        <f t="shared" si="12"/>
        <v>100</v>
      </c>
      <c r="X40" s="947"/>
      <c r="Y40" s="4416"/>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2"/>
      <c r="Q41" s="1545">
        <f t="shared" si="14"/>
        <v>111</v>
      </c>
      <c r="R41" s="4018" t="s">
        <v>13</v>
      </c>
      <c r="S41" s="4020">
        <f t="shared" si="10"/>
        <v>100</v>
      </c>
      <c r="T41" s="4018" t="s">
        <v>13</v>
      </c>
      <c r="U41" s="4020">
        <f t="shared" si="11"/>
        <v>100</v>
      </c>
      <c r="V41" s="4018" t="s">
        <v>13</v>
      </c>
      <c r="W41" s="4020">
        <f t="shared" si="12"/>
        <v>100</v>
      </c>
      <c r="X41" s="947"/>
      <c r="Y41" s="4416"/>
      <c r="Z41" s="945">
        <f t="shared" si="13"/>
        <v>111</v>
      </c>
      <c r="AA41" s="945">
        <f t="shared" si="3"/>
        <v>1</v>
      </c>
      <c r="AB41" s="945">
        <f t="shared" si="4"/>
        <v>1</v>
      </c>
      <c r="AC41" s="945">
        <f t="shared" si="5"/>
        <v>1</v>
      </c>
    </row>
    <row r="42" spans="1:31" s="280" customFormat="1" ht="15.6"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2"/>
      <c r="Q42" s="1545">
        <f t="shared" si="14"/>
        <v>111</v>
      </c>
      <c r="R42" s="4019" t="s">
        <v>13</v>
      </c>
      <c r="S42" s="4021">
        <f t="shared" si="10"/>
        <v>100</v>
      </c>
      <c r="T42" s="4019" t="s">
        <v>13</v>
      </c>
      <c r="U42" s="4021">
        <f t="shared" si="11"/>
        <v>100</v>
      </c>
      <c r="V42" s="4019" t="s">
        <v>13</v>
      </c>
      <c r="W42" s="4021">
        <f t="shared" si="12"/>
        <v>100</v>
      </c>
      <c r="X42" s="494"/>
      <c r="Y42" s="4416"/>
      <c r="Z42" s="495">
        <f t="shared" si="13"/>
        <v>111</v>
      </c>
      <c r="AA42" s="945">
        <f t="shared" si="3"/>
        <v>1</v>
      </c>
      <c r="AB42" s="945">
        <f t="shared" si="4"/>
        <v>1</v>
      </c>
      <c r="AC42" s="945">
        <f t="shared" si="5"/>
        <v>1</v>
      </c>
    </row>
    <row r="43" spans="1:31" ht="14.4">
      <c r="A43" s="287" t="s">
        <v>1762</v>
      </c>
      <c r="B43" s="1468" t="s">
        <v>1840</v>
      </c>
      <c r="C43" s="450" t="s">
        <v>0</v>
      </c>
      <c r="D43" s="3364"/>
      <c r="E43" s="3416"/>
      <c r="F43" s="3341"/>
      <c r="G43" s="3417"/>
      <c r="H43" s="3342"/>
      <c r="I43" s="3416"/>
      <c r="J43" s="3342"/>
      <c r="K43" s="3007"/>
      <c r="L43" s="2028"/>
      <c r="M43" s="2021"/>
      <c r="N43" s="2021"/>
      <c r="O43" s="2021"/>
      <c r="P43" s="4404" t="str">
        <f>A43</f>
        <v>成交单价</v>
      </c>
      <c r="Q43" s="4404"/>
      <c r="R43" s="4405">
        <f>E43</f>
        <v>0</v>
      </c>
      <c r="S43" s="4405"/>
      <c r="T43" s="4405">
        <f>G43</f>
        <v>0</v>
      </c>
      <c r="U43" s="4405"/>
      <c r="V43" s="4405">
        <f>I43</f>
        <v>0</v>
      </c>
      <c r="W43" s="4405"/>
      <c r="X43" s="266"/>
      <c r="Y43" s="496"/>
      <c r="Z43" s="266"/>
      <c r="AA43" s="266"/>
      <c r="AB43" s="266"/>
      <c r="AC43" s="266"/>
    </row>
    <row r="44" spans="1:31" ht="1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04" t="str">
        <f>A44</f>
        <v>比较价值（元/平方米）</v>
      </c>
      <c r="Q44" s="4404"/>
      <c r="R44" s="4405" t="e">
        <f>ROUND(PRODUCT(R43,AA9:AA42),0)</f>
        <v>#DIV/0!</v>
      </c>
      <c r="S44" s="4405"/>
      <c r="T44" s="4405" t="e">
        <f>ROUND(PRODUCT(T43,AB9:AB42),0)</f>
        <v>#DIV/0!</v>
      </c>
      <c r="U44" s="4405"/>
      <c r="V44" s="4405" t="e">
        <f>ROUND(PRODUCT(V43,AC9:AC42),0)</f>
        <v>#DIV/0!</v>
      </c>
      <c r="W44" s="4405"/>
      <c r="X44" s="266"/>
      <c r="Y44" s="266"/>
      <c r="Z44" s="266"/>
      <c r="AA44" s="266"/>
      <c r="AB44" s="266"/>
      <c r="AC44" s="266"/>
    </row>
    <row r="45" spans="1:31" ht="15" thickBot="1">
      <c r="A45" s="292" t="s">
        <v>1712</v>
      </c>
      <c r="B45" s="293"/>
      <c r="C45" s="4003" t="e">
        <f>R45</f>
        <v>#DIV/0!</v>
      </c>
      <c r="D45" s="3343"/>
      <c r="E45" s="3343"/>
      <c r="F45" s="3343"/>
      <c r="G45" s="3343"/>
      <c r="H45" s="3343"/>
      <c r="I45" s="3343"/>
      <c r="J45" s="3343"/>
      <c r="K45" s="3366"/>
      <c r="L45" s="2028"/>
      <c r="M45" s="2021"/>
      <c r="N45" s="2021"/>
      <c r="O45" s="2021"/>
      <c r="P45" s="4406" t="str">
        <f>A45</f>
        <v>估价对象XX用房的比较价值（楼面单价，元/平方米）</v>
      </c>
      <c r="Q45" s="4407"/>
      <c r="R45" s="4408" t="e">
        <f>ROUND(IF(D44="简单平均",AVERAGE(R44:W44),R44*F44+T44*H44+V44*J44),0)</f>
        <v>#DIV/0!</v>
      </c>
      <c r="S45" s="4408"/>
      <c r="T45" s="4408"/>
      <c r="U45" s="4408"/>
      <c r="V45" s="4408"/>
      <c r="W45" s="440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1799</v>
      </c>
      <c r="B52" s="453" t="s">
        <v>1800</v>
      </c>
      <c r="C52" s="1469" t="s">
        <v>1801</v>
      </c>
      <c r="D52" s="1470" t="s">
        <v>1802</v>
      </c>
      <c r="E52" s="454" t="s">
        <v>1803</v>
      </c>
      <c r="F52" s="455" t="s">
        <v>1804</v>
      </c>
      <c r="G52" s="4466" t="s">
        <v>1805</v>
      </c>
      <c r="H52" s="4506"/>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7"/>
      <c r="H53" s="4494"/>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4.4">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ht="14.4">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9.4"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xr:uid="{00000000-0002-0000-2100-000000000000}">
      <formula1>单价内涵</formula1>
    </dataValidation>
    <dataValidation type="list" allowBlank="1" showInputMessage="1" showErrorMessage="1" sqref="C24 E24 G24 I24" xr:uid="{00000000-0002-0000-2100-000001000000}">
      <formula1>环境</formula1>
    </dataValidation>
    <dataValidation type="list" allowBlank="1" showInputMessage="1" showErrorMessage="1" sqref="E20 C20 G20 I20" xr:uid="{00000000-0002-0000-2100-000002000000}">
      <formula1>交通便捷度</formula1>
    </dataValidation>
    <dataValidation type="list" allowBlank="1" showInputMessage="1" showErrorMessage="1" sqref="E26 C26 G26 I26" xr:uid="{00000000-0002-0000-2100-000003000000}">
      <formula1>公共配套设施</formula1>
    </dataValidation>
    <dataValidation type="list" allowBlank="1" showInputMessage="1" showErrorMessage="1" sqref="C10 E10 G10 I10" xr:uid="{00000000-0002-0000-2100-000004000000}">
      <formula1>套工交易情况</formula1>
    </dataValidation>
    <dataValidation type="list" allowBlank="1" showInputMessage="1" showErrorMessage="1" sqref="C11 E11 G11 I11" xr:uid="{00000000-0002-0000-2100-000005000000}">
      <formula1>套工用途</formula1>
    </dataValidation>
    <dataValidation type="list" allowBlank="1" showInputMessage="1" showErrorMessage="1" sqref="I32 E32 G32" xr:uid="{00000000-0002-0000-2100-000006000000}">
      <formula1>套工土地级别</formula1>
    </dataValidation>
    <dataValidation type="list" allowBlank="1" showInputMessage="1" showErrorMessage="1" sqref="C29 E29 G29 I29" xr:uid="{00000000-0002-0000-2100-000007000000}">
      <formula1>临街状况</formula1>
    </dataValidation>
    <dataValidation type="list" allowBlank="1" showInputMessage="1" showErrorMessage="1" sqref="E22 G22 I22 C22" xr:uid="{00000000-0002-0000-2100-000008000000}">
      <formula1>区域土地利用方向</formula1>
    </dataValidation>
    <dataValidation type="list" allowBlank="1" showInputMessage="1" showErrorMessage="1" sqref="C52" xr:uid="{00000000-0002-0000-2100-000009000000}">
      <formula1>"北京市系数,其他省市系数"</formula1>
    </dataValidation>
    <dataValidation type="list" allowBlank="1" showInputMessage="1" showErrorMessage="1" sqref="C18 E18 G18 I18" xr:uid="{00000000-0002-0000-2100-00000A000000}">
      <formula1>产业集聚程度</formula1>
    </dataValidation>
    <dataValidation type="list" allowBlank="1" showInputMessage="1" showErrorMessage="1" sqref="C31 E31 G31 I31" xr:uid="{00000000-0002-0000-2100-00000B000000}">
      <formula1>套工道路等级</formula1>
    </dataValidation>
    <dataValidation type="list" allowBlank="1" showInputMessage="1" showErrorMessage="1" sqref="C37 E37 G37 I37" xr:uid="{00000000-0002-0000-2100-00000C000000}">
      <formula1>套工宗地形状</formula1>
    </dataValidation>
    <dataValidation type="list" allowBlank="1" showInputMessage="1" showErrorMessage="1" sqref="C38 E38 G38 I38" xr:uid="{00000000-0002-0000-2100-00000D000000}">
      <formula1>套工宗地开发程度</formula1>
    </dataValidation>
    <dataValidation type="list" allowBlank="1" showInputMessage="1" showErrorMessage="1" sqref="C39 E39 G39 I39" xr:uid="{00000000-0002-0000-2100-00000E000000}">
      <formula1>套工地质条件</formula1>
    </dataValidation>
    <dataValidation type="list" allowBlank="1" showInputMessage="1" showErrorMessage="1" sqref="G60" xr:uid="{00000000-0002-0000-2100-00000F000000}">
      <formula1>"住宅,工业"</formula1>
    </dataValidation>
    <dataValidation type="list" allowBlank="1" showInputMessage="1" showErrorMessage="1" sqref="G59" xr:uid="{00000000-0002-0000-2100-000010000000}">
      <formula1>"商业,办公,住宅,工业"</formula1>
    </dataValidation>
    <dataValidation type="list" allowBlank="1" showInputMessage="1" showErrorMessage="1" sqref="D54:D62" xr:uid="{00000000-0002-0000-2100-000011000000}">
      <formula1>"25%,1"</formula1>
    </dataValidation>
    <dataValidation type="list" allowBlank="1" showInputMessage="1" showErrorMessage="1" sqref="C28 E28 G28 I28" xr:uid="{00000000-0002-0000-2100-000012000000}">
      <formula1>基础设施水平</formula1>
    </dataValidation>
    <dataValidation type="list" allowBlank="1" showInputMessage="1" showErrorMessage="1" sqref="D44"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ColWidth="8.88671875" defaultRowHeight="14.4"/>
  <cols>
    <col min="1" max="1" width="32.21875" style="864" customWidth="1"/>
    <col min="2" max="3" width="22.21875" style="864" hidden="1" customWidth="1"/>
    <col min="4" max="4" width="11.33203125" style="864" hidden="1" customWidth="1"/>
    <col min="5" max="5" width="14.6640625" style="864" hidden="1" customWidth="1"/>
    <col min="6" max="6" width="22.21875" style="864" hidden="1" customWidth="1"/>
    <col min="7" max="10" width="22.21875" style="864" customWidth="1"/>
    <col min="11" max="13" width="9.33203125" style="864" customWidth="1"/>
    <col min="14" max="14" width="10.44140625" style="864" customWidth="1"/>
    <col min="15" max="23" width="22.21875" style="864" customWidth="1"/>
    <col min="24" max="25" width="22.21875" style="864" hidden="1" customWidth="1"/>
    <col min="26" max="29" width="22.21875" style="864" customWidth="1"/>
    <col min="30" max="32" width="22.21875" style="864" hidden="1" customWidth="1"/>
    <col min="33" max="39" width="22.21875" style="864" customWidth="1"/>
    <col min="40" max="42" width="22.21875" style="864" hidden="1" customWidth="1"/>
    <col min="43" max="43" width="22.21875" style="864" customWidth="1"/>
    <col min="44" max="44" width="22.21875" style="864" hidden="1" customWidth="1"/>
    <col min="45" max="45" width="22.21875" style="864" customWidth="1"/>
    <col min="46" max="46" width="22.21875" style="864" hidden="1" customWidth="1"/>
    <col min="47" max="47" width="22.21875" style="864" customWidth="1"/>
    <col min="48" max="48" width="22.21875" style="864" hidden="1" customWidth="1"/>
    <col min="49" max="49" width="22.21875" style="864" customWidth="1"/>
    <col min="50" max="50" width="22.21875" style="864" hidden="1" customWidth="1"/>
    <col min="51" max="68" width="22.21875" style="864" customWidth="1"/>
    <col min="69" max="16384" width="8.88671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xr:uid="{00000000-0009-0000-0000-000022000000}"/>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18" sqref="C1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1539</v>
      </c>
      <c r="B1" s="47"/>
      <c r="C1" s="819"/>
      <c r="D1" s="818"/>
      <c r="E1" s="2098"/>
      <c r="F1" s="2098"/>
      <c r="G1" s="1982"/>
      <c r="H1" s="2098"/>
      <c r="I1" s="2098"/>
      <c r="J1" s="2098"/>
      <c r="K1" s="2099">
        <f>MATCH(C1,'数据-取费表'!A6:A16,0)+5</f>
        <v>8</v>
      </c>
    </row>
    <row r="2" spans="1:33" ht="18" customHeight="1">
      <c r="A2" s="97" t="s">
        <v>1437</v>
      </c>
      <c r="B2" s="2615">
        <f ca="1">IF(D2="含税",C37,C36)</f>
        <v>50621</v>
      </c>
      <c r="C2" s="172" t="s">
        <v>1540</v>
      </c>
      <c r="D2" s="3540" t="s">
        <v>4661</v>
      </c>
      <c r="E2" s="2098"/>
      <c r="G2" s="2098"/>
      <c r="H2" s="2098"/>
      <c r="I2" s="2098"/>
      <c r="J2" s="2098"/>
      <c r="K2" s="2098"/>
    </row>
    <row r="3" spans="1:33" ht="18" customHeight="1">
      <c r="A3" s="99" t="s">
        <v>1439</v>
      </c>
      <c r="B3" s="2615">
        <f ca="1">ROUND(B2*10000/IF(C1="",'数据-汇总表'!E3,INDIRECT("'数据-取费表'!K"&amp;$K$1)),0)</f>
        <v>50655</v>
      </c>
      <c r="C3" s="172" t="s">
        <v>1541</v>
      </c>
      <c r="E3" s="542"/>
      <c r="I3" s="2098"/>
      <c r="J3" s="2098"/>
      <c r="K3" s="2098"/>
    </row>
    <row r="4" spans="1:33" ht="18" customHeight="1">
      <c r="A4" s="3596" t="s">
        <v>3669</v>
      </c>
      <c r="B4" s="3601">
        <f ca="1">ROUND(B2*10000/IF(C1="",'数据-汇总表'!D3,INDIRECT("'数据-取费表'!R"&amp;$K$1)),0)</f>
        <v>187485</v>
      </c>
      <c r="C4" s="3600" t="s">
        <v>1541</v>
      </c>
      <c r="E4" s="542"/>
      <c r="I4" s="2098"/>
      <c r="J4" s="2098"/>
      <c r="K4" s="2098"/>
    </row>
    <row r="5" spans="1:33" ht="18" customHeight="1" thickBot="1">
      <c r="A5" s="95"/>
      <c r="B5" s="3597">
        <f ca="1">ROUND(B2/(IF(C1="",'数据-汇总表'!D3,INDIRECT("'数据-取费表'!R"&amp;$K$1))/666.67),0)</f>
        <v>12499</v>
      </c>
      <c r="C5" s="3599" t="s">
        <v>3667</v>
      </c>
      <c r="E5" s="542"/>
      <c r="I5" s="2098"/>
      <c r="J5" s="2098"/>
      <c r="K5" s="2098"/>
    </row>
    <row r="6" spans="1:33" s="543" customFormat="1" ht="16.5" customHeight="1">
      <c r="A6" s="2759" t="s">
        <v>3395</v>
      </c>
      <c r="B6" s="2758"/>
      <c r="C6" s="4512" t="s">
        <v>3397</v>
      </c>
      <c r="D6" s="4512"/>
      <c r="E6" s="4512"/>
      <c r="F6" s="4512"/>
      <c r="G6" s="4512"/>
      <c r="H6" s="4512"/>
      <c r="I6" s="4512"/>
      <c r="J6" s="4512"/>
      <c r="K6" s="4513"/>
    </row>
    <row r="7" spans="1:33" s="546" customFormat="1" ht="14.4">
      <c r="A7" s="2580" t="s">
        <v>1542</v>
      </c>
      <c r="B7" s="2766" t="s">
        <v>1543</v>
      </c>
      <c r="C7" s="1380" t="s">
        <v>3284</v>
      </c>
      <c r="D7" s="1380" t="s">
        <v>4641</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136936</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71459</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3410</v>
      </c>
      <c r="B11" s="4517"/>
      <c r="C11" s="4517"/>
      <c r="D11" s="4517"/>
      <c r="E11" s="4517"/>
      <c r="F11" s="4517"/>
      <c r="G11" s="4517"/>
      <c r="H11" s="4517"/>
      <c r="I11" s="4517"/>
      <c r="J11" s="4517"/>
      <c r="K11" s="4518"/>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74084</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9133</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7827</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157</v>
      </c>
      <c r="D17" s="550"/>
      <c r="E17" s="55"/>
      <c r="F17" s="2779">
        <f>'数据-取费表'!B33</f>
        <v>0.02</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376</v>
      </c>
      <c r="D18" s="567"/>
      <c r="E18" s="55"/>
      <c r="F18" s="2779">
        <f>'数据-取费表'!B34</f>
        <v>7.0000000000000007E-2</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157</v>
      </c>
      <c r="D25" s="2763"/>
      <c r="E25" s="2764"/>
      <c r="F25" s="2779">
        <f>'数据-取费表'!B36</f>
        <v>0.02</v>
      </c>
      <c r="G25" s="2763"/>
      <c r="H25" s="2763"/>
      <c r="I25" s="2763"/>
      <c r="J25" s="2763"/>
      <c r="K25" s="2794"/>
    </row>
    <row r="26" spans="1:33" s="552" customFormat="1" ht="13.5" customHeight="1">
      <c r="A26" s="2760" t="s">
        <v>3402</v>
      </c>
      <c r="B26" s="2803" t="s">
        <v>3416</v>
      </c>
      <c r="C26" s="2775">
        <f ca="1">ROUND(C16*F26,0)</f>
        <v>78</v>
      </c>
      <c r="D26" s="553"/>
      <c r="E26" s="557"/>
      <c r="F26" s="2779">
        <f>'数据-取费表'!B37</f>
        <v>0.01</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183</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2223</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361+0.0655V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361</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4" t="s">
        <v>3409</v>
      </c>
      <c r="H32" s="4514"/>
      <c r="I32" s="4514"/>
      <c r="J32" s="4514"/>
      <c r="K32" s="4515"/>
    </row>
    <row r="33" spans="1:11" s="177" customFormat="1" ht="13.5" customHeight="1">
      <c r="A33" s="2580">
        <v>8</v>
      </c>
      <c r="B33" s="2765" t="s">
        <v>1565</v>
      </c>
      <c r="C33" s="2814" t="str">
        <f ca="1">C35&amp;"+"&amp;C34&amp;"V"</f>
        <v>2192+0.1958V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2192</v>
      </c>
      <c r="D35" s="175"/>
      <c r="E35" s="553"/>
      <c r="F35" s="2781"/>
      <c r="G35" s="55"/>
      <c r="H35" s="55"/>
      <c r="I35" s="55"/>
      <c r="J35" s="55"/>
      <c r="K35" s="2789"/>
    </row>
    <row r="36" spans="1:11" s="549" customFormat="1" ht="15.6">
      <c r="A36" s="2580">
        <v>9</v>
      </c>
      <c r="B36" s="2786" t="s">
        <v>3408</v>
      </c>
      <c r="C36" s="2770">
        <f ca="1">ROUND((C13-C15-C27-C28-C31-C35-C32)/(1+F14+C30+C34),0)</f>
        <v>46441</v>
      </c>
      <c r="D36" s="2787"/>
      <c r="E36" s="2787"/>
      <c r="F36" s="173"/>
      <c r="G36" s="2824" t="s">
        <v>3420</v>
      </c>
      <c r="H36" s="2787"/>
      <c r="I36" s="2787"/>
      <c r="J36" s="2787"/>
      <c r="K36" s="2788"/>
    </row>
    <row r="37" spans="1:11" s="2930" customFormat="1" ht="15" thickBot="1">
      <c r="A37" s="2800">
        <v>10</v>
      </c>
      <c r="B37" s="2801" t="s">
        <v>3514</v>
      </c>
      <c r="C37" s="2927">
        <f ca="1">ROUND(C36*(1+F37),0)</f>
        <v>50621</v>
      </c>
      <c r="D37" s="2928"/>
      <c r="E37" s="2929"/>
      <c r="F37" s="2802">
        <v>0.09</v>
      </c>
      <c r="G37" s="2786" t="s">
        <v>3515</v>
      </c>
      <c r="H37" s="2787"/>
      <c r="I37" s="2787"/>
      <c r="J37" s="2787"/>
      <c r="K37" s="2788"/>
    </row>
    <row r="38" spans="1:11" ht="12.75" customHeight="1"/>
    <row r="44" spans="1:11" s="3420" customFormat="1" ht="18" thickBot="1">
      <c r="A44" s="3425" t="s">
        <v>3524</v>
      </c>
      <c r="B44" s="1906"/>
      <c r="C44" s="3426"/>
      <c r="D44" s="1906"/>
      <c r="E44" s="1906"/>
      <c r="F44" s="1906"/>
      <c r="G44" s="1906"/>
    </row>
    <row r="45" spans="1:11" s="3420" customFormat="1" ht="14.4">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74084</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9133</v>
      </c>
      <c r="D49" s="654"/>
      <c r="E49" s="654"/>
      <c r="F49" s="654"/>
      <c r="G49" s="654"/>
    </row>
    <row r="50" spans="1:7" s="3420" customFormat="1">
      <c r="A50" s="3424" t="s">
        <v>3537</v>
      </c>
      <c r="B50" s="2804" t="s">
        <v>3541</v>
      </c>
      <c r="C50" s="2774">
        <f ca="1">C16</f>
        <v>7827</v>
      </c>
      <c r="D50" s="654"/>
      <c r="E50" s="654"/>
      <c r="F50" s="654"/>
      <c r="G50" s="654"/>
    </row>
    <row r="51" spans="1:7" s="3420" customFormat="1">
      <c r="A51" s="3424" t="s">
        <v>3552</v>
      </c>
      <c r="B51" s="654" t="s">
        <v>3538</v>
      </c>
      <c r="C51" s="2774">
        <f t="shared" ref="C51:C53" ca="1" si="0">C17</f>
        <v>157</v>
      </c>
      <c r="D51" s="654"/>
      <c r="E51" s="654"/>
      <c r="F51" s="654"/>
      <c r="G51" s="654"/>
    </row>
    <row r="52" spans="1:7" s="3420" customFormat="1">
      <c r="A52" s="3424" t="s">
        <v>3553</v>
      </c>
      <c r="B52" s="654" t="s">
        <v>3539</v>
      </c>
      <c r="C52" s="2774">
        <f t="shared" ca="1" si="0"/>
        <v>376</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157</v>
      </c>
      <c r="D57" s="654"/>
      <c r="E57" s="654"/>
      <c r="F57" s="654"/>
      <c r="G57" s="654"/>
    </row>
    <row r="58" spans="1:7" s="3420" customFormat="1">
      <c r="A58" s="3424" t="s">
        <v>3556</v>
      </c>
      <c r="B58" s="654" t="s">
        <v>3543</v>
      </c>
      <c r="C58" s="2774">
        <f ca="1">C26</f>
        <v>78</v>
      </c>
      <c r="D58" s="654"/>
      <c r="E58" s="654"/>
      <c r="F58" s="654"/>
      <c r="G58" s="654"/>
    </row>
    <row r="59" spans="1:7" s="3420" customFormat="1">
      <c r="A59" s="3423" t="s">
        <v>3535</v>
      </c>
      <c r="B59" s="2804" t="s">
        <v>3529</v>
      </c>
      <c r="C59" s="2774">
        <f ca="1">C27</f>
        <v>183</v>
      </c>
      <c r="D59" s="654"/>
      <c r="E59" s="654"/>
      <c r="F59" s="654"/>
      <c r="G59" s="654"/>
    </row>
    <row r="60" spans="1:7" s="3420" customFormat="1">
      <c r="A60" s="3423" t="s">
        <v>3547</v>
      </c>
      <c r="B60" s="2804" t="s">
        <v>3548</v>
      </c>
      <c r="C60" s="2774">
        <f ca="1">C61+C62</f>
        <v>2223</v>
      </c>
      <c r="D60" s="654"/>
      <c r="E60" s="654"/>
      <c r="F60" s="654"/>
      <c r="G60" s="654"/>
    </row>
    <row r="61" spans="1:7" s="3420" customFormat="1">
      <c r="A61" s="3424" t="s">
        <v>3537</v>
      </c>
      <c r="B61" s="2804" t="s">
        <v>3532</v>
      </c>
      <c r="C61" s="2774">
        <f ca="1">C28</f>
        <v>2223</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361+0.0655V</v>
      </c>
      <c r="D63" s="654"/>
      <c r="E63" s="654"/>
      <c r="F63" s="654"/>
      <c r="G63" s="654"/>
    </row>
    <row r="64" spans="1:7" s="3420" customFormat="1">
      <c r="A64" s="654">
        <v>4</v>
      </c>
      <c r="B64" s="2804" t="s">
        <v>3533</v>
      </c>
      <c r="C64" s="2774" t="str">
        <f ca="1">C33</f>
        <v>2192+0.1958V</v>
      </c>
      <c r="D64" s="654"/>
      <c r="E64" s="654"/>
      <c r="F64" s="654"/>
      <c r="G64" s="654"/>
    </row>
    <row r="65" spans="1:7" s="3420" customFormat="1">
      <c r="A65" s="654">
        <v>5</v>
      </c>
      <c r="B65" s="2804" t="s">
        <v>3534</v>
      </c>
      <c r="C65" s="2774">
        <f ca="1">C36</f>
        <v>46441</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0" sqref="J40"/>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1" t="s">
        <v>1999</v>
      </c>
      <c r="B1" s="4"/>
      <c r="C1" s="4"/>
      <c r="D1" s="4"/>
      <c r="E1" s="4"/>
      <c r="F1" s="2078"/>
      <c r="G1" s="2078"/>
      <c r="H1" s="2078"/>
      <c r="I1" s="2078"/>
      <c r="J1" s="2078"/>
      <c r="K1" s="2078"/>
      <c r="L1" s="2078"/>
      <c r="M1" s="2078"/>
      <c r="N1" s="2078"/>
      <c r="O1" s="2078"/>
      <c r="P1" s="2078"/>
    </row>
    <row r="2" spans="1:16" ht="15.6">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6">
      <c r="A3" s="1615" t="s">
        <v>1994</v>
      </c>
      <c r="B3" s="3064" t="e">
        <f ca="1">ROUND(B2*10000/E2,0)</f>
        <v>#DIV/0!</v>
      </c>
      <c r="C3" s="1615" t="s">
        <v>2000</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30" t="s">
        <v>1995</v>
      </c>
      <c r="B5" s="1932" t="s">
        <v>1996</v>
      </c>
      <c r="C5" s="1616"/>
      <c r="D5" s="2078"/>
      <c r="E5" s="1933" t="s">
        <v>1997</v>
      </c>
      <c r="F5" s="2078"/>
      <c r="G5" s="2078"/>
      <c r="H5" s="2078"/>
      <c r="I5" s="2078"/>
      <c r="J5" s="2078"/>
      <c r="K5" s="2078"/>
      <c r="L5" s="2078"/>
      <c r="M5" s="2078"/>
      <c r="N5" s="2078"/>
      <c r="O5" s="2078"/>
      <c r="P5" s="2078"/>
    </row>
    <row r="6" spans="1:16" ht="15.6">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6">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6">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6">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6">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6">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6">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6">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3.2"/>
  <cols>
    <col min="1" max="1" width="9.77734375" style="1528" customWidth="1"/>
    <col min="2" max="2" width="22.44140625" style="1614" customWidth="1"/>
    <col min="3" max="3" width="12" style="1478"/>
    <col min="4" max="4" width="14.88671875" style="1478" customWidth="1"/>
    <col min="5" max="5" width="14.6640625" style="1478" customWidth="1"/>
    <col min="6" max="8" width="12" style="1478"/>
    <col min="9" max="9" width="12.21875" style="1478" bestFit="1" customWidth="1"/>
    <col min="10" max="10" width="12" style="1478"/>
    <col min="11" max="11" width="8.109375" style="1524" customWidth="1"/>
    <col min="12" max="12" width="19.44140625" style="1478" customWidth="1"/>
    <col min="13" max="13" width="8.44140625" style="1478" customWidth="1"/>
    <col min="14" max="14" width="9.77734375" style="1478" customWidth="1"/>
    <col min="15" max="25" width="12" style="1478"/>
    <col min="26" max="26" width="9.33203125" style="1528" customWidth="1"/>
    <col min="27" max="32" width="9.33203125" style="785" customWidth="1"/>
    <col min="33" max="36" width="9.33203125" style="1528" customWidth="1"/>
    <col min="37" max="38" width="9.33203125" style="1478" customWidth="1"/>
    <col min="39" max="16384" width="12" style="1478"/>
  </cols>
  <sheetData>
    <row r="1" spans="1:36" ht="31.2">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6">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6">
      <c r="A3" s="99" t="s">
        <v>1858</v>
      </c>
      <c r="B3" s="2615" t="e">
        <f>ROUND(B2*10000/D1,0)</f>
        <v>#DIV/0!</v>
      </c>
      <c r="C3" s="1479" t="s">
        <v>1859</v>
      </c>
      <c r="D3" s="68" t="s">
        <v>1860</v>
      </c>
      <c r="E3" s="2553"/>
      <c r="F3" s="1481" t="s">
        <v>4662</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6">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6"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6"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6"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3" t="s">
        <v>1878</v>
      </c>
      <c r="X8" s="4524"/>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5"/>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8"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24.6"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24">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6"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ht="24">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3.8">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4.4"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3.8">
      <c r="A20" s="4526" t="s">
        <v>3155</v>
      </c>
      <c r="B20" s="66" t="s">
        <v>1912</v>
      </c>
      <c r="C20" s="3077" t="e">
        <f>ROUND(IF(F21="与级别开发程度一致",0,(G21-E21)/C21),0)</f>
        <v>#DIV/0!</v>
      </c>
      <c r="D20" s="2482" t="s">
        <v>1916</v>
      </c>
      <c r="E20" s="2483"/>
      <c r="F20" s="4532" t="s">
        <v>1913</v>
      </c>
      <c r="G20" s="4533"/>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4.4" thickBot="1">
      <c r="A21" s="4527"/>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4.6"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6"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4">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4">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3.8">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8"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36.6"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6" thickBot="1">
      <c r="A37" s="4530"/>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1"/>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8" thickBot="1">
      <c r="A39" s="4531"/>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8"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5.2">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5.2">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79.2">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52.8">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66.599999999999994"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5.2">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79.2">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52.8">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66.599999999999994"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5.2">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79.2">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79.2">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48">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3.8">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52.8">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36">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66">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36.6"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4.4">
      <c r="A81" s="1598" t="s">
        <v>1987</v>
      </c>
      <c r="B81" s="1599">
        <f>1+E83</f>
        <v>1</v>
      </c>
      <c r="C81" s="514"/>
      <c r="D81" s="514"/>
      <c r="E81" s="515"/>
      <c r="F81" s="1600"/>
      <c r="G81" s="3"/>
      <c r="H81" s="3"/>
      <c r="I81" s="3"/>
      <c r="J81" s="4"/>
      <c r="K81" s="4"/>
      <c r="L81" s="4"/>
      <c r="M81" s="4"/>
      <c r="N81" s="4"/>
      <c r="Z81" s="1478"/>
      <c r="AA81" s="1528"/>
      <c r="AG81" s="785"/>
      <c r="AK81" s="1528"/>
    </row>
    <row r="82" spans="1:37" ht="25.2">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24">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48">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3.8">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36">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4.4"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3.8">
      <c r="A91" s="2513" t="s">
        <v>2513</v>
      </c>
      <c r="B91" s="2514">
        <f>1+E93</f>
        <v>1</v>
      </c>
      <c r="C91" s="2507"/>
      <c r="D91" s="2508"/>
      <c r="E91" s="1339"/>
      <c r="F91" s="1339"/>
      <c r="G91" s="2509"/>
      <c r="H91" s="2510"/>
      <c r="I91" s="2511"/>
      <c r="J91" s="2512"/>
      <c r="K91" s="2512"/>
      <c r="L91" s="2512"/>
      <c r="M91" s="2512"/>
      <c r="N91" s="2512"/>
    </row>
    <row r="92" spans="1:37" ht="25.2">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79.2">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48">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7.200000000000003">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36">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52.8">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66.599999999999994"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8" t="s">
        <v>3193</v>
      </c>
      <c r="B103" s="4528"/>
      <c r="C103" s="4528"/>
      <c r="D103" s="4528"/>
      <c r="E103" s="4528"/>
      <c r="F103" s="4528"/>
      <c r="G103" s="4528"/>
      <c r="H103" s="4528"/>
      <c r="I103" s="4528"/>
      <c r="J103" s="4528"/>
      <c r="K103" s="1331"/>
      <c r="L103" s="1331"/>
      <c r="M103" s="1331"/>
      <c r="N103" s="1331"/>
    </row>
    <row r="104" spans="1:14">
      <c r="A104" s="4529" t="s">
        <v>3194</v>
      </c>
      <c r="B104" s="4529" t="s">
        <v>3195</v>
      </c>
      <c r="C104" s="2525" t="s">
        <v>3196</v>
      </c>
      <c r="D104" s="2526"/>
      <c r="E104" s="2526"/>
      <c r="F104" s="2526"/>
      <c r="G104" s="2526"/>
      <c r="H104" s="2526"/>
      <c r="I104" s="2526"/>
      <c r="J104" s="2527"/>
      <c r="K104" s="2528"/>
      <c r="L104" s="2528"/>
      <c r="M104" s="2528"/>
      <c r="N104" s="2528"/>
    </row>
    <row r="105" spans="1:14">
      <c r="A105" s="4529"/>
      <c r="B105" s="4529"/>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19"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0"/>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2" t="s">
        <v>3210</v>
      </c>
      <c r="B113" s="4522"/>
      <c r="C113" s="4522"/>
      <c r="D113" s="4522"/>
      <c r="E113" s="4522"/>
      <c r="F113" s="4522"/>
      <c r="G113" s="4522"/>
      <c r="H113" s="4522"/>
      <c r="I113" s="4522"/>
      <c r="J113" s="4522"/>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8" thickBot="1">
      <c r="A115" s="2532"/>
      <c r="B115" s="2532"/>
      <c r="C115" s="2532"/>
      <c r="D115" s="2532"/>
      <c r="E115" s="2532"/>
      <c r="F115" s="2532"/>
      <c r="G115" s="2532"/>
      <c r="H115" s="2532"/>
      <c r="I115" s="2532"/>
      <c r="J115" s="2532"/>
      <c r="K115" s="1595"/>
      <c r="L115" s="2532"/>
      <c r="M115" s="2532"/>
      <c r="N115" s="2532"/>
    </row>
    <row r="116" spans="1:14" ht="25.8"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8"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427" t="s">
        <v>3557</v>
      </c>
      <c r="B1" s="47"/>
      <c r="C1" s="819"/>
      <c r="D1" s="818"/>
      <c r="E1" s="2098"/>
      <c r="F1" s="2098"/>
      <c r="G1" s="1982"/>
      <c r="H1" s="2098"/>
      <c r="I1" s="2098"/>
      <c r="J1" s="2098"/>
      <c r="K1" s="2099">
        <f>MATCH(C1,'数据-取费表'!A6:A16,0)+5</f>
        <v>8</v>
      </c>
    </row>
    <row r="2" spans="1:33" ht="18" customHeight="1">
      <c r="A2" s="97" t="s">
        <v>1437</v>
      </c>
      <c r="B2" s="2615">
        <f ca="1">C34</f>
        <v>-11575</v>
      </c>
      <c r="C2" s="172" t="s">
        <v>1540</v>
      </c>
      <c r="D2" s="172"/>
      <c r="E2" s="2098"/>
      <c r="F2" s="2098"/>
      <c r="G2" s="2098"/>
      <c r="H2" s="2098"/>
      <c r="I2" s="2098"/>
      <c r="J2" s="2098"/>
      <c r="K2" s="2098"/>
    </row>
    <row r="3" spans="1:33" ht="18" customHeight="1">
      <c r="A3" s="99" t="s">
        <v>1439</v>
      </c>
      <c r="B3" s="2615">
        <f ca="1">ROUND(B2*10000/IF(C1="",'数据-汇总表'!E3,INDIRECT("'数据-取费表'!K"&amp;$K$1)),0)</f>
        <v>-11583</v>
      </c>
      <c r="C3" s="172" t="s">
        <v>1541</v>
      </c>
      <c r="D3" s="172"/>
      <c r="E3" s="2098"/>
      <c r="F3" s="2098"/>
      <c r="G3" s="2098"/>
      <c r="H3" s="2098"/>
      <c r="I3" s="2098"/>
      <c r="J3" s="2098"/>
      <c r="K3" s="2098"/>
    </row>
    <row r="4" spans="1:33" ht="18" customHeight="1">
      <c r="A4" s="3604" t="s">
        <v>3672</v>
      </c>
      <c r="B4" s="2614">
        <f ca="1">ROUND(B2*10000/IF(C1="",'数据-汇总表'!D3,INDIRECT("'数据-取费表'!R"&amp;$K$1)),0)</f>
        <v>-42870</v>
      </c>
      <c r="C4" s="1374" t="s">
        <v>3674</v>
      </c>
      <c r="D4" s="172"/>
      <c r="E4" s="2098"/>
      <c r="F4" s="2098"/>
      <c r="G4" s="2098"/>
      <c r="H4" s="2098"/>
      <c r="I4" s="2098"/>
      <c r="J4" s="2098"/>
      <c r="K4" s="2098"/>
    </row>
    <row r="5" spans="1:33" ht="18" customHeight="1" thickBot="1">
      <c r="A5" s="95"/>
      <c r="B5" s="3613">
        <f ca="1">ROUND(B2/(IF(C1="",'数据-汇总表'!D3,INDIRECT("'数据-取费表'!R"&amp;$K$1))/666.67),0)</f>
        <v>-2858</v>
      </c>
      <c r="C5" s="3607" t="s">
        <v>3673</v>
      </c>
      <c r="D5" s="172"/>
      <c r="E5" s="2098"/>
      <c r="F5" s="2098"/>
      <c r="G5" s="2098"/>
      <c r="H5" s="2098"/>
      <c r="I5" s="2098"/>
      <c r="J5" s="2098"/>
      <c r="K5" s="2098"/>
    </row>
    <row r="6" spans="1:33" s="543" customFormat="1" ht="16.5" customHeight="1">
      <c r="A6" s="2759" t="s">
        <v>3561</v>
      </c>
      <c r="B6" s="2758"/>
      <c r="C6" s="4512" t="s">
        <v>3397</v>
      </c>
      <c r="D6" s="4512"/>
      <c r="E6" s="4512"/>
      <c r="F6" s="4512"/>
      <c r="G6" s="4512"/>
      <c r="H6" s="4512"/>
      <c r="I6" s="4512"/>
      <c r="J6" s="4512"/>
      <c r="K6" s="4513"/>
    </row>
    <row r="7" spans="1:33" s="546" customFormat="1" ht="14.4">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3562</v>
      </c>
      <c r="B11" s="4535"/>
      <c r="C11" s="4535"/>
      <c r="D11" s="4535"/>
      <c r="E11" s="4535"/>
      <c r="F11" s="4535"/>
      <c r="G11" s="4535"/>
      <c r="H11" s="4535"/>
      <c r="I11" s="4535"/>
      <c r="J11" s="4535"/>
      <c r="K11" s="4536"/>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11575</v>
      </c>
      <c r="D15" s="558"/>
      <c r="E15" s="174"/>
      <c r="F15" s="3437"/>
      <c r="G15" s="3566" t="s">
        <v>3581</v>
      </c>
      <c r="H15" s="554"/>
      <c r="I15" s="554"/>
      <c r="J15" s="554"/>
      <c r="K15" s="555"/>
    </row>
    <row r="16" spans="1:33" s="551" customFormat="1" ht="13.5" customHeight="1">
      <c r="A16" s="3580" t="s">
        <v>3631</v>
      </c>
      <c r="B16" s="3441" t="s">
        <v>3564</v>
      </c>
      <c r="C16" s="3442">
        <f ca="1">SUM(C17:C22)</f>
        <v>8955</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7827</v>
      </c>
      <c r="D17" s="3444"/>
      <c r="E17" s="3445"/>
      <c r="F17" s="3457"/>
      <c r="G17" s="3567"/>
      <c r="H17" s="3564"/>
      <c r="I17" s="3564"/>
      <c r="J17" s="3564"/>
      <c r="K17" s="3579"/>
    </row>
    <row r="18" spans="1:33" s="551" customFormat="1" ht="13.5" customHeight="1">
      <c r="A18" s="3581" t="s">
        <v>3570</v>
      </c>
      <c r="B18" s="3429" t="s">
        <v>3571</v>
      </c>
      <c r="C18" s="2592">
        <f ca="1">ROUND(C17*F18,0)</f>
        <v>157</v>
      </c>
      <c r="D18" s="3441"/>
      <c r="E18" s="3441"/>
      <c r="F18" s="3458">
        <f>'数据-取费表'!B33</f>
        <v>0.02</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376</v>
      </c>
      <c r="D19" s="3446"/>
      <c r="E19" s="3446"/>
      <c r="F19" s="3458">
        <f>'数据-取费表'!B34</f>
        <v>7.0000000000000007E-2</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157</v>
      </c>
      <c r="D21" s="3446"/>
      <c r="E21" s="3446"/>
      <c r="F21" s="3458">
        <f>'数据-取费表'!B36</f>
        <v>0.02</v>
      </c>
      <c r="G21" s="2588"/>
      <c r="H21" s="556"/>
      <c r="I21" s="556"/>
      <c r="J21" s="556"/>
      <c r="K21" s="3582"/>
    </row>
    <row r="22" spans="1:33" s="551" customFormat="1" ht="13.5" customHeight="1">
      <c r="A22" s="3581" t="s">
        <v>3586</v>
      </c>
      <c r="B22" s="3431" t="s">
        <v>3593</v>
      </c>
      <c r="C22" s="2592">
        <f ca="1">ROUND(C17*F22,0)</f>
        <v>78</v>
      </c>
      <c r="D22" s="3446"/>
      <c r="E22" s="3446"/>
      <c r="F22" s="3458">
        <f>'数据-取费表'!B37</f>
        <v>0.01</v>
      </c>
      <c r="G22" s="2588"/>
      <c r="H22" s="556"/>
      <c r="I22" s="556"/>
      <c r="J22" s="556"/>
      <c r="K22" s="3582"/>
    </row>
    <row r="23" spans="1:33" s="552" customFormat="1" ht="13.5" customHeight="1">
      <c r="A23" s="3580" t="s">
        <v>3632</v>
      </c>
      <c r="B23" s="3441" t="s">
        <v>3528</v>
      </c>
      <c r="C23" s="2597">
        <f ca="1">ROUND(C16*F23,0)</f>
        <v>179</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80" t="s">
        <v>3634</v>
      </c>
      <c r="B25" s="3441" t="s">
        <v>3446</v>
      </c>
      <c r="C25" s="3448" t="str">
        <f ca="1">C26&amp;"+"&amp;C27&amp;"V建"</f>
        <v>286+0.0006V建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286</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1735+0.0057V建</v>
      </c>
      <c r="D28" s="1049"/>
      <c r="E28" s="1049"/>
      <c r="F28" s="3460">
        <f ca="1">IF(C1="",'数据-取费表'!Q16,INDIRECT("'数据-取费表'!q"&amp;$K$1))</f>
        <v>0.19</v>
      </c>
      <c r="G28" s="4537" t="s">
        <v>3578</v>
      </c>
      <c r="H28" s="3564"/>
      <c r="I28" s="3564"/>
      <c r="J28" s="3564"/>
      <c r="K28" s="3579"/>
    </row>
    <row r="29" spans="1:33" s="551" customFormat="1" ht="13.5" customHeight="1">
      <c r="A29" s="3581" t="s">
        <v>3590</v>
      </c>
      <c r="B29" s="3431" t="s">
        <v>3595</v>
      </c>
      <c r="C29" s="2757">
        <f ca="1">ROUND((C16+C23)*F28,0)</f>
        <v>1735</v>
      </c>
      <c r="D29" s="1049"/>
      <c r="E29" s="1049"/>
      <c r="F29" s="2838"/>
      <c r="G29" s="4537"/>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11575</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6.2" thickBot="1">
      <c r="A34" s="3586">
        <v>4</v>
      </c>
      <c r="B34" s="3587" t="s">
        <v>3637</v>
      </c>
      <c r="C34" s="3588">
        <f ca="1">C13-C15</f>
        <v>-11575</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2" customWidth="1"/>
    <col min="2" max="2" width="37.21875" style="1072" customWidth="1"/>
    <col min="3" max="3" width="11.33203125" style="1072" customWidth="1"/>
    <col min="4" max="4" width="31.77734375" style="1072" customWidth="1"/>
    <col min="5" max="5" width="0.44140625" style="1072" customWidth="1"/>
    <col min="6" max="7" width="13" style="1072" customWidth="1"/>
    <col min="8" max="16384" width="9" style="1072"/>
  </cols>
  <sheetData>
    <row r="1" spans="1:5" ht="17.399999999999999">
      <c r="A1" s="1071" t="s">
        <v>895</v>
      </c>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7.399999999999999">
      <c r="A3" s="4149" t="str">
        <f>IF(项目基本情况!B9="房地产市场价值","估价结果一览表（市场价值不需“结果表-1”）","估价结果一览表")</f>
        <v>估价结果一览表</v>
      </c>
      <c r="B3" s="4149"/>
      <c r="C3" s="4149"/>
      <c r="D3" s="4149"/>
      <c r="E3" s="4149"/>
    </row>
    <row r="4" spans="1:5" ht="18" thickBot="1">
      <c r="A4" s="1073"/>
      <c r="B4" s="4147" t="s">
        <v>904</v>
      </c>
      <c r="C4" s="4147"/>
      <c r="D4" s="4147"/>
      <c r="E4" s="1073"/>
    </row>
    <row r="5" spans="1:5" ht="16.2" thickTop="1">
      <c r="B5" s="4145" t="s">
        <v>896</v>
      </c>
      <c r="C5" s="1074" t="s">
        <v>897</v>
      </c>
      <c r="D5" s="568">
        <f ca="1">结果表!H101</f>
        <v>48212</v>
      </c>
    </row>
    <row r="6" spans="1:5" ht="15.6">
      <c r="B6" s="4145"/>
      <c r="C6" s="1074" t="s">
        <v>898</v>
      </c>
      <c r="D6" s="568" t="str">
        <f ca="1">NUMBERSTRING(INT(D5*10000),2)&amp;"元整"</f>
        <v>肆亿捌仟贰佰壹拾贰万元整</v>
      </c>
    </row>
    <row r="7" spans="1:5" ht="15.6">
      <c r="B7" s="4150"/>
      <c r="C7" s="1075" t="s">
        <v>899</v>
      </c>
      <c r="D7" s="569">
        <f ca="1">结果表!H102</f>
        <v>48244</v>
      </c>
    </row>
    <row r="8" spans="1:5" ht="15.6">
      <c r="B8" s="4151" t="str">
        <f>结果表!E103</f>
        <v>2.估价师知悉的法定优先受偿款</v>
      </c>
      <c r="C8" s="1076" t="s">
        <v>900</v>
      </c>
      <c r="D8" s="569">
        <f>结果表!H103</f>
        <v>1638</v>
      </c>
    </row>
    <row r="9" spans="1:5" ht="15.6">
      <c r="B9" s="4153"/>
      <c r="C9" s="1074" t="s">
        <v>898</v>
      </c>
      <c r="D9" s="568" t="str">
        <f>NUMBERSTRING(INT(D8*10000),2)&amp;"元整"</f>
        <v>壹仟陆佰叁拾捌万元整</v>
      </c>
    </row>
    <row r="10" spans="1:5" ht="15.6">
      <c r="B10" s="1077" t="s">
        <v>903</v>
      </c>
      <c r="C10" s="1078" t="s">
        <v>901</v>
      </c>
      <c r="D10" s="570">
        <f>结果表!H104</f>
        <v>0</v>
      </c>
    </row>
    <row r="11" spans="1:5" ht="15.6">
      <c r="B11" s="1077" t="s">
        <v>905</v>
      </c>
      <c r="C11" s="1078" t="s">
        <v>906</v>
      </c>
      <c r="D11" s="570">
        <f>结果表!H105</f>
        <v>0</v>
      </c>
    </row>
    <row r="12" spans="1:5" ht="15.6">
      <c r="B12" s="1077" t="s">
        <v>907</v>
      </c>
      <c r="C12" s="1078" t="s">
        <v>906</v>
      </c>
      <c r="D12" s="570">
        <f>结果表!H106</f>
        <v>1638</v>
      </c>
    </row>
    <row r="13" spans="1:5" ht="15.6">
      <c r="B13" s="4144" t="str">
        <f>结果表!E107</f>
        <v>3.房地产抵押价值</v>
      </c>
      <c r="C13" s="1079" t="s">
        <v>897</v>
      </c>
      <c r="D13" s="571">
        <f ca="1">结果表!H107</f>
        <v>46574</v>
      </c>
    </row>
    <row r="14" spans="1:5" ht="15.6">
      <c r="B14" s="4145"/>
      <c r="C14" s="1074" t="s">
        <v>898</v>
      </c>
      <c r="D14" s="568" t="str">
        <f ca="1">NUMBERSTRING(INT(D13*10000),2)&amp;"元整"</f>
        <v>肆亿陆仟伍佰柒拾肆万元整</v>
      </c>
    </row>
    <row r="15" spans="1:5" ht="15.6">
      <c r="B15" s="4150"/>
      <c r="C15" s="1075" t="s">
        <v>908</v>
      </c>
      <c r="D15" s="576">
        <f ca="1">结果表!H108</f>
        <v>46605</v>
      </c>
    </row>
    <row r="16" spans="1:5" ht="15.6">
      <c r="B16" s="4151" t="str">
        <f>结果表!E109</f>
        <v>——</v>
      </c>
      <c r="C16" s="1079" t="s">
        <v>909</v>
      </c>
      <c r="D16" s="1080" t="str">
        <f>结果表!H109</f>
        <v>——</v>
      </c>
    </row>
    <row r="17" spans="1:5" ht="15.6">
      <c r="B17" s="4152"/>
      <c r="C17" s="1074" t="s">
        <v>910</v>
      </c>
      <c r="D17" s="568" t="e">
        <f>NUMBERSTRING(INT(D16*10000),2)&amp;"元整"</f>
        <v>#VALUE!</v>
      </c>
    </row>
    <row r="18" spans="1:5" ht="15.6">
      <c r="B18" s="4153"/>
      <c r="C18" s="1075" t="s">
        <v>899</v>
      </c>
      <c r="D18" s="576" t="str">
        <f>结果表!H110</f>
        <v>——</v>
      </c>
    </row>
    <row r="19" spans="1:5" ht="15.6">
      <c r="B19" s="4144" t="str">
        <f>结果表!E111</f>
        <v>——</v>
      </c>
      <c r="C19" s="1079" t="s">
        <v>897</v>
      </c>
      <c r="D19" s="569" t="str">
        <f>结果表!H111</f>
        <v>——</v>
      </c>
    </row>
    <row r="20" spans="1:5" ht="15.6">
      <c r="B20" s="4145"/>
      <c r="C20" s="1074" t="s">
        <v>910</v>
      </c>
      <c r="D20" s="568" t="e">
        <f>NUMBERSTRING(INT(D19*10000),2)&amp;"元整"</f>
        <v>#VALUE!</v>
      </c>
    </row>
    <row r="21" spans="1:5" ht="16.2" thickBot="1">
      <c r="B21" s="4146"/>
      <c r="C21" s="1081" t="s">
        <v>908</v>
      </c>
      <c r="D21" s="577" t="str">
        <f>结果表!H112</f>
        <v>——</v>
      </c>
    </row>
    <row r="22" spans="1:5" ht="14.4" thickTop="1">
      <c r="B22" s="1082" t="s">
        <v>911</v>
      </c>
    </row>
    <row r="24" spans="1:5" ht="17.399999999999999">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427" t="s">
        <v>3558</v>
      </c>
      <c r="B1" s="3435"/>
      <c r="C1" s="2973"/>
      <c r="D1" s="94"/>
      <c r="E1" s="94"/>
      <c r="F1" s="94"/>
      <c r="G1" s="789">
        <f>MATCH(C1,'数据-取费表'!A6:A16,0)+5</f>
        <v>8</v>
      </c>
    </row>
    <row r="2" spans="1:7" s="96" customFormat="1" ht="15.6">
      <c r="A2" s="97" t="s">
        <v>1437</v>
      </c>
      <c r="B2" s="2614">
        <f ca="1">C34</f>
        <v>621</v>
      </c>
      <c r="C2" s="95" t="s">
        <v>1438</v>
      </c>
      <c r="D2" s="95"/>
      <c r="E2" s="2601"/>
      <c r="F2" s="95"/>
      <c r="G2" s="95"/>
    </row>
    <row r="3" spans="1:7" s="96" customFormat="1" ht="15.6">
      <c r="A3" s="99" t="s">
        <v>1439</v>
      </c>
      <c r="B3" s="2615">
        <f ca="1">ROUND(B2*10000/(IF(C1="",'数据-汇总表'!E3,INDIRECT("'数据-取费表'!k"&amp;$G$1))),0)</f>
        <v>621</v>
      </c>
      <c r="C3" s="95" t="s">
        <v>1440</v>
      </c>
      <c r="D3" s="95"/>
      <c r="E3" s="2601"/>
      <c r="F3" s="95"/>
      <c r="G3" s="95"/>
    </row>
    <row r="4" spans="1:7" s="96" customFormat="1" ht="15.6">
      <c r="A4" s="3604" t="s">
        <v>3672</v>
      </c>
      <c r="B4" s="2614">
        <f ca="1">ROUND(B2*10000/'数据-汇总表'!D3,0)</f>
        <v>2300</v>
      </c>
      <c r="C4" s="97" t="s">
        <v>3674</v>
      </c>
      <c r="D4" s="95"/>
      <c r="E4" s="2601"/>
      <c r="F4" s="95"/>
      <c r="G4" s="95"/>
    </row>
    <row r="5" spans="1:7" s="96" customFormat="1" ht="16.2" thickBot="1">
      <c r="A5" s="95"/>
      <c r="B5" s="3613">
        <f ca="1">ROUND(B2/('数据-汇总表'!D3/666.67),0)</f>
        <v>153</v>
      </c>
      <c r="C5" s="3598" t="s">
        <v>3673</v>
      </c>
      <c r="D5" s="95"/>
      <c r="E5" s="2601"/>
      <c r="F5" s="95"/>
      <c r="G5" s="95"/>
    </row>
    <row r="6" spans="1:7" s="96" customFormat="1" ht="15.6">
      <c r="A6" s="3479" t="s">
        <v>3342</v>
      </c>
      <c r="B6" s="3480" t="s">
        <v>3343</v>
      </c>
      <c r="C6" s="3481" t="s">
        <v>3344</v>
      </c>
      <c r="D6" s="3482" t="s">
        <v>3350</v>
      </c>
      <c r="E6" s="3483" t="s">
        <v>3351</v>
      </c>
      <c r="F6" s="3483" t="s">
        <v>3352</v>
      </c>
      <c r="G6" s="3484" t="s">
        <v>3345</v>
      </c>
    </row>
    <row r="7" spans="1:7" s="104" customFormat="1" ht="15.6">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4.4">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4.4">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6">
      <c r="A20" s="3485" t="s">
        <v>3642</v>
      </c>
      <c r="B20" s="2594" t="s">
        <v>3615</v>
      </c>
      <c r="C20" s="2626">
        <f ca="1">C21+C24+C25</f>
        <v>510</v>
      </c>
      <c r="D20" s="3551"/>
      <c r="E20" s="3552"/>
      <c r="F20" s="2650"/>
      <c r="G20" s="3558"/>
    </row>
    <row r="21" spans="1:9" s="119" customFormat="1" ht="14.4">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4.4">
      <c r="A24" s="3434" t="s">
        <v>3623</v>
      </c>
      <c r="B24" s="3470" t="s">
        <v>3639</v>
      </c>
      <c r="C24" s="2655">
        <f ca="1">IF(G24="已包含在土地取得成本中","0",ROUND(D24*E24/10000,0))</f>
        <v>150</v>
      </c>
      <c r="D24" s="3462">
        <f ca="1">D22+D23</f>
        <v>9993.2799999999988</v>
      </c>
      <c r="E24" s="3462">
        <f>'数据-取费表'!B31</f>
        <v>150</v>
      </c>
      <c r="F24" s="3471"/>
      <c r="G24" s="1376"/>
    </row>
    <row r="25" spans="1:9" s="110" customFormat="1" ht="14.4">
      <c r="A25" s="3434" t="s">
        <v>337</v>
      </c>
      <c r="B25" s="3470" t="s">
        <v>3640</v>
      </c>
      <c r="C25" s="2655">
        <f ca="1">ROUND(E25*D25/10000,0)</f>
        <v>360</v>
      </c>
      <c r="D25" s="3462">
        <f ca="1">D24</f>
        <v>9993.2799999999988</v>
      </c>
      <c r="E25" s="3462">
        <f>'数据-取费表'!B35</f>
        <v>360</v>
      </c>
      <c r="F25" s="3464"/>
      <c r="G25" s="3560"/>
    </row>
    <row r="26" spans="1:9" s="104" customFormat="1" ht="15.6">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6">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6">
      <c r="A30" s="3485" t="s">
        <v>3647</v>
      </c>
      <c r="B30" s="2594" t="s">
        <v>3648</v>
      </c>
      <c r="C30" s="2632">
        <f ca="1">ROUND((C7+C20+C26)*F30,0)</f>
        <v>97</v>
      </c>
      <c r="D30" s="2630"/>
      <c r="E30" s="297"/>
      <c r="F30" s="3476">
        <f ca="1">IF(C1="",'数据-取费表'!Q16,INDIRECT("'数据-取费表'!q"&amp;$G$1))</f>
        <v>0.19</v>
      </c>
      <c r="G30" s="3562"/>
    </row>
    <row r="31" spans="1:9" s="110" customFormat="1" ht="15.6">
      <c r="A31" s="2595" t="s">
        <v>3628</v>
      </c>
      <c r="B31" s="2594" t="s">
        <v>3620</v>
      </c>
      <c r="C31" s="2617">
        <f ca="1">C7+C20+C29+C30</f>
        <v>607</v>
      </c>
      <c r="D31" s="2607"/>
      <c r="E31" s="2607"/>
      <c r="F31" s="2606"/>
      <c r="G31" s="2608" t="s">
        <v>3651</v>
      </c>
    </row>
    <row r="32" spans="1:9" s="110" customFormat="1" ht="15.6">
      <c r="A32" s="2595" t="s">
        <v>3619</v>
      </c>
      <c r="B32" s="2594" t="s">
        <v>3618</v>
      </c>
      <c r="C32" s="3545">
        <f ca="1">ROUND(C31*F32,0)</f>
        <v>61</v>
      </c>
      <c r="D32" s="131"/>
      <c r="E32" s="132"/>
      <c r="F32" s="3477">
        <v>0.1</v>
      </c>
      <c r="G32" s="3563"/>
    </row>
    <row r="33" spans="1:7" s="110" customFormat="1" ht="15.6">
      <c r="A33" s="3544">
        <v>8</v>
      </c>
      <c r="B33" s="2594" t="s">
        <v>3630</v>
      </c>
      <c r="C33" s="2617">
        <f ca="1">C31+C32</f>
        <v>668</v>
      </c>
      <c r="D33" s="2607"/>
      <c r="E33" s="2607"/>
      <c r="F33" s="3478"/>
      <c r="G33" s="2608" t="s">
        <v>3650</v>
      </c>
    </row>
    <row r="34" spans="1:7" s="119" customFormat="1" ht="16.2" thickBot="1">
      <c r="A34" s="3492">
        <v>9</v>
      </c>
      <c r="B34" s="3493" t="s">
        <v>3629</v>
      </c>
      <c r="C34" s="2617">
        <f ca="1">ROUND(C33*F34,0)</f>
        <v>621</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topLeftCell="A7" zoomScaleNormal="60" zoomScaleSheetLayoutView="100" workbookViewId="0">
      <selection activeCell="M14" sqref="M14"/>
    </sheetView>
  </sheetViews>
  <sheetFormatPr defaultColWidth="9" defaultRowHeight="13.8"/>
  <cols>
    <col min="1" max="1" width="10.44140625" style="238" customWidth="1"/>
    <col min="2" max="2" width="15.77734375" style="238" customWidth="1"/>
    <col min="3" max="3" width="23.44140625" style="238" customWidth="1"/>
    <col min="4" max="4" width="12.21875" style="238" customWidth="1"/>
    <col min="5" max="5" width="19.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71459</v>
      </c>
      <c r="C2" s="2926" t="s">
        <v>4644</v>
      </c>
      <c r="D2" s="3973">
        <f>IF(E1="项目模式",IF(E2="——",ROUND(C49*D3/10000,0),ROUND(C49*D3/10000,0)-F2),IF(E1="单套模式",IF(E2="——",ROUND(C49*D3/10000,4),ROUND(C49*D3/10000,4)-F2)))</f>
        <v>73603</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136936</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4.4">
      <c r="A4" s="236" t="s">
        <v>1584</v>
      </c>
      <c r="B4" s="237"/>
      <c r="C4" s="4423" t="s">
        <v>1585</v>
      </c>
      <c r="D4" s="4424"/>
      <c r="E4" s="4425" t="s">
        <v>1586</v>
      </c>
      <c r="F4" s="4426"/>
      <c r="G4" s="4423" t="s">
        <v>1587</v>
      </c>
      <c r="H4" s="4424"/>
      <c r="I4" s="4423" t="s">
        <v>1588</v>
      </c>
      <c r="J4" s="4424"/>
      <c r="K4" s="2954" t="s">
        <v>1589</v>
      </c>
      <c r="L4" s="2020"/>
      <c r="M4" s="2021"/>
      <c r="N4" s="2021"/>
      <c r="O4" s="2021"/>
      <c r="P4" s="4427" t="s">
        <v>1590</v>
      </c>
      <c r="Q4" s="4428"/>
      <c r="R4" s="4433" t="s">
        <v>1586</v>
      </c>
      <c r="S4" s="4434"/>
      <c r="T4" s="4433" t="s">
        <v>1587</v>
      </c>
      <c r="U4" s="4434"/>
      <c r="V4" s="4439" t="s">
        <v>1588</v>
      </c>
      <c r="W4" s="4439"/>
      <c r="X4" s="947"/>
      <c r="Y4" s="4448" t="s">
        <v>1590</v>
      </c>
      <c r="Z4" s="4449"/>
      <c r="AA4" s="4420" t="s">
        <v>1586</v>
      </c>
      <c r="AB4" s="4420" t="s">
        <v>1587</v>
      </c>
      <c r="AC4" s="4420" t="s">
        <v>1588</v>
      </c>
    </row>
    <row r="5" spans="1:29">
      <c r="A5" s="239"/>
      <c r="B5" s="240"/>
      <c r="C5" s="4442" t="s">
        <v>1591</v>
      </c>
      <c r="D5" s="4443"/>
      <c r="E5" s="4539" t="s">
        <v>4622</v>
      </c>
      <c r="F5" s="4459"/>
      <c r="G5" s="4538" t="s">
        <v>4664</v>
      </c>
      <c r="H5" s="4443"/>
      <c r="I5" s="4538" t="s">
        <v>4629</v>
      </c>
      <c r="J5" s="4443"/>
      <c r="K5" s="2955"/>
      <c r="L5" s="2020"/>
      <c r="M5" s="2021"/>
      <c r="N5" s="2021"/>
      <c r="O5" s="2021"/>
      <c r="P5" s="4429"/>
      <c r="Q5" s="4430"/>
      <c r="R5" s="4435"/>
      <c r="S5" s="4436"/>
      <c r="T5" s="4435"/>
      <c r="U5" s="4436"/>
      <c r="V5" s="4439"/>
      <c r="W5" s="4439"/>
      <c r="X5" s="947"/>
      <c r="Y5" s="4450"/>
      <c r="Z5" s="4451"/>
      <c r="AA5" s="4421"/>
      <c r="AB5" s="4421"/>
      <c r="AC5" s="4421"/>
    </row>
    <row r="6" spans="1:29" ht="15" thickBot="1">
      <c r="A6" s="241"/>
      <c r="B6" s="242"/>
      <c r="C6" s="4440" t="s">
        <v>1595</v>
      </c>
      <c r="D6" s="4441"/>
      <c r="E6" s="4455" t="s">
        <v>1595</v>
      </c>
      <c r="F6" s="4456"/>
      <c r="G6" s="4440" t="s">
        <v>1595</v>
      </c>
      <c r="H6" s="4441"/>
      <c r="I6" s="4440" t="s">
        <v>1595</v>
      </c>
      <c r="J6" s="4441"/>
      <c r="K6" s="2955" t="s">
        <v>1596</v>
      </c>
      <c r="L6" s="2020"/>
      <c r="M6" s="2021"/>
      <c r="N6" s="2021"/>
      <c r="O6" s="2021"/>
      <c r="P6" s="4431"/>
      <c r="Q6" s="4432"/>
      <c r="R6" s="4435"/>
      <c r="S6" s="4436"/>
      <c r="T6" s="4437"/>
      <c r="U6" s="4438"/>
      <c r="V6" s="4439"/>
      <c r="W6" s="4439"/>
      <c r="X6" s="947"/>
      <c r="Y6" s="4452"/>
      <c r="Z6" s="4453"/>
      <c r="AA6" s="4422"/>
      <c r="AB6" s="4422"/>
      <c r="AC6" s="4422"/>
    </row>
    <row r="7" spans="1:29" s="46" customFormat="1" ht="1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44" t="s">
        <v>1598</v>
      </c>
      <c r="Q7" s="4454"/>
      <c r="R7" s="3887" t="s">
        <v>18</v>
      </c>
      <c r="S7" s="3344">
        <f t="shared" ref="S7:S15" si="0">F7</f>
        <v>100</v>
      </c>
      <c r="T7" s="3887" t="s">
        <v>18</v>
      </c>
      <c r="U7" s="3344">
        <f t="shared" ref="U7:U15" si="1">H7</f>
        <v>100</v>
      </c>
      <c r="V7" s="3887" t="s">
        <v>18</v>
      </c>
      <c r="W7" s="3344">
        <f t="shared" ref="W7:W15" si="2">J7</f>
        <v>100</v>
      </c>
      <c r="X7" s="493"/>
      <c r="Y7" s="4446" t="s">
        <v>1598</v>
      </c>
      <c r="Z7" s="4447"/>
      <c r="AA7" s="28">
        <f>D7/F7</f>
        <v>1</v>
      </c>
      <c r="AB7" s="28">
        <f>D7/H7</f>
        <v>1</v>
      </c>
      <c r="AC7" s="28">
        <f>D7/J7</f>
        <v>1</v>
      </c>
    </row>
    <row r="8" spans="1:29" s="46" customFormat="1" ht="1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44" t="s">
        <v>1601</v>
      </c>
      <c r="Q8" s="4445"/>
      <c r="R8" s="3887" t="s">
        <v>18</v>
      </c>
      <c r="S8" s="3344">
        <f t="shared" si="0"/>
        <v>100</v>
      </c>
      <c r="T8" s="3887" t="s">
        <v>18</v>
      </c>
      <c r="U8" s="3344">
        <f t="shared" si="1"/>
        <v>100</v>
      </c>
      <c r="V8" s="3887" t="s">
        <v>18</v>
      </c>
      <c r="W8" s="3344">
        <f t="shared" si="2"/>
        <v>100</v>
      </c>
      <c r="X8" s="493"/>
      <c r="Y8" s="4446" t="s">
        <v>1601</v>
      </c>
      <c r="Z8" s="4447"/>
      <c r="AA8" s="28">
        <f t="shared" ref="AA8:AA19" si="3">D8/F8</f>
        <v>1</v>
      </c>
      <c r="AB8" s="28">
        <f t="shared" ref="AB8:AB19" si="4">D8/H8</f>
        <v>1</v>
      </c>
      <c r="AC8" s="28">
        <f t="shared" ref="AC8:AC19" si="5">D8/J8</f>
        <v>1</v>
      </c>
    </row>
    <row r="9" spans="1:29" s="46" customFormat="1" ht="14.4">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4</v>
      </c>
      <c r="H11" s="3989">
        <f>LOOKUP(G11,68:68,69:69)-LOOKUP(C11,68:68,69:69)+100</f>
        <v>96</v>
      </c>
      <c r="I11" s="2960">
        <v>2.83</v>
      </c>
      <c r="J11" s="3989">
        <f>LOOKUP(I11,68:68,69:69)-LOOKUP(C11,68:68,69:69)+100</f>
        <v>98</v>
      </c>
      <c r="K11" s="2948">
        <v>2</v>
      </c>
      <c r="L11" s="2025"/>
      <c r="M11" s="2021"/>
      <c r="N11" s="2021"/>
      <c r="O11" s="2021"/>
      <c r="P11" s="4418"/>
      <c r="Q11" s="1745" t="str">
        <f t="shared" si="6"/>
        <v>容积率</v>
      </c>
      <c r="R11" s="3887" t="s">
        <v>16</v>
      </c>
      <c r="S11" s="3344">
        <f t="shared" si="0"/>
        <v>100</v>
      </c>
      <c r="T11" s="3887" t="s">
        <v>16</v>
      </c>
      <c r="U11" s="3344">
        <f t="shared" si="1"/>
        <v>96</v>
      </c>
      <c r="V11" s="3887" t="s">
        <v>16</v>
      </c>
      <c r="W11" s="3344">
        <f t="shared" si="2"/>
        <v>98</v>
      </c>
      <c r="X11" s="493"/>
      <c r="Y11" s="4419"/>
      <c r="Z11" s="28" t="str">
        <f t="shared" si="7"/>
        <v>容积率</v>
      </c>
      <c r="AA11" s="28">
        <f t="shared" si="3"/>
        <v>1</v>
      </c>
      <c r="AB11" s="28">
        <f t="shared" si="4"/>
        <v>1.0416666666666667</v>
      </c>
      <c r="AC11" s="28">
        <f t="shared" si="5"/>
        <v>1.0204081632653061</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18"/>
      <c r="Q12" s="1745">
        <f t="shared" si="6"/>
        <v>111</v>
      </c>
      <c r="R12" s="3887" t="s">
        <v>16</v>
      </c>
      <c r="S12" s="3344">
        <f t="shared" si="0"/>
        <v>100</v>
      </c>
      <c r="T12" s="3887" t="s">
        <v>16</v>
      </c>
      <c r="U12" s="3344">
        <f t="shared" si="1"/>
        <v>100</v>
      </c>
      <c r="V12" s="3887" t="s">
        <v>16</v>
      </c>
      <c r="W12" s="3344">
        <f t="shared" si="2"/>
        <v>100</v>
      </c>
      <c r="X12" s="493"/>
      <c r="Y12" s="4419"/>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18"/>
      <c r="Q13" s="1745">
        <f t="shared" si="6"/>
        <v>111</v>
      </c>
      <c r="R13" s="3887" t="s">
        <v>16</v>
      </c>
      <c r="S13" s="3344">
        <f t="shared" si="0"/>
        <v>100</v>
      </c>
      <c r="T13" s="3887" t="s">
        <v>16</v>
      </c>
      <c r="U13" s="3344">
        <f t="shared" si="1"/>
        <v>100</v>
      </c>
      <c r="V13" s="3887" t="s">
        <v>16</v>
      </c>
      <c r="W13" s="3344">
        <f t="shared" si="2"/>
        <v>100</v>
      </c>
      <c r="X13" s="493"/>
      <c r="Y13" s="4419"/>
      <c r="Z13" s="28">
        <f t="shared" si="7"/>
        <v>111</v>
      </c>
      <c r="AA13" s="28">
        <f t="shared" si="3"/>
        <v>1</v>
      </c>
      <c r="AB13" s="28">
        <f t="shared" si="4"/>
        <v>1</v>
      </c>
      <c r="AC13" s="28">
        <f t="shared" si="5"/>
        <v>1</v>
      </c>
    </row>
    <row r="14" spans="1:29" ht="15.6"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18"/>
      <c r="Q14" s="1745">
        <f t="shared" si="6"/>
        <v>111</v>
      </c>
      <c r="R14" s="3887" t="s">
        <v>16</v>
      </c>
      <c r="S14" s="3344">
        <f t="shared" si="0"/>
        <v>100</v>
      </c>
      <c r="T14" s="3887" t="s">
        <v>16</v>
      </c>
      <c r="U14" s="3344">
        <f t="shared" si="1"/>
        <v>100</v>
      </c>
      <c r="V14" s="3887" t="s">
        <v>16</v>
      </c>
      <c r="W14" s="3344">
        <f t="shared" si="2"/>
        <v>100</v>
      </c>
      <c r="X14" s="493"/>
      <c r="Y14" s="4419"/>
      <c r="Z14" s="28">
        <f t="shared" si="7"/>
        <v>111</v>
      </c>
      <c r="AA14" s="28">
        <f t="shared" si="3"/>
        <v>1</v>
      </c>
      <c r="AB14" s="28">
        <f t="shared" si="4"/>
        <v>1</v>
      </c>
      <c r="AC14" s="28">
        <f t="shared" si="5"/>
        <v>1</v>
      </c>
    </row>
    <row r="15" spans="1:29" ht="82.8">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4665</v>
      </c>
      <c r="H15" s="3979">
        <f>SUMIF(76:76,G16,77:77)-SUMIF(76:76,C16,77:77)+100</f>
        <v>100</v>
      </c>
      <c r="I15" s="4133" t="s">
        <v>4630</v>
      </c>
      <c r="J15" s="3979">
        <f>SUMIF(76:76,I16,77:77)-SUMIF(76:76,C16,77:77)+100</f>
        <v>100</v>
      </c>
      <c r="K15" s="2950">
        <f>'土地比较法-住宅、综合'!K17</f>
        <v>3</v>
      </c>
      <c r="L15" s="2026"/>
      <c r="M15" s="2021"/>
      <c r="N15" s="2021"/>
      <c r="O15" s="2021"/>
      <c r="P15" s="4409" t="s">
        <v>1609</v>
      </c>
      <c r="Q15" s="1545" t="str">
        <f t="shared" si="6"/>
        <v>居住社区成熟度</v>
      </c>
      <c r="R15" s="3993" t="s">
        <v>16</v>
      </c>
      <c r="S15" s="3345">
        <f t="shared" si="0"/>
        <v>100</v>
      </c>
      <c r="T15" s="3993" t="s">
        <v>16</v>
      </c>
      <c r="U15" s="3345">
        <f t="shared" si="1"/>
        <v>100</v>
      </c>
      <c r="V15" s="3993" t="s">
        <v>16</v>
      </c>
      <c r="W15" s="3345">
        <f t="shared" si="2"/>
        <v>100</v>
      </c>
      <c r="X15" s="947"/>
      <c r="Y15" s="4411" t="s">
        <v>1609</v>
      </c>
      <c r="Z15" s="945" t="str">
        <f t="shared" si="7"/>
        <v>居住社区成熟度</v>
      </c>
      <c r="AA15" s="945">
        <f t="shared" si="3"/>
        <v>1</v>
      </c>
      <c r="AB15" s="945">
        <f t="shared" si="4"/>
        <v>1</v>
      </c>
      <c r="AC15" s="945">
        <f t="shared" si="5"/>
        <v>1</v>
      </c>
    </row>
    <row r="16" spans="1:29" ht="15.6" thickBot="1">
      <c r="A16" s="255"/>
      <c r="B16" s="2940"/>
      <c r="C16" s="2965" t="s">
        <v>3654</v>
      </c>
      <c r="D16" s="3032"/>
      <c r="E16" s="2965" t="s">
        <v>3654</v>
      </c>
      <c r="F16" s="3980"/>
      <c r="G16" s="2965" t="s">
        <v>3654</v>
      </c>
      <c r="H16" s="3981"/>
      <c r="I16" s="2965" t="s">
        <v>3654</v>
      </c>
      <c r="J16" s="3980"/>
      <c r="K16" s="2951"/>
      <c r="L16" s="2026"/>
      <c r="M16" s="2021"/>
      <c r="N16" s="2021"/>
      <c r="O16" s="2021"/>
      <c r="P16" s="4410"/>
      <c r="Q16" s="1545"/>
      <c r="R16" s="3993"/>
      <c r="S16" s="3345"/>
      <c r="T16" s="3993"/>
      <c r="U16" s="3345"/>
      <c r="V16" s="3993"/>
      <c r="W16" s="3345"/>
      <c r="X16" s="947"/>
      <c r="Y16" s="4412"/>
      <c r="Z16" s="945"/>
      <c r="AA16" s="945">
        <v>1</v>
      </c>
      <c r="AB16" s="945">
        <v>1</v>
      </c>
      <c r="AC16" s="945">
        <v>1</v>
      </c>
    </row>
    <row r="17" spans="1:29" ht="82.8">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4666</v>
      </c>
      <c r="H17" s="3982">
        <f>SUMIF(78:78,G18,79:79)-SUMIF(78:78,C18,79:79)+100</f>
        <v>100</v>
      </c>
      <c r="I17" s="2990" t="s">
        <v>4631</v>
      </c>
      <c r="J17" s="3982">
        <f>SUMIF(78:78,I18,79:79)-SUMIF(78:78,C18,79:79)+100</f>
        <v>100</v>
      </c>
      <c r="K17" s="2950">
        <f>'土地比较法-住宅、综合'!K23</f>
        <v>3</v>
      </c>
      <c r="L17" s="2026"/>
      <c r="M17" s="2021"/>
      <c r="N17" s="2021"/>
      <c r="O17" s="2021"/>
      <c r="P17" s="4410"/>
      <c r="Q17" s="1545" t="str">
        <f>B17</f>
        <v>交通便捷度</v>
      </c>
      <c r="R17" s="3993" t="s">
        <v>16</v>
      </c>
      <c r="S17" s="3345">
        <f>F17</f>
        <v>100</v>
      </c>
      <c r="T17" s="3993" t="s">
        <v>16</v>
      </c>
      <c r="U17" s="3345">
        <f>H17</f>
        <v>100</v>
      </c>
      <c r="V17" s="3993" t="s">
        <v>16</v>
      </c>
      <c r="W17" s="3345">
        <f>J17</f>
        <v>100</v>
      </c>
      <c r="X17" s="947"/>
      <c r="Y17" s="4412"/>
      <c r="Z17" s="945" t="str">
        <f>Q17</f>
        <v>交通便捷度</v>
      </c>
      <c r="AA17" s="945">
        <f t="shared" si="3"/>
        <v>1</v>
      </c>
      <c r="AB17" s="945">
        <f t="shared" si="4"/>
        <v>1</v>
      </c>
      <c r="AC17" s="945">
        <f t="shared" si="5"/>
        <v>1</v>
      </c>
    </row>
    <row r="18" spans="1:29" ht="15.6" thickBot="1">
      <c r="A18" s="255"/>
      <c r="B18" s="2942"/>
      <c r="C18" s="2967" t="s">
        <v>3654</v>
      </c>
      <c r="D18" s="3033"/>
      <c r="E18" s="2967" t="s">
        <v>3654</v>
      </c>
      <c r="F18" s="3981"/>
      <c r="G18" s="2967" t="s">
        <v>3654</v>
      </c>
      <c r="H18" s="3980"/>
      <c r="I18" s="2967" t="s">
        <v>3654</v>
      </c>
      <c r="J18" s="3980"/>
      <c r="K18" s="2951"/>
      <c r="L18" s="2026"/>
      <c r="M18" s="2021"/>
      <c r="N18" s="2021"/>
      <c r="O18" s="2021"/>
      <c r="P18" s="4410"/>
      <c r="Q18" s="1545"/>
      <c r="R18" s="3993"/>
      <c r="S18" s="3345"/>
      <c r="T18" s="3993"/>
      <c r="U18" s="3345"/>
      <c r="V18" s="3993"/>
      <c r="W18" s="3345"/>
      <c r="X18" s="947"/>
      <c r="Y18" s="4412"/>
      <c r="Z18" s="945"/>
      <c r="AA18" s="945">
        <v>1</v>
      </c>
      <c r="AB18" s="945">
        <v>1</v>
      </c>
      <c r="AC18" s="945">
        <v>1</v>
      </c>
    </row>
    <row r="19" spans="1:29" ht="100.8">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4667</v>
      </c>
      <c r="H19" s="3981">
        <f>SUMIF(80:80,G20,81:81)-SUMIF(80:80,C20,81:81)+100</f>
        <v>100</v>
      </c>
      <c r="I19" s="4137" t="s">
        <v>4632</v>
      </c>
      <c r="J19" s="3981">
        <f>SUMIF(80:80,I20,81:81)-SUMIF(80:80,C20,81:81)+100</f>
        <v>100</v>
      </c>
      <c r="K19" s="2950">
        <f>'土地比较法-住宅、综合'!K29</f>
        <v>3</v>
      </c>
      <c r="L19" s="2026"/>
      <c r="M19" s="2021"/>
      <c r="N19" s="2021"/>
      <c r="O19" s="2021"/>
      <c r="P19" s="4410"/>
      <c r="Q19" s="1545" t="str">
        <f>B19</f>
        <v>公共配套设施</v>
      </c>
      <c r="R19" s="3993" t="s">
        <v>16</v>
      </c>
      <c r="S19" s="3345">
        <f>F19</f>
        <v>100</v>
      </c>
      <c r="T19" s="3993" t="s">
        <v>16</v>
      </c>
      <c r="U19" s="3345">
        <f>H19</f>
        <v>100</v>
      </c>
      <c r="V19" s="3993" t="s">
        <v>16</v>
      </c>
      <c r="W19" s="3345">
        <f>J19</f>
        <v>100</v>
      </c>
      <c r="X19" s="947"/>
      <c r="Y19" s="4412"/>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10"/>
      <c r="Q20" s="1545"/>
      <c r="R20" s="3993"/>
      <c r="S20" s="3345"/>
      <c r="T20" s="3993"/>
      <c r="U20" s="3345"/>
      <c r="V20" s="3993"/>
      <c r="W20" s="3345"/>
      <c r="X20" s="947"/>
      <c r="Y20" s="4412"/>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945">
        <f t="shared" ref="AC21" si="10">D21/J21</f>
        <v>1</v>
      </c>
    </row>
    <row r="22" spans="1:29" ht="15.6" thickBot="1">
      <c r="A22" s="255"/>
      <c r="B22" s="2943"/>
      <c r="C22" s="2967" t="s">
        <v>3655</v>
      </c>
      <c r="D22" s="3032"/>
      <c r="E22" s="2967" t="s">
        <v>3655</v>
      </c>
      <c r="F22" s="3980"/>
      <c r="G22" s="2967" t="s">
        <v>3655</v>
      </c>
      <c r="H22" s="3980"/>
      <c r="I22" s="2967" t="s">
        <v>3655</v>
      </c>
      <c r="J22" s="3980"/>
      <c r="K22" s="2952"/>
      <c r="L22" s="2026"/>
      <c r="M22" s="2021"/>
      <c r="N22" s="2021"/>
      <c r="O22" s="2021"/>
      <c r="P22" s="4410"/>
      <c r="Q22" s="1545"/>
      <c r="R22" s="3993"/>
      <c r="S22" s="3345"/>
      <c r="T22" s="3993"/>
      <c r="U22" s="3345"/>
      <c r="V22" s="3993"/>
      <c r="W22" s="3345"/>
      <c r="X22" s="947"/>
      <c r="Y22" s="4412"/>
      <c r="Z22" s="945"/>
      <c r="AA22" s="945">
        <v>1</v>
      </c>
      <c r="AB22" s="945">
        <v>1</v>
      </c>
      <c r="AC22" s="945">
        <v>1</v>
      </c>
    </row>
    <row r="23" spans="1:29" ht="82.8">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4668</v>
      </c>
      <c r="H23" s="3981">
        <f>SUMIF(84:84,G24,85:85)-SUMIF(84:84,C24,85:85)+100</f>
        <v>100</v>
      </c>
      <c r="I23" s="4134" t="s">
        <v>4633</v>
      </c>
      <c r="J23" s="3981">
        <f>SUMIF(84:84,I24,85:85)-SUMIF(84:84,C24,85:85)+100</f>
        <v>97</v>
      </c>
      <c r="K23" s="2950">
        <v>3</v>
      </c>
      <c r="L23" s="2026"/>
      <c r="M23" s="2021"/>
      <c r="N23" s="2021"/>
      <c r="O23" s="2021"/>
      <c r="P23" s="4410"/>
      <c r="Q23" s="1545" t="str">
        <f>B23</f>
        <v>自然及人文环境</v>
      </c>
      <c r="R23" s="3993" t="s">
        <v>16</v>
      </c>
      <c r="S23" s="3345">
        <f>F23</f>
        <v>100</v>
      </c>
      <c r="T23" s="3993" t="s">
        <v>16</v>
      </c>
      <c r="U23" s="3345">
        <f>H23</f>
        <v>100</v>
      </c>
      <c r="V23" s="3993" t="s">
        <v>16</v>
      </c>
      <c r="W23" s="3345">
        <f>J23</f>
        <v>97</v>
      </c>
      <c r="X23" s="947"/>
      <c r="Y23" s="4412"/>
      <c r="Z23" s="945" t="str">
        <f>Q23</f>
        <v>自然及人文环境</v>
      </c>
      <c r="AA23" s="945">
        <f>D23/F23</f>
        <v>1</v>
      </c>
      <c r="AB23" s="945">
        <f>D23/H23</f>
        <v>1</v>
      </c>
      <c r="AC23" s="945">
        <f>D23/J23</f>
        <v>1.0309278350515463</v>
      </c>
    </row>
    <row r="24" spans="1:29" ht="15">
      <c r="A24" s="255"/>
      <c r="B24" s="2942"/>
      <c r="C24" s="2965" t="s">
        <v>3654</v>
      </c>
      <c r="D24" s="3032"/>
      <c r="E24" s="2965" t="s">
        <v>3654</v>
      </c>
      <c r="F24" s="3980"/>
      <c r="G24" s="2965" t="s">
        <v>3654</v>
      </c>
      <c r="H24" s="3980"/>
      <c r="I24" s="2965" t="s">
        <v>3653</v>
      </c>
      <c r="J24" s="3980"/>
      <c r="K24" s="2951"/>
      <c r="L24" s="2026"/>
      <c r="M24" s="2021"/>
      <c r="N24" s="2021"/>
      <c r="O24" s="2021"/>
      <c r="P24" s="4410"/>
      <c r="Q24" s="1545"/>
      <c r="R24" s="3993"/>
      <c r="S24" s="3345"/>
      <c r="T24" s="3993"/>
      <c r="U24" s="3345"/>
      <c r="V24" s="3993"/>
      <c r="W24" s="3345"/>
      <c r="X24" s="947"/>
      <c r="Y24" s="4412"/>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10"/>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12"/>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10"/>
      <c r="Q26" s="1545" t="str">
        <f t="shared" si="11"/>
        <v>朝向</v>
      </c>
      <c r="R26" s="3993" t="s">
        <v>16</v>
      </c>
      <c r="S26" s="3345">
        <f t="shared" si="12"/>
        <v>100</v>
      </c>
      <c r="T26" s="3993" t="s">
        <v>16</v>
      </c>
      <c r="U26" s="3345">
        <f t="shared" si="13"/>
        <v>100</v>
      </c>
      <c r="V26" s="3993" t="s">
        <v>16</v>
      </c>
      <c r="W26" s="3345">
        <f t="shared" si="14"/>
        <v>100</v>
      </c>
      <c r="X26" s="947"/>
      <c r="Y26" s="4412"/>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10"/>
      <c r="Q27" s="1745" t="str">
        <f t="shared" si="11"/>
        <v>楼层</v>
      </c>
      <c r="R27" s="3887" t="s">
        <v>16</v>
      </c>
      <c r="S27" s="3344">
        <f t="shared" si="12"/>
        <v>100</v>
      </c>
      <c r="T27" s="3887" t="s">
        <v>16</v>
      </c>
      <c r="U27" s="3344">
        <f t="shared" si="13"/>
        <v>100</v>
      </c>
      <c r="V27" s="3887" t="s">
        <v>16</v>
      </c>
      <c r="W27" s="3344">
        <f t="shared" si="14"/>
        <v>100</v>
      </c>
      <c r="X27" s="493"/>
      <c r="Y27" s="4412"/>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10"/>
      <c r="Q28" s="1545">
        <f t="shared" si="11"/>
        <v>111</v>
      </c>
      <c r="R28" s="3993" t="s">
        <v>16</v>
      </c>
      <c r="S28" s="3345">
        <f t="shared" si="12"/>
        <v>100</v>
      </c>
      <c r="T28" s="3993" t="s">
        <v>16</v>
      </c>
      <c r="U28" s="3345">
        <f t="shared" si="13"/>
        <v>100</v>
      </c>
      <c r="V28" s="3993" t="s">
        <v>16</v>
      </c>
      <c r="W28" s="3345">
        <f t="shared" si="14"/>
        <v>100</v>
      </c>
      <c r="X28" s="947"/>
      <c r="Y28" s="4412"/>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10"/>
      <c r="Q29" s="1545">
        <f t="shared" si="11"/>
        <v>111</v>
      </c>
      <c r="R29" s="3993" t="s">
        <v>16</v>
      </c>
      <c r="S29" s="3345">
        <f t="shared" si="12"/>
        <v>100</v>
      </c>
      <c r="T29" s="3993" t="s">
        <v>16</v>
      </c>
      <c r="U29" s="3345">
        <f t="shared" si="13"/>
        <v>100</v>
      </c>
      <c r="V29" s="3993" t="s">
        <v>16</v>
      </c>
      <c r="W29" s="3345">
        <f t="shared" si="14"/>
        <v>100</v>
      </c>
      <c r="X29" s="947"/>
      <c r="Y29" s="4412"/>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10"/>
      <c r="Q30" s="1545">
        <f t="shared" si="11"/>
        <v>111</v>
      </c>
      <c r="R30" s="3993" t="s">
        <v>16</v>
      </c>
      <c r="S30" s="3345">
        <f t="shared" si="12"/>
        <v>100</v>
      </c>
      <c r="T30" s="3993" t="s">
        <v>16</v>
      </c>
      <c r="U30" s="3345">
        <f t="shared" si="13"/>
        <v>100</v>
      </c>
      <c r="V30" s="3993" t="s">
        <v>16</v>
      </c>
      <c r="W30" s="3345">
        <f t="shared" si="14"/>
        <v>100</v>
      </c>
      <c r="X30" s="947"/>
      <c r="Y30" s="4412"/>
      <c r="Z30" s="945">
        <f t="shared" si="18"/>
        <v>111</v>
      </c>
      <c r="AA30" s="945">
        <f t="shared" si="15"/>
        <v>1</v>
      </c>
      <c r="AB30" s="945">
        <f t="shared" si="16"/>
        <v>1</v>
      </c>
      <c r="AC30" s="945">
        <f t="shared" si="17"/>
        <v>1</v>
      </c>
    </row>
    <row r="31" spans="1:29" ht="15.6"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10"/>
      <c r="Q31" s="1545">
        <f t="shared" si="11"/>
        <v>111</v>
      </c>
      <c r="R31" s="3993" t="s">
        <v>16</v>
      </c>
      <c r="S31" s="3345">
        <f t="shared" si="12"/>
        <v>100</v>
      </c>
      <c r="T31" s="3993" t="s">
        <v>16</v>
      </c>
      <c r="U31" s="3345">
        <f t="shared" si="13"/>
        <v>100</v>
      </c>
      <c r="V31" s="3993" t="s">
        <v>16</v>
      </c>
      <c r="W31" s="3345">
        <f t="shared" si="14"/>
        <v>100</v>
      </c>
      <c r="X31" s="947"/>
      <c r="Y31" s="4412"/>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97</v>
      </c>
      <c r="G32" s="2969" t="s">
        <v>4627</v>
      </c>
      <c r="H32" s="3990">
        <f>SUMIF(100:100,G32,101:101)-SUMIF(100:100,C32,101:101)+100</f>
        <v>100</v>
      </c>
      <c r="I32" s="3011" t="s">
        <v>4628</v>
      </c>
      <c r="J32" s="3983">
        <f>SUMIF(100:100,I32,101:101)-SUMIF(100:100,C32,101:101)+100</f>
        <v>97</v>
      </c>
      <c r="K32" s="2948">
        <v>3</v>
      </c>
      <c r="L32" s="2026"/>
      <c r="M32" s="2021"/>
      <c r="N32" s="2021"/>
      <c r="O32" s="2021"/>
      <c r="P32" s="4413" t="s">
        <v>1614</v>
      </c>
      <c r="Q32" s="1545" t="str">
        <f t="shared" si="11"/>
        <v>建筑类型</v>
      </c>
      <c r="R32" s="3993" t="s">
        <v>16</v>
      </c>
      <c r="S32" s="3345">
        <f t="shared" si="12"/>
        <v>97</v>
      </c>
      <c r="T32" s="3993" t="s">
        <v>16</v>
      </c>
      <c r="U32" s="3345">
        <f t="shared" si="13"/>
        <v>100</v>
      </c>
      <c r="V32" s="3993" t="s">
        <v>16</v>
      </c>
      <c r="W32" s="3345">
        <f t="shared" si="14"/>
        <v>97</v>
      </c>
      <c r="X32" s="947"/>
      <c r="Y32" s="4416" t="s">
        <v>1614</v>
      </c>
      <c r="Z32" s="945" t="str">
        <f t="shared" si="18"/>
        <v>建筑类型</v>
      </c>
      <c r="AA32" s="945">
        <f t="shared" si="15"/>
        <v>1.0309278350515463</v>
      </c>
      <c r="AB32" s="945">
        <f t="shared" si="16"/>
        <v>1</v>
      </c>
      <c r="AC32" s="945">
        <f t="shared" si="17"/>
        <v>1.0309278350515463</v>
      </c>
    </row>
    <row r="33" spans="1:29" s="280" customFormat="1" ht="15">
      <c r="A33" s="278"/>
      <c r="B33" s="2931" t="s">
        <v>1615</v>
      </c>
      <c r="C33" s="3022">
        <f>信息!F15</f>
        <v>5508</v>
      </c>
      <c r="D33" s="3027">
        <v>100</v>
      </c>
      <c r="E33" s="2987">
        <v>512800</v>
      </c>
      <c r="F33" s="3977">
        <f>LOOKUP(E33,103:103,104:104)-LOOKUP(C33,103:103,104:104)+100</f>
        <v>104</v>
      </c>
      <c r="G33" s="2959">
        <v>126000</v>
      </c>
      <c r="H33" s="3989">
        <f>LOOKUP(G33,103:103,104:104)-LOOKUP(C33,103:103,104:104)+100</f>
        <v>103</v>
      </c>
      <c r="I33" s="2987">
        <v>80000</v>
      </c>
      <c r="J33" s="3989">
        <f>LOOKUP(I33,103:103,104:104)-LOOKUP(C33,103:103,104:104)+100</f>
        <v>102</v>
      </c>
      <c r="K33" s="2949"/>
      <c r="L33" s="2025"/>
      <c r="M33" s="2027"/>
      <c r="N33" s="2027"/>
      <c r="O33" s="2027"/>
      <c r="P33" s="4414"/>
      <c r="Q33" s="392" t="str">
        <f t="shared" si="11"/>
        <v>项目建筑规模</v>
      </c>
      <c r="R33" s="3994" t="s">
        <v>16</v>
      </c>
      <c r="S33" s="3346">
        <f t="shared" si="12"/>
        <v>104</v>
      </c>
      <c r="T33" s="3994" t="s">
        <v>16</v>
      </c>
      <c r="U33" s="3346">
        <f t="shared" si="13"/>
        <v>103</v>
      </c>
      <c r="V33" s="3994" t="s">
        <v>16</v>
      </c>
      <c r="W33" s="3346">
        <f t="shared" si="14"/>
        <v>102</v>
      </c>
      <c r="X33" s="494"/>
      <c r="Y33" s="4416"/>
      <c r="Z33" s="495" t="str">
        <f t="shared" si="18"/>
        <v>项目建筑规模</v>
      </c>
      <c r="AA33" s="945">
        <f t="shared" si="15"/>
        <v>0.96153846153846156</v>
      </c>
      <c r="AB33" s="945">
        <f t="shared" si="16"/>
        <v>0.970873786407767</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14"/>
      <c r="Q34" s="1545" t="str">
        <f t="shared" si="11"/>
        <v>建筑结构</v>
      </c>
      <c r="R34" s="3993" t="s">
        <v>16</v>
      </c>
      <c r="S34" s="3345">
        <f t="shared" si="12"/>
        <v>100</v>
      </c>
      <c r="T34" s="3993" t="s">
        <v>16</v>
      </c>
      <c r="U34" s="3345">
        <f t="shared" si="13"/>
        <v>100</v>
      </c>
      <c r="V34" s="3993" t="s">
        <v>16</v>
      </c>
      <c r="W34" s="3345">
        <f t="shared" si="14"/>
        <v>100</v>
      </c>
      <c r="X34" s="947"/>
      <c r="Y34" s="4416"/>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14"/>
      <c r="Q35" s="1545" t="str">
        <f t="shared" si="11"/>
        <v>建筑品质</v>
      </c>
      <c r="R35" s="3993" t="s">
        <v>16</v>
      </c>
      <c r="S35" s="3345">
        <f t="shared" si="12"/>
        <v>100</v>
      </c>
      <c r="T35" s="3993" t="s">
        <v>16</v>
      </c>
      <c r="U35" s="3345">
        <f t="shared" si="13"/>
        <v>100</v>
      </c>
      <c r="V35" s="3993" t="s">
        <v>16</v>
      </c>
      <c r="W35" s="3345">
        <f t="shared" si="14"/>
        <v>100</v>
      </c>
      <c r="X35" s="947"/>
      <c r="Y35" s="4416"/>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14"/>
      <c r="Q36" s="1545" t="str">
        <f t="shared" si="11"/>
        <v>公共部分装修</v>
      </c>
      <c r="R36" s="3993" t="s">
        <v>16</v>
      </c>
      <c r="S36" s="3345">
        <f t="shared" si="12"/>
        <v>100</v>
      </c>
      <c r="T36" s="3993" t="s">
        <v>16</v>
      </c>
      <c r="U36" s="3345">
        <f t="shared" si="13"/>
        <v>100</v>
      </c>
      <c r="V36" s="3993" t="s">
        <v>16</v>
      </c>
      <c r="W36" s="3345">
        <f t="shared" si="14"/>
        <v>100</v>
      </c>
      <c r="X36" s="947"/>
      <c r="Y36" s="4416"/>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14"/>
      <c r="Q37" s="1745" t="str">
        <f t="shared" si="11"/>
        <v>成新度</v>
      </c>
      <c r="R37" s="3887" t="s">
        <v>16</v>
      </c>
      <c r="S37" s="3344">
        <f t="shared" si="12"/>
        <v>100</v>
      </c>
      <c r="T37" s="3887" t="s">
        <v>16</v>
      </c>
      <c r="U37" s="3344">
        <f t="shared" si="13"/>
        <v>100</v>
      </c>
      <c r="V37" s="3887" t="s">
        <v>16</v>
      </c>
      <c r="W37" s="3344">
        <f t="shared" si="14"/>
        <v>100</v>
      </c>
      <c r="X37" s="493"/>
      <c r="Y37" s="4416"/>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14" t="s">
        <v>1614</v>
      </c>
      <c r="Q38" s="1545" t="str">
        <f t="shared" si="11"/>
        <v>物业管理</v>
      </c>
      <c r="R38" s="3993" t="s">
        <v>16</v>
      </c>
      <c r="S38" s="3345">
        <f t="shared" si="12"/>
        <v>100</v>
      </c>
      <c r="T38" s="3993" t="s">
        <v>16</v>
      </c>
      <c r="U38" s="3345">
        <f t="shared" si="13"/>
        <v>100</v>
      </c>
      <c r="V38" s="3993" t="s">
        <v>16</v>
      </c>
      <c r="W38" s="3345">
        <f t="shared" si="14"/>
        <v>100</v>
      </c>
      <c r="X38" s="947"/>
      <c r="Y38" s="4416"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14"/>
      <c r="Q39" s="1545" t="str">
        <f t="shared" si="11"/>
        <v>市政基础设施</v>
      </c>
      <c r="R39" s="3993" t="s">
        <v>16</v>
      </c>
      <c r="S39" s="3345">
        <f t="shared" si="12"/>
        <v>100</v>
      </c>
      <c r="T39" s="3993" t="s">
        <v>16</v>
      </c>
      <c r="U39" s="3345">
        <f t="shared" si="13"/>
        <v>100</v>
      </c>
      <c r="V39" s="3993" t="s">
        <v>16</v>
      </c>
      <c r="W39" s="3345">
        <f t="shared" si="14"/>
        <v>100</v>
      </c>
      <c r="X39" s="947"/>
      <c r="Y39" s="4416"/>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14"/>
      <c r="Q40" s="1545" t="str">
        <f t="shared" si="11"/>
        <v>房型</v>
      </c>
      <c r="R40" s="3993" t="s">
        <v>16</v>
      </c>
      <c r="S40" s="3345">
        <f t="shared" si="12"/>
        <v>100</v>
      </c>
      <c r="T40" s="3993" t="s">
        <v>16</v>
      </c>
      <c r="U40" s="3345">
        <f t="shared" si="13"/>
        <v>100</v>
      </c>
      <c r="V40" s="3993" t="s">
        <v>16</v>
      </c>
      <c r="W40" s="3345">
        <f t="shared" si="14"/>
        <v>100</v>
      </c>
      <c r="X40" s="947"/>
      <c r="Y40" s="4416"/>
      <c r="Z40" s="945" t="str">
        <f t="shared" si="18"/>
        <v>房型</v>
      </c>
      <c r="AA40" s="945">
        <f t="shared" si="15"/>
        <v>1</v>
      </c>
      <c r="AB40" s="945">
        <f t="shared" si="16"/>
        <v>1</v>
      </c>
      <c r="AC40" s="945">
        <f t="shared" si="17"/>
        <v>1</v>
      </c>
    </row>
    <row r="41" spans="1:29" s="280" customFormat="1" ht="28.8">
      <c r="A41" s="278"/>
      <c r="B41" s="2931" t="s">
        <v>1623</v>
      </c>
      <c r="C41" s="3022" t="s">
        <v>4636</v>
      </c>
      <c r="D41" s="3027">
        <v>100</v>
      </c>
      <c r="E41" s="3022" t="s">
        <v>4634</v>
      </c>
      <c r="F41" s="3977">
        <f>SUMIF(120:120,E41,121:121)-SUMIF(120:120,C41,121:121)+100</f>
        <v>100</v>
      </c>
      <c r="G41" s="3022" t="s">
        <v>4636</v>
      </c>
      <c r="H41" s="3989">
        <f>SUMIF(120:120,G41,121:121)-SUMIF(120:120,C41,121:121)+100</f>
        <v>100</v>
      </c>
      <c r="I41" s="3022" t="s">
        <v>4634</v>
      </c>
      <c r="J41" s="3983">
        <f>SUMIF(120:120,I41,121:121)-SUMIF(120:120,C41,121:121)+100</f>
        <v>100</v>
      </c>
      <c r="K41" s="2949"/>
      <c r="L41" s="2025"/>
      <c r="M41" s="2027"/>
      <c r="N41" s="2027"/>
      <c r="O41" s="2027"/>
      <c r="P41" s="4414"/>
      <c r="Q41" s="392" t="str">
        <f t="shared" si="11"/>
        <v>单套/主力户型建筑面积</v>
      </c>
      <c r="R41" s="3994" t="s">
        <v>16</v>
      </c>
      <c r="S41" s="3346">
        <f t="shared" si="12"/>
        <v>100</v>
      </c>
      <c r="T41" s="3994" t="s">
        <v>16</v>
      </c>
      <c r="U41" s="3346">
        <f t="shared" si="13"/>
        <v>100</v>
      </c>
      <c r="V41" s="3994" t="s">
        <v>16</v>
      </c>
      <c r="W41" s="3346">
        <f t="shared" si="14"/>
        <v>100</v>
      </c>
      <c r="X41" s="494"/>
      <c r="Y41" s="4416"/>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14"/>
      <c r="Q42" s="1545" t="str">
        <f t="shared" si="11"/>
        <v>内部装修</v>
      </c>
      <c r="R42" s="3993" t="s">
        <v>16</v>
      </c>
      <c r="S42" s="3345">
        <f t="shared" si="12"/>
        <v>100</v>
      </c>
      <c r="T42" s="3993" t="s">
        <v>16</v>
      </c>
      <c r="U42" s="3345">
        <f t="shared" si="13"/>
        <v>100</v>
      </c>
      <c r="V42" s="3993" t="s">
        <v>16</v>
      </c>
      <c r="W42" s="3345">
        <f t="shared" si="14"/>
        <v>100</v>
      </c>
      <c r="X42" s="947"/>
      <c r="Y42" s="4416"/>
      <c r="Z42" s="945" t="str">
        <f t="shared" si="18"/>
        <v>内部装修</v>
      </c>
      <c r="AA42" s="945">
        <f t="shared" si="15"/>
        <v>1</v>
      </c>
      <c r="AB42" s="945">
        <f t="shared" si="16"/>
        <v>1</v>
      </c>
      <c r="AC42" s="945">
        <f t="shared" si="17"/>
        <v>1</v>
      </c>
    </row>
    <row r="43" spans="1:29" ht="29.4"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14"/>
      <c r="Q43" s="1545" t="str">
        <f t="shared" si="11"/>
        <v>内部装修维护情况</v>
      </c>
      <c r="R43" s="3993" t="s">
        <v>16</v>
      </c>
      <c r="S43" s="3345">
        <f t="shared" si="12"/>
        <v>100</v>
      </c>
      <c r="T43" s="3993" t="s">
        <v>16</v>
      </c>
      <c r="U43" s="3345">
        <f t="shared" si="13"/>
        <v>100</v>
      </c>
      <c r="V43" s="3993" t="s">
        <v>16</v>
      </c>
      <c r="W43" s="3345">
        <f t="shared" si="14"/>
        <v>100</v>
      </c>
      <c r="X43" s="947"/>
      <c r="Y43" s="4416"/>
      <c r="Z43" s="945" t="str">
        <f t="shared" si="18"/>
        <v>内部装修维护情况</v>
      </c>
      <c r="AA43" s="945">
        <f t="shared" si="15"/>
        <v>1</v>
      </c>
      <c r="AB43" s="945">
        <f t="shared" si="16"/>
        <v>1</v>
      </c>
      <c r="AC43" s="945">
        <f t="shared" si="17"/>
        <v>1</v>
      </c>
    </row>
    <row r="44" spans="1:29" s="46" customFormat="1" ht="15.6" thickTop="1">
      <c r="A44" s="282"/>
      <c r="B44" s="4135" t="s">
        <v>4640</v>
      </c>
      <c r="C44" s="348" t="s">
        <v>4637</v>
      </c>
      <c r="D44" s="3027">
        <v>100</v>
      </c>
      <c r="E44" s="348" t="s">
        <v>4639</v>
      </c>
      <c r="F44" s="3977">
        <f>SUMIF(126:126,E44,127:127)-SUMIF(126:126,C44,127:127)+100</f>
        <v>102</v>
      </c>
      <c r="G44" s="348" t="s">
        <v>4637</v>
      </c>
      <c r="H44" s="3989">
        <f>SUMIF(126:126,G44,127:127)-SUMIF(126:126,C44,127:127)+100</f>
        <v>100</v>
      </c>
      <c r="I44" s="348" t="s">
        <v>4638</v>
      </c>
      <c r="J44" s="3989">
        <f>SUMIF(126:126,I44,127:127)-SUMIF(126:126,C44,127:127)+100</f>
        <v>101</v>
      </c>
      <c r="K44" s="2949"/>
      <c r="L44" s="2022"/>
      <c r="M44" s="1974"/>
      <c r="N44" s="1974"/>
      <c r="O44" s="1974"/>
      <c r="P44" s="4414"/>
      <c r="Q44" s="1745" t="str">
        <f t="shared" si="11"/>
        <v>户型</v>
      </c>
      <c r="R44" s="3887" t="s">
        <v>16</v>
      </c>
      <c r="S44" s="3344">
        <f t="shared" si="12"/>
        <v>102</v>
      </c>
      <c r="T44" s="3887" t="s">
        <v>16</v>
      </c>
      <c r="U44" s="3344">
        <f t="shared" si="13"/>
        <v>100</v>
      </c>
      <c r="V44" s="3887" t="s">
        <v>16</v>
      </c>
      <c r="W44" s="3344">
        <f t="shared" si="14"/>
        <v>101</v>
      </c>
      <c r="X44" s="493"/>
      <c r="Y44" s="4416"/>
      <c r="Z44" s="28" t="str">
        <f t="shared" si="18"/>
        <v>户型</v>
      </c>
      <c r="AA44" s="28">
        <f t="shared" si="15"/>
        <v>0.98039215686274506</v>
      </c>
      <c r="AB44" s="28">
        <f t="shared" si="16"/>
        <v>1</v>
      </c>
      <c r="AC44" s="28">
        <f t="shared" si="17"/>
        <v>0.99009900990099009</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14"/>
      <c r="Q45" s="1545">
        <f t="shared" si="11"/>
        <v>0</v>
      </c>
      <c r="R45" s="3993" t="s">
        <v>16</v>
      </c>
      <c r="S45" s="3345">
        <f t="shared" si="12"/>
        <v>100</v>
      </c>
      <c r="T45" s="3993" t="s">
        <v>16</v>
      </c>
      <c r="U45" s="3345">
        <f t="shared" si="13"/>
        <v>100</v>
      </c>
      <c r="V45" s="3993" t="s">
        <v>16</v>
      </c>
      <c r="W45" s="3345">
        <f t="shared" si="14"/>
        <v>100</v>
      </c>
      <c r="X45" s="947"/>
      <c r="Y45" s="4416"/>
      <c r="Z45" s="945">
        <f t="shared" si="18"/>
        <v>0</v>
      </c>
      <c r="AA45" s="945">
        <f t="shared" si="15"/>
        <v>1</v>
      </c>
      <c r="AB45" s="945">
        <f t="shared" si="16"/>
        <v>1</v>
      </c>
      <c r="AC45" s="945">
        <f t="shared" si="17"/>
        <v>1</v>
      </c>
    </row>
    <row r="46" spans="1:29" ht="15.6"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15"/>
      <c r="Q46" s="1545">
        <f t="shared" si="11"/>
        <v>111</v>
      </c>
      <c r="R46" s="3993" t="s">
        <v>15</v>
      </c>
      <c r="S46" s="3345">
        <f t="shared" si="12"/>
        <v>100</v>
      </c>
      <c r="T46" s="3993" t="s">
        <v>15</v>
      </c>
      <c r="U46" s="3345">
        <f t="shared" si="13"/>
        <v>100</v>
      </c>
      <c r="V46" s="3993" t="s">
        <v>15</v>
      </c>
      <c r="W46" s="3345">
        <f t="shared" si="14"/>
        <v>100</v>
      </c>
      <c r="X46" s="947"/>
      <c r="Y46" s="4417"/>
      <c r="Z46" s="945">
        <f t="shared" si="18"/>
        <v>111</v>
      </c>
      <c r="AA46" s="945">
        <f t="shared" si="15"/>
        <v>1</v>
      </c>
      <c r="AB46" s="945">
        <f t="shared" si="16"/>
        <v>1</v>
      </c>
      <c r="AC46" s="945">
        <f t="shared" si="17"/>
        <v>1</v>
      </c>
    </row>
    <row r="47" spans="1:29" ht="14.4">
      <c r="A47" s="287" t="s">
        <v>1626</v>
      </c>
      <c r="B47" s="288"/>
      <c r="C47" s="799" t="s">
        <v>14</v>
      </c>
      <c r="D47" s="289"/>
      <c r="E47" s="3416">
        <v>133841</v>
      </c>
      <c r="F47" s="800"/>
      <c r="G47" s="3417">
        <v>137011</v>
      </c>
      <c r="H47" s="801"/>
      <c r="I47" s="3416">
        <v>135054</v>
      </c>
      <c r="J47" s="801"/>
      <c r="K47" s="2953"/>
      <c r="L47" s="2028"/>
      <c r="M47" s="2021"/>
      <c r="N47" s="2021"/>
      <c r="O47" s="2021"/>
      <c r="P47" s="4404" t="str">
        <f>A47</f>
        <v>成交单价（元/平方米）</v>
      </c>
      <c r="Q47" s="4404"/>
      <c r="R47" s="4405">
        <f>E47</f>
        <v>133841</v>
      </c>
      <c r="S47" s="4405"/>
      <c r="T47" s="4405">
        <f>G47</f>
        <v>137011</v>
      </c>
      <c r="U47" s="4405"/>
      <c r="V47" s="4405">
        <f>I47</f>
        <v>135054</v>
      </c>
      <c r="W47" s="4405"/>
      <c r="X47" s="266"/>
      <c r="Y47" s="496"/>
      <c r="Z47" s="266"/>
      <c r="AA47" s="266"/>
      <c r="AB47" s="266"/>
      <c r="AC47" s="266"/>
    </row>
    <row r="48" spans="1:29" ht="15" thickBot="1">
      <c r="A48" s="290" t="s">
        <v>1627</v>
      </c>
      <c r="B48" s="291"/>
      <c r="C48" s="3991">
        <f>R49</f>
        <v>136936</v>
      </c>
      <c r="D48" s="1740" t="s">
        <v>2054</v>
      </c>
      <c r="E48" s="3024">
        <f>R48</f>
        <v>130072</v>
      </c>
      <c r="F48" s="2945"/>
      <c r="G48" s="3023">
        <f>T48</f>
        <v>138563</v>
      </c>
      <c r="H48" s="2945"/>
      <c r="I48" s="3024">
        <f>V48</f>
        <v>142173</v>
      </c>
      <c r="J48" s="2945"/>
      <c r="K48" s="2946">
        <f>F48+H48+J48</f>
        <v>0</v>
      </c>
      <c r="L48" s="2028"/>
      <c r="M48" s="2021"/>
      <c r="N48" s="2021"/>
      <c r="O48" s="2021"/>
      <c r="P48" s="4404" t="str">
        <f>A48</f>
        <v>比较价值（元/平方米）</v>
      </c>
      <c r="Q48" s="4404"/>
      <c r="R48" s="4405">
        <f>IF(F1="售价",ROUND(PRODUCT(R47,AA7:AA46),0),ROUND(PRODUCT(R47,AA7:AA46),1))</f>
        <v>130072</v>
      </c>
      <c r="S48" s="4405"/>
      <c r="T48" s="4405">
        <f>IF(F1="售价",ROUND(PRODUCT(T47,AB7:AB46),0),ROUND(PRODUCT(T47,AB7:AB46),1))</f>
        <v>138563</v>
      </c>
      <c r="U48" s="4405"/>
      <c r="V48" s="4405">
        <f>IF(F1="售价",ROUND(PRODUCT(V47,AC7:AC46),0),ROUND(PRODUCT(V47,AC7:AC46),1))</f>
        <v>142173</v>
      </c>
      <c r="W48" s="4405"/>
      <c r="X48" s="266"/>
      <c r="Y48" s="266"/>
      <c r="Z48" s="266"/>
      <c r="AA48" s="266"/>
      <c r="AB48" s="266"/>
      <c r="AC48" s="266"/>
    </row>
    <row r="49" spans="1:29" ht="15" thickBot="1">
      <c r="A49" s="292" t="s">
        <v>1628</v>
      </c>
      <c r="B49" s="293"/>
      <c r="C49" s="3992">
        <f>R49</f>
        <v>136936</v>
      </c>
      <c r="D49" s="242"/>
      <c r="E49" s="242"/>
      <c r="F49" s="242"/>
      <c r="G49" s="242"/>
      <c r="H49" s="242"/>
      <c r="I49" s="242"/>
      <c r="J49" s="242"/>
      <c r="K49" s="1410"/>
      <c r="L49" s="2028"/>
      <c r="M49" s="2021"/>
      <c r="N49" s="2021"/>
      <c r="O49" s="2021"/>
      <c r="P49" s="4406" t="str">
        <f>A49</f>
        <v>估价对象XX用房的比较价值（楼面单价，元/平方米）</v>
      </c>
      <c r="Q49" s="4407"/>
      <c r="R49" s="4408">
        <f>IF(F1="售价",ROUND(IF(D48="简单平均",AVERAGE(R48:V48),R48*F48+T48*H48+V48*J48),0),ROUND(IF(D48="简单平均",AVERAGE(R48:V48),R48*F48+T48*H48+V48*J48),1))</f>
        <v>136936</v>
      </c>
      <c r="S49" s="4408"/>
      <c r="T49" s="4408"/>
      <c r="U49" s="4408"/>
      <c r="V49" s="4408"/>
      <c r="W49" s="440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2.8976259302540219E-2</v>
      </c>
      <c r="F52" s="300" t="str">
        <f>IF(OR(E52&gt;=0.3,E52&lt;=-0.3),"超过30%","")</f>
        <v/>
      </c>
      <c r="G52" s="299">
        <f>IF(G47&lt;G48,G48/G47-1,G47/G48-1)</f>
        <v>1.1327557641357178E-2</v>
      </c>
      <c r="H52" s="300" t="str">
        <f>IF(OR(G52&gt;=0.3,G52&lt;=-0.3),"超过30%","")</f>
        <v/>
      </c>
      <c r="I52" s="299">
        <f>IF(I47&lt;I48,I48/I47-1,I47/I48-1)</f>
        <v>5.2712248433959719E-2</v>
      </c>
      <c r="J52" s="300" t="str">
        <f>IF(OR(I52&gt;=0.3,I52&lt;=-0.3),"超过30%","")</f>
        <v/>
      </c>
      <c r="K52" s="2033"/>
      <c r="L52" s="2029"/>
      <c r="M52" s="2021"/>
      <c r="N52" s="2021"/>
      <c r="O52" s="2021"/>
    </row>
    <row r="53" spans="1:29" ht="13.5" customHeight="1">
      <c r="A53" s="2021"/>
      <c r="B53" s="2021"/>
      <c r="C53" s="297" t="s">
        <v>1630</v>
      </c>
      <c r="D53" s="301"/>
      <c r="E53" s="299">
        <f>IF(E48&lt;G48,G48/E48-1,E48/G48-1)</f>
        <v>6.5279229964942509E-2</v>
      </c>
      <c r="F53" s="300" t="str">
        <f>IF(OR(E53&gt;=0.2,E53&lt;=-0.2),"超过20%","")</f>
        <v/>
      </c>
      <c r="G53" s="299">
        <f>IF(G48&lt;I48,I48/G48-1,G48/I48-1)</f>
        <v>2.6053131066734903E-2</v>
      </c>
      <c r="H53" s="300" t="str">
        <f>IF(OR(G53&gt;=0.2,G53&lt;=-0.2),"超过20%","")</f>
        <v/>
      </c>
      <c r="I53" s="299">
        <f>IF(I48&lt;E48,E48/I48-1,I48/E48-1)</f>
        <v>9.3033089365889721E-2</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2.3684820047668476E-2</v>
      </c>
      <c r="F54" s="300" t="str">
        <f>IF(OR(E54&gt;=0.3,E54&lt;=-0.3),"超过30%","")</f>
        <v/>
      </c>
      <c r="G54" s="299">
        <f>IF(G47&lt;I47,I47/G47-1,G47/I47-1)</f>
        <v>1.4490500096257852E-2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2.2" thickBot="1">
      <c r="A57" s="487" t="s">
        <v>1632</v>
      </c>
      <c r="B57" s="266"/>
      <c r="C57" s="488"/>
      <c r="D57" s="488"/>
      <c r="E57" s="488"/>
      <c r="F57" s="489"/>
      <c r="G57" s="489"/>
      <c r="H57" s="488"/>
      <c r="I57" s="488"/>
      <c r="J57" s="488"/>
      <c r="K57" s="647"/>
      <c r="L57" s="648"/>
      <c r="M57" s="646"/>
      <c r="N57" s="646"/>
      <c r="O57" s="646"/>
      <c r="P57" s="1413"/>
      <c r="Q57" s="303"/>
    </row>
    <row r="58" spans="1:29" s="306" customFormat="1" ht="14.4">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v>100</v>
      </c>
      <c r="E59" s="310">
        <v>100</v>
      </c>
      <c r="F59" s="310"/>
      <c r="G59" s="310"/>
      <c r="H59" s="310"/>
      <c r="I59" s="310"/>
      <c r="J59" s="310"/>
      <c r="K59" s="310"/>
      <c r="L59" s="310"/>
      <c r="M59" s="311"/>
      <c r="N59" s="310"/>
      <c r="O59" s="311"/>
      <c r="P59" s="1415"/>
    </row>
    <row r="60" spans="1:29" s="46" customFormat="1" ht="15" thickBot="1">
      <c r="A60" s="313" t="s">
        <v>1634</v>
      </c>
      <c r="B60" s="314"/>
      <c r="C60" s="315"/>
      <c r="D60" s="316"/>
      <c r="E60" s="316"/>
      <c r="F60" s="316"/>
      <c r="G60" s="316"/>
      <c r="H60" s="316"/>
      <c r="I60" s="316"/>
      <c r="J60" s="316"/>
      <c r="K60" s="316"/>
      <c r="L60" s="316"/>
      <c r="M60" s="317"/>
      <c r="N60" s="316"/>
      <c r="O60" s="317"/>
      <c r="P60" s="1415"/>
      <c r="Q60" s="303"/>
    </row>
    <row r="61" spans="1:29" s="46" customFormat="1" ht="14.4">
      <c r="A61" s="319" t="s">
        <v>1635</v>
      </c>
      <c r="B61" s="308"/>
      <c r="C61" s="320" t="s">
        <v>1636</v>
      </c>
      <c r="D61" s="20" t="s">
        <v>4602</v>
      </c>
      <c r="E61" s="20"/>
      <c r="F61" s="20"/>
      <c r="G61" s="20"/>
      <c r="H61" s="20"/>
      <c r="I61" s="20"/>
      <c r="J61" s="20"/>
      <c r="K61" s="20"/>
      <c r="L61" s="321"/>
      <c r="M61" s="322"/>
      <c r="N61" s="638"/>
      <c r="O61" s="638"/>
      <c r="P61" s="1416"/>
      <c r="Q61" s="303"/>
    </row>
    <row r="62" spans="1:29" s="46" customFormat="1" ht="14.4" thickBot="1">
      <c r="A62" s="319"/>
      <c r="B62" s="308"/>
      <c r="C62" s="309">
        <v>100</v>
      </c>
      <c r="D62" s="310">
        <v>105</v>
      </c>
      <c r="E62" s="310"/>
      <c r="F62" s="310"/>
      <c r="G62" s="310"/>
      <c r="H62" s="310"/>
      <c r="I62" s="310"/>
      <c r="J62" s="310"/>
      <c r="K62" s="310"/>
      <c r="L62" s="310"/>
      <c r="M62" s="312"/>
      <c r="N62" s="638"/>
      <c r="O62" s="638"/>
      <c r="P62" s="1415"/>
      <c r="Q62" s="303"/>
    </row>
    <row r="63" spans="1:29" ht="14.4">
      <c r="A63" s="263" t="s">
        <v>1637</v>
      </c>
      <c r="B63" s="323" t="s">
        <v>1603</v>
      </c>
      <c r="C63" s="324" t="str">
        <f>C9</f>
        <v>住宅</v>
      </c>
      <c r="D63" s="325"/>
      <c r="E63" s="325"/>
      <c r="F63" s="325"/>
      <c r="G63" s="325"/>
      <c r="H63" s="325"/>
      <c r="I63" s="325"/>
      <c r="J63" s="325"/>
      <c r="K63" s="326"/>
      <c r="L63" s="327"/>
      <c r="M63" s="328"/>
      <c r="N63" s="639"/>
      <c r="O63" s="639"/>
      <c r="P63" s="1417"/>
      <c r="Q63" s="303"/>
    </row>
    <row r="64" spans="1:29" ht="14.4" thickBot="1">
      <c r="A64" s="255"/>
      <c r="B64" s="329"/>
      <c r="C64" s="330">
        <v>100</v>
      </c>
      <c r="D64" s="330"/>
      <c r="E64" s="330"/>
      <c r="F64" s="330"/>
      <c r="G64" s="330"/>
      <c r="H64" s="330"/>
      <c r="I64" s="330"/>
      <c r="J64" s="330"/>
      <c r="K64" s="330"/>
      <c r="L64" s="330"/>
      <c r="M64" s="331"/>
      <c r="N64" s="640"/>
      <c r="O64" s="640"/>
      <c r="P64" s="1417"/>
      <c r="Q64" s="303"/>
    </row>
    <row r="65" spans="1:17" ht="29.4"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4.4" thickBot="1">
      <c r="A66" s="255"/>
      <c r="B66" s="337"/>
      <c r="C66" s="330">
        <v>100</v>
      </c>
      <c r="D66" s="330">
        <v>101</v>
      </c>
      <c r="E66" s="330">
        <v>102</v>
      </c>
      <c r="F66" s="330"/>
      <c r="G66" s="330"/>
      <c r="H66" s="330"/>
      <c r="I66" s="330"/>
      <c r="J66" s="330"/>
      <c r="K66" s="330"/>
      <c r="L66" s="330"/>
      <c r="M66" s="331"/>
      <c r="N66" s="640"/>
      <c r="O66" s="640"/>
      <c r="P66" s="1417"/>
      <c r="Q66" s="303"/>
    </row>
    <row r="67" spans="1:17" ht="1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v>0</v>
      </c>
      <c r="D68" s="343">
        <v>0.5</v>
      </c>
      <c r="E68" s="343">
        <v>1</v>
      </c>
      <c r="F68" s="343">
        <v>1.5</v>
      </c>
      <c r="G68" s="343">
        <v>2</v>
      </c>
      <c r="H68" s="343">
        <v>2.5</v>
      </c>
      <c r="I68" s="343">
        <v>3</v>
      </c>
      <c r="J68" s="343"/>
      <c r="K68" s="344"/>
      <c r="L68" s="345"/>
      <c r="M68" s="346"/>
      <c r="N68" s="639"/>
      <c r="O68" s="639"/>
      <c r="P68" s="1417"/>
      <c r="Q68" s="303"/>
    </row>
    <row r="69" spans="1:17" ht="14.4"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4.4" thickTop="1">
      <c r="A70" s="347"/>
      <c r="B70" s="332">
        <f>B12</f>
        <v>111</v>
      </c>
      <c r="C70" s="348"/>
      <c r="D70" s="348"/>
      <c r="E70" s="348"/>
      <c r="F70" s="348"/>
      <c r="G70" s="348"/>
      <c r="H70" s="349"/>
      <c r="I70" s="349"/>
      <c r="J70" s="349"/>
      <c r="K70" s="349"/>
      <c r="L70" s="350"/>
      <c r="M70" s="351"/>
      <c r="N70" s="641"/>
      <c r="O70" s="641"/>
      <c r="P70" s="1418"/>
      <c r="Q70" s="352"/>
    </row>
    <row r="71" spans="1:17" s="280" customFormat="1" ht="14.4" thickBot="1">
      <c r="A71" s="347"/>
      <c r="B71" s="337"/>
      <c r="C71" s="353"/>
      <c r="D71" s="330"/>
      <c r="E71" s="330"/>
      <c r="F71" s="330"/>
      <c r="G71" s="330"/>
      <c r="H71" s="330"/>
      <c r="I71" s="330"/>
      <c r="J71" s="330"/>
      <c r="K71" s="330"/>
      <c r="L71" s="330"/>
      <c r="M71" s="331"/>
      <c r="N71" s="640"/>
      <c r="O71" s="640"/>
      <c r="P71" s="1418"/>
      <c r="Q71" s="352"/>
    </row>
    <row r="72" spans="1:17" s="280" customFormat="1" ht="14.4" thickTop="1">
      <c r="A72" s="347"/>
      <c r="B72" s="332">
        <f>B13</f>
        <v>111</v>
      </c>
      <c r="C72" s="348"/>
      <c r="D72" s="348"/>
      <c r="E72" s="348"/>
      <c r="F72" s="348"/>
      <c r="G72" s="348"/>
      <c r="H72" s="349"/>
      <c r="I72" s="349"/>
      <c r="J72" s="349"/>
      <c r="K72" s="349"/>
      <c r="L72" s="350"/>
      <c r="M72" s="351"/>
      <c r="N72" s="641"/>
      <c r="O72" s="641"/>
      <c r="P72" s="1419"/>
      <c r="Q72" s="354"/>
    </row>
    <row r="73" spans="1:17" s="280" customFormat="1" ht="14.4" thickBot="1">
      <c r="A73" s="347"/>
      <c r="B73" s="337"/>
      <c r="C73" s="353"/>
      <c r="D73" s="353"/>
      <c r="E73" s="353"/>
      <c r="F73" s="353"/>
      <c r="G73" s="353"/>
      <c r="H73" s="355"/>
      <c r="I73" s="355"/>
      <c r="J73" s="355"/>
      <c r="K73" s="355"/>
      <c r="L73" s="355"/>
      <c r="M73" s="356"/>
      <c r="N73" s="641"/>
      <c r="O73" s="641"/>
      <c r="P73" s="1418"/>
      <c r="Q73" s="352"/>
    </row>
    <row r="74" spans="1:17" s="280" customFormat="1" ht="14.4" thickTop="1">
      <c r="A74" s="347"/>
      <c r="B74" s="340">
        <f>B14</f>
        <v>111</v>
      </c>
      <c r="C74" s="348"/>
      <c r="D74" s="348"/>
      <c r="E74" s="348"/>
      <c r="F74" s="348"/>
      <c r="G74" s="20"/>
      <c r="H74" s="357"/>
      <c r="I74" s="357"/>
      <c r="J74" s="357"/>
      <c r="K74" s="357"/>
      <c r="L74" s="358"/>
      <c r="M74" s="359"/>
      <c r="N74" s="641"/>
      <c r="O74" s="641"/>
      <c r="P74" s="1420"/>
      <c r="Q74" s="352"/>
    </row>
    <row r="75" spans="1:17" s="280" customFormat="1" ht="14.4" thickBot="1">
      <c r="A75" s="360"/>
      <c r="B75" s="361"/>
      <c r="C75" s="362"/>
      <c r="D75" s="362"/>
      <c r="E75" s="362"/>
      <c r="F75" s="362"/>
      <c r="G75" s="362"/>
      <c r="H75" s="363"/>
      <c r="I75" s="363"/>
      <c r="J75" s="363"/>
      <c r="K75" s="363"/>
      <c r="L75" s="363"/>
      <c r="M75" s="364"/>
      <c r="N75" s="641"/>
      <c r="O75" s="641"/>
      <c r="P75" s="1418"/>
      <c r="Q75" s="352"/>
    </row>
    <row r="76" spans="1:17" ht="14.4">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4"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4"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4"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4"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 thickTop="1">
      <c r="A88" s="258"/>
      <c r="B88" s="332" t="s">
        <v>1653</v>
      </c>
      <c r="C88" s="348"/>
      <c r="D88" s="348"/>
      <c r="E88" s="348"/>
      <c r="F88" s="1422"/>
      <c r="G88" s="348"/>
      <c r="H88" s="348"/>
      <c r="I88" s="348"/>
      <c r="J88" s="348"/>
      <c r="K88" s="348"/>
      <c r="L88" s="348"/>
      <c r="M88" s="371"/>
      <c r="N88" s="638"/>
      <c r="O88" s="638"/>
      <c r="P88" s="141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4"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4.4" thickBot="1">
      <c r="A91" s="347"/>
      <c r="B91" s="337"/>
      <c r="C91" s="353">
        <v>100</v>
      </c>
      <c r="D91" s="353">
        <f>C91-3</f>
        <v>97</v>
      </c>
      <c r="E91" s="353">
        <f>D91-3</f>
        <v>94</v>
      </c>
      <c r="F91" s="353"/>
      <c r="G91" s="353"/>
      <c r="H91" s="355"/>
      <c r="I91" s="355"/>
      <c r="J91" s="355"/>
      <c r="K91" s="355"/>
      <c r="L91" s="355"/>
      <c r="M91" s="356"/>
      <c r="N91" s="641"/>
      <c r="O91" s="641"/>
      <c r="P91" s="1418"/>
      <c r="Q91" s="352"/>
    </row>
    <row r="92" spans="1:17" ht="14.4" thickTop="1">
      <c r="A92" s="255"/>
      <c r="B92" s="332">
        <f>B28</f>
        <v>111</v>
      </c>
      <c r="C92" s="348"/>
      <c r="D92" s="348"/>
      <c r="E92" s="348"/>
      <c r="F92" s="348"/>
      <c r="G92" s="373"/>
      <c r="H92" s="373"/>
      <c r="I92" s="373"/>
      <c r="J92" s="373"/>
      <c r="K92" s="374"/>
      <c r="L92" s="375"/>
      <c r="M92" s="376"/>
      <c r="N92" s="639"/>
      <c r="O92" s="639"/>
      <c r="P92" s="1417"/>
      <c r="Q92" s="303"/>
    </row>
    <row r="93" spans="1:17" ht="14.4" thickBot="1">
      <c r="A93" s="255"/>
      <c r="B93" s="337"/>
      <c r="C93" s="353"/>
      <c r="D93" s="330"/>
      <c r="E93" s="330"/>
      <c r="F93" s="330"/>
      <c r="G93" s="330"/>
      <c r="H93" s="330"/>
      <c r="I93" s="330"/>
      <c r="J93" s="330"/>
      <c r="K93" s="330"/>
      <c r="L93" s="330"/>
      <c r="M93" s="331"/>
      <c r="N93" s="640"/>
      <c r="O93" s="640"/>
      <c r="P93" s="1417"/>
      <c r="Q93" s="303"/>
    </row>
    <row r="94" spans="1:17" ht="14.4" thickTop="1">
      <c r="A94" s="255"/>
      <c r="B94" s="332">
        <f>B29</f>
        <v>111</v>
      </c>
      <c r="C94" s="348"/>
      <c r="D94" s="348"/>
      <c r="E94" s="348"/>
      <c r="F94" s="348"/>
      <c r="G94" s="373"/>
      <c r="H94" s="373"/>
      <c r="I94" s="373"/>
      <c r="J94" s="373"/>
      <c r="K94" s="374"/>
      <c r="L94" s="375"/>
      <c r="M94" s="376"/>
      <c r="N94" s="639"/>
      <c r="O94" s="639"/>
      <c r="P94" s="1417"/>
      <c r="Q94" s="303"/>
    </row>
    <row r="95" spans="1:17" ht="14.4" thickBot="1">
      <c r="A95" s="255"/>
      <c r="B95" s="337"/>
      <c r="C95" s="353"/>
      <c r="D95" s="353"/>
      <c r="E95" s="353"/>
      <c r="F95" s="353"/>
      <c r="G95" s="330"/>
      <c r="H95" s="330"/>
      <c r="I95" s="330"/>
      <c r="J95" s="330"/>
      <c r="K95" s="330"/>
      <c r="L95" s="330"/>
      <c r="M95" s="331"/>
      <c r="N95" s="640"/>
      <c r="O95" s="640"/>
      <c r="P95" s="1417"/>
      <c r="Q95" s="303"/>
    </row>
    <row r="96" spans="1:17" ht="14.4" thickTop="1">
      <c r="A96" s="255"/>
      <c r="B96" s="332">
        <f>B30</f>
        <v>111</v>
      </c>
      <c r="C96" s="348"/>
      <c r="D96" s="348"/>
      <c r="E96" s="348"/>
      <c r="F96" s="348"/>
      <c r="G96" s="373"/>
      <c r="H96" s="373"/>
      <c r="I96" s="373"/>
      <c r="J96" s="373"/>
      <c r="K96" s="374"/>
      <c r="L96" s="375"/>
      <c r="M96" s="376"/>
      <c r="N96" s="639"/>
      <c r="O96" s="639"/>
      <c r="P96" s="1417"/>
      <c r="Q96" s="303"/>
    </row>
    <row r="97" spans="1:17" ht="14.4" thickBot="1">
      <c r="A97" s="255"/>
      <c r="B97" s="337"/>
      <c r="C97" s="362"/>
      <c r="D97" s="362"/>
      <c r="E97" s="362"/>
      <c r="F97" s="362"/>
      <c r="G97" s="330"/>
      <c r="H97" s="330"/>
      <c r="I97" s="330"/>
      <c r="J97" s="330"/>
      <c r="K97" s="330"/>
      <c r="L97" s="330"/>
      <c r="M97" s="331"/>
      <c r="N97" s="640"/>
      <c r="O97" s="640"/>
      <c r="P97" s="1417"/>
      <c r="Q97" s="303"/>
    </row>
    <row r="98" spans="1:17" ht="14.4" thickTop="1">
      <c r="A98" s="255"/>
      <c r="B98" s="340">
        <f>B31</f>
        <v>111</v>
      </c>
      <c r="C98" s="377"/>
      <c r="D98" s="377"/>
      <c r="E98" s="377"/>
      <c r="F98" s="377"/>
      <c r="G98" s="377"/>
      <c r="H98" s="377"/>
      <c r="I98" s="377"/>
      <c r="J98" s="377"/>
      <c r="K98" s="378"/>
      <c r="L98" s="379"/>
      <c r="M98" s="380"/>
      <c r="N98" s="639"/>
      <c r="O98" s="639"/>
      <c r="P98" s="1417"/>
      <c r="Q98" s="303"/>
    </row>
    <row r="99" spans="1:17" ht="14.4" thickBot="1">
      <c r="A99" s="261"/>
      <c r="B99" s="361"/>
      <c r="C99" s="381"/>
      <c r="D99" s="381"/>
      <c r="E99" s="381"/>
      <c r="F99" s="381"/>
      <c r="G99" s="381"/>
      <c r="H99" s="381"/>
      <c r="I99" s="381"/>
      <c r="J99" s="381"/>
      <c r="K99" s="381"/>
      <c r="L99" s="381"/>
      <c r="M99" s="382"/>
      <c r="N99" s="640"/>
      <c r="O99" s="640"/>
      <c r="P99" s="1417"/>
      <c r="Q99" s="303"/>
    </row>
    <row r="100" spans="1:17" ht="14.4">
      <c r="A100" s="263" t="s">
        <v>1612</v>
      </c>
      <c r="B100" s="323" t="s">
        <v>1654</v>
      </c>
      <c r="C100" s="4129" t="s">
        <v>4635</v>
      </c>
      <c r="D100" s="4129" t="s">
        <v>4627</v>
      </c>
      <c r="E100" s="4129" t="s">
        <v>4628</v>
      </c>
      <c r="F100" s="325"/>
      <c r="G100" s="325"/>
      <c r="H100" s="325"/>
      <c r="I100" s="325"/>
      <c r="J100" s="325"/>
      <c r="K100" s="326"/>
      <c r="L100" s="327"/>
      <c r="M100" s="328"/>
      <c r="N100" s="639"/>
      <c r="O100" s="639"/>
      <c r="P100" s="1417"/>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7"/>
      <c r="Q101" s="303"/>
    </row>
    <row r="102" spans="1:17" ht="28.2"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100000(含)-500000</v>
      </c>
      <c r="G102" s="369" t="str">
        <f t="shared" si="26"/>
        <v>500000(含)-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500000</v>
      </c>
      <c r="H103" s="5"/>
      <c r="I103" s="5"/>
      <c r="J103" s="384"/>
      <c r="K103" s="384"/>
      <c r="L103" s="385"/>
      <c r="M103" s="386"/>
      <c r="N103" s="641"/>
      <c r="O103" s="641"/>
      <c r="P103" s="1418"/>
      <c r="Q103" s="352"/>
    </row>
    <row r="104" spans="1:17" s="280" customFormat="1" ht="14.4" thickBot="1">
      <c r="A104" s="347"/>
      <c r="B104" s="337"/>
      <c r="C104" s="353">
        <v>100</v>
      </c>
      <c r="D104" s="330">
        <f>C104+1</f>
        <v>101</v>
      </c>
      <c r="E104" s="330">
        <f t="shared" ref="E104:I104" si="27">D104+1</f>
        <v>102</v>
      </c>
      <c r="F104" s="330">
        <f t="shared" si="27"/>
        <v>103</v>
      </c>
      <c r="G104" s="330">
        <f t="shared" ref="G104" si="28">F104+1</f>
        <v>104</v>
      </c>
      <c r="H104" s="330"/>
      <c r="I104" s="330"/>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4.4" thickBot="1">
      <c r="A106" s="255"/>
      <c r="B106" s="337"/>
      <c r="C106" s="338">
        <v>100</v>
      </c>
      <c r="D106" s="338">
        <f t="shared" ref="D106:M106" si="29">C106-$K34</f>
        <v>100</v>
      </c>
      <c r="E106" s="338">
        <f t="shared" si="29"/>
        <v>100</v>
      </c>
      <c r="F106" s="338">
        <f t="shared" si="29"/>
        <v>100</v>
      </c>
      <c r="G106" s="338">
        <f t="shared" si="29"/>
        <v>100</v>
      </c>
      <c r="H106" s="338">
        <f t="shared" si="29"/>
        <v>100</v>
      </c>
      <c r="I106" s="338">
        <f t="shared" si="29"/>
        <v>100</v>
      </c>
      <c r="J106" s="338">
        <f t="shared" si="29"/>
        <v>100</v>
      </c>
      <c r="K106" s="338">
        <f t="shared" si="29"/>
        <v>100</v>
      </c>
      <c r="L106" s="338">
        <f t="shared" si="29"/>
        <v>100</v>
      </c>
      <c r="M106" s="338">
        <f t="shared" si="29"/>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4.4" thickBot="1">
      <c r="A108" s="255"/>
      <c r="B108" s="337"/>
      <c r="C108" s="338">
        <v>100</v>
      </c>
      <c r="D108" s="338">
        <f t="shared" ref="D108:M108" si="30">C108-$K35</f>
        <v>100</v>
      </c>
      <c r="E108" s="338">
        <f t="shared" si="30"/>
        <v>100</v>
      </c>
      <c r="F108" s="338">
        <f t="shared" si="30"/>
        <v>100</v>
      </c>
      <c r="G108" s="338">
        <f t="shared" si="30"/>
        <v>100</v>
      </c>
      <c r="H108" s="338">
        <f t="shared" si="30"/>
        <v>100</v>
      </c>
      <c r="I108" s="338">
        <f t="shared" si="30"/>
        <v>100</v>
      </c>
      <c r="J108" s="338">
        <f t="shared" si="30"/>
        <v>100</v>
      </c>
      <c r="K108" s="338">
        <f t="shared" si="30"/>
        <v>100</v>
      </c>
      <c r="L108" s="338">
        <f t="shared" si="30"/>
        <v>100</v>
      </c>
      <c r="M108" s="338">
        <f t="shared" si="30"/>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4.4" thickBot="1">
      <c r="A110" s="255"/>
      <c r="B110" s="337"/>
      <c r="C110" s="338">
        <v>100</v>
      </c>
      <c r="D110" s="338">
        <f t="shared" ref="D110:M110" si="31">C110-$K36</f>
        <v>100</v>
      </c>
      <c r="E110" s="338">
        <f t="shared" si="31"/>
        <v>100</v>
      </c>
      <c r="F110" s="338">
        <f t="shared" si="31"/>
        <v>100</v>
      </c>
      <c r="G110" s="338">
        <f t="shared" si="31"/>
        <v>100</v>
      </c>
      <c r="H110" s="338">
        <f t="shared" si="31"/>
        <v>100</v>
      </c>
      <c r="I110" s="338">
        <f t="shared" si="31"/>
        <v>100</v>
      </c>
      <c r="J110" s="338">
        <f t="shared" si="31"/>
        <v>100</v>
      </c>
      <c r="K110" s="338">
        <f t="shared" si="31"/>
        <v>100</v>
      </c>
      <c r="L110" s="338">
        <f t="shared" si="31"/>
        <v>100</v>
      </c>
      <c r="M110" s="338">
        <f t="shared" si="31"/>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4.4" thickBot="1">
      <c r="A115" s="255"/>
      <c r="B115" s="337"/>
      <c r="C115" s="338">
        <v>100</v>
      </c>
      <c r="D115" s="338">
        <f t="shared" ref="D115:M115" si="32">C115-$K38</f>
        <v>98</v>
      </c>
      <c r="E115" s="338">
        <f t="shared" si="32"/>
        <v>96</v>
      </c>
      <c r="F115" s="338">
        <f t="shared" si="32"/>
        <v>94</v>
      </c>
      <c r="G115" s="338">
        <f t="shared" si="32"/>
        <v>92</v>
      </c>
      <c r="H115" s="338">
        <f t="shared" si="32"/>
        <v>90</v>
      </c>
      <c r="I115" s="338">
        <f t="shared" si="32"/>
        <v>88</v>
      </c>
      <c r="J115" s="338">
        <f t="shared" si="32"/>
        <v>86</v>
      </c>
      <c r="K115" s="338">
        <f t="shared" si="32"/>
        <v>84</v>
      </c>
      <c r="L115" s="338">
        <f t="shared" si="32"/>
        <v>82</v>
      </c>
      <c r="M115" s="338">
        <f t="shared" si="32"/>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4.4"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4.4" thickBot="1">
      <c r="A119" s="255"/>
      <c r="B119" s="337"/>
      <c r="C119" s="338">
        <v>100</v>
      </c>
      <c r="D119" s="338">
        <f t="shared" ref="D119:M119" si="33">C119-$K40</f>
        <v>98</v>
      </c>
      <c r="E119" s="338">
        <f t="shared" si="33"/>
        <v>96</v>
      </c>
      <c r="F119" s="338">
        <f t="shared" si="33"/>
        <v>94</v>
      </c>
      <c r="G119" s="338">
        <f t="shared" si="33"/>
        <v>92</v>
      </c>
      <c r="H119" s="338">
        <f t="shared" si="33"/>
        <v>90</v>
      </c>
      <c r="I119" s="338">
        <f t="shared" si="33"/>
        <v>88</v>
      </c>
      <c r="J119" s="338">
        <f t="shared" si="33"/>
        <v>86</v>
      </c>
      <c r="K119" s="338">
        <f t="shared" si="33"/>
        <v>84</v>
      </c>
      <c r="L119" s="338">
        <f t="shared" si="33"/>
        <v>82</v>
      </c>
      <c r="M119" s="338">
        <f t="shared" si="33"/>
        <v>80</v>
      </c>
      <c r="N119" s="640"/>
      <c r="O119" s="640"/>
      <c r="P119" s="1417"/>
      <c r="Q119" s="303"/>
    </row>
    <row r="120" spans="1:17" s="280" customFormat="1" ht="29.4"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4.4"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4.4" thickBot="1">
      <c r="A123" s="255"/>
      <c r="B123" s="337"/>
      <c r="C123" s="338">
        <v>100</v>
      </c>
      <c r="D123" s="338">
        <f t="shared" ref="D123:M123" si="34">C123-$K42</f>
        <v>99</v>
      </c>
      <c r="E123" s="338">
        <f t="shared" si="34"/>
        <v>98</v>
      </c>
      <c r="F123" s="338">
        <f t="shared" si="34"/>
        <v>97</v>
      </c>
      <c r="G123" s="338">
        <f t="shared" si="34"/>
        <v>96</v>
      </c>
      <c r="H123" s="338">
        <f t="shared" si="34"/>
        <v>95</v>
      </c>
      <c r="I123" s="338">
        <f t="shared" si="34"/>
        <v>94</v>
      </c>
      <c r="J123" s="338">
        <f t="shared" si="34"/>
        <v>93</v>
      </c>
      <c r="K123" s="338">
        <f t="shared" si="34"/>
        <v>92</v>
      </c>
      <c r="L123" s="338">
        <f t="shared" si="34"/>
        <v>91</v>
      </c>
      <c r="M123" s="338">
        <f t="shared" si="34"/>
        <v>90</v>
      </c>
      <c r="N123" s="640"/>
      <c r="O123" s="640"/>
      <c r="P123" s="1417"/>
      <c r="Q123" s="303"/>
    </row>
    <row r="124" spans="1:17" ht="29.4"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4"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4.4" thickTop="1">
      <c r="A126" s="278"/>
      <c r="B126" s="332" t="str">
        <f>B44</f>
        <v>户型</v>
      </c>
      <c r="C126" s="348" t="s">
        <v>4637</v>
      </c>
      <c r="D126" s="348" t="s">
        <v>4638</v>
      </c>
      <c r="E126" s="348" t="s">
        <v>4639</v>
      </c>
      <c r="F126" s="348"/>
      <c r="G126" s="348"/>
      <c r="H126" s="349"/>
      <c r="I126" s="349"/>
      <c r="J126" s="349"/>
      <c r="K126" s="349"/>
      <c r="L126" s="350"/>
      <c r="M126" s="351"/>
      <c r="N126" s="641"/>
      <c r="O126" s="641"/>
      <c r="P126" s="1418"/>
      <c r="Q126" s="352"/>
    </row>
    <row r="127" spans="1:17" s="280" customFormat="1" ht="14.4" thickBot="1">
      <c r="A127" s="347"/>
      <c r="B127" s="337"/>
      <c r="C127" s="353">
        <v>100</v>
      </c>
      <c r="D127" s="330">
        <f>C127+1</f>
        <v>101</v>
      </c>
      <c r="E127" s="330">
        <f>D127+1</f>
        <v>102</v>
      </c>
      <c r="F127" s="330"/>
      <c r="G127" s="353"/>
      <c r="H127" s="355"/>
      <c r="I127" s="355"/>
      <c r="J127" s="355"/>
      <c r="K127" s="355"/>
      <c r="L127" s="355"/>
      <c r="M127" s="356"/>
      <c r="N127" s="641"/>
      <c r="O127" s="641"/>
      <c r="P127" s="1418"/>
      <c r="Q127" s="352"/>
    </row>
    <row r="128" spans="1:17" ht="14.4" thickTop="1">
      <c r="A128" s="281"/>
      <c r="B128" s="332">
        <f>B45</f>
        <v>0</v>
      </c>
      <c r="C128" s="348"/>
      <c r="D128" s="348"/>
      <c r="E128" s="348"/>
      <c r="F128" s="348"/>
      <c r="G128" s="373"/>
      <c r="H128" s="373"/>
      <c r="I128" s="373"/>
      <c r="J128" s="373"/>
      <c r="K128" s="374"/>
      <c r="L128" s="375"/>
      <c r="M128" s="376"/>
      <c r="N128" s="639"/>
      <c r="O128" s="639"/>
      <c r="P128" s="1417"/>
      <c r="Q128" s="303"/>
    </row>
    <row r="129" spans="1:17" ht="14.4" thickBot="1">
      <c r="A129" s="255"/>
      <c r="B129" s="337"/>
      <c r="C129" s="353"/>
      <c r="D129" s="353"/>
      <c r="E129" s="353"/>
      <c r="F129" s="353"/>
      <c r="G129" s="330"/>
      <c r="H129" s="330"/>
      <c r="I129" s="330"/>
      <c r="J129" s="330"/>
      <c r="K129" s="330"/>
      <c r="L129" s="330"/>
      <c r="M129" s="331"/>
      <c r="N129" s="640"/>
      <c r="O129" s="640"/>
      <c r="P129" s="1417"/>
      <c r="Q129" s="303"/>
    </row>
    <row r="130" spans="1:17" ht="14.4" thickTop="1">
      <c r="A130" s="281"/>
      <c r="B130" s="340">
        <f>B46</f>
        <v>111</v>
      </c>
      <c r="C130" s="348"/>
      <c r="D130" s="348"/>
      <c r="E130" s="348"/>
      <c r="F130" s="348"/>
      <c r="G130" s="377"/>
      <c r="H130" s="377"/>
      <c r="I130" s="377"/>
      <c r="J130" s="377"/>
      <c r="K130" s="20"/>
      <c r="L130" s="321"/>
      <c r="M130" s="380"/>
      <c r="N130" s="639"/>
      <c r="O130" s="639"/>
      <c r="P130" s="1417"/>
      <c r="Q130" s="303"/>
    </row>
    <row r="131" spans="1:17" ht="14.4"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6.2"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ht="14.4">
      <c r="B147" s="1423" t="s">
        <v>1682</v>
      </c>
    </row>
    <row r="148" spans="2:11" ht="14.4">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E2" xr:uid="{00000000-0002-0000-2800-000014000000}">
      <formula1>"需扣减承租人权益,——"</formula1>
    </dataValidation>
    <dataValidation type="list" allowBlank="1" showInputMessage="1" showErrorMessage="1" sqref="H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 type="list" allowBlank="1" showInputMessage="1" showErrorMessage="1" sqref="C2" xr:uid="{00000000-0002-0000-2800-000018000000}">
      <formula1>"含税,不含税"</formula1>
    </dataValidation>
    <dataValidation type="list" allowBlank="1" showInputMessage="1" showErrorMessage="1" sqref="E3" xr:uid="{00000000-0002-0000-28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A22" zoomScaleNormal="60" zoomScaleSheetLayoutView="100" workbookViewId="0">
      <selection activeCell="G5" sqref="G5:H5"/>
    </sheetView>
  </sheetViews>
  <sheetFormatPr defaultColWidth="9" defaultRowHeight="13.8"/>
  <cols>
    <col min="1" max="1" width="10.44140625" style="238" customWidth="1"/>
    <col min="2" max="2" width="15.77734375" style="238" customWidth="1"/>
    <col min="3" max="3" width="19.33203125" style="238" customWidth="1"/>
    <col min="4" max="4" width="12.21875" style="238" customWidth="1"/>
    <col min="5" max="5" width="17.21875" style="238" customWidth="1"/>
    <col min="6" max="6" width="12.21875" style="238" customWidth="1"/>
    <col min="7" max="7" width="17.2187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3232</v>
      </c>
      <c r="C1" s="849" t="s">
        <v>1580</v>
      </c>
      <c r="D1" s="850" t="s">
        <v>4641</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4644</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99" t="s">
        <v>1693</v>
      </c>
      <c r="Q4" s="4500"/>
      <c r="R4" s="4448" t="s">
        <v>1689</v>
      </c>
      <c r="S4" s="4449"/>
      <c r="T4" s="4448" t="s">
        <v>1690</v>
      </c>
      <c r="U4" s="4449"/>
      <c r="V4" s="4457" t="s">
        <v>1691</v>
      </c>
      <c r="W4" s="4457"/>
      <c r="X4" s="947"/>
      <c r="Y4" s="4448" t="s">
        <v>1693</v>
      </c>
      <c r="Z4" s="4449"/>
      <c r="AA4" s="4420" t="s">
        <v>1689</v>
      </c>
      <c r="AB4" s="4421" t="s">
        <v>1690</v>
      </c>
      <c r="AC4" s="4420" t="s">
        <v>1691</v>
      </c>
    </row>
    <row r="5" spans="1:29" ht="13.95" customHeight="1">
      <c r="A5" s="239"/>
      <c r="B5" s="240"/>
      <c r="C5" s="4479" t="s">
        <v>1591</v>
      </c>
      <c r="D5" s="4480"/>
      <c r="E5" s="4479" t="s">
        <v>4622</v>
      </c>
      <c r="F5" s="4480"/>
      <c r="G5" s="4540" t="s">
        <v>4663</v>
      </c>
      <c r="H5" s="4480"/>
      <c r="I5" s="4540" t="s">
        <v>4648</v>
      </c>
      <c r="J5" s="4480"/>
      <c r="K5" s="397"/>
      <c r="L5" s="2020"/>
      <c r="M5" s="2021"/>
      <c r="N5" s="2021"/>
      <c r="O5" s="2021"/>
      <c r="P5" s="4501"/>
      <c r="Q5" s="4502"/>
      <c r="R5" s="4450"/>
      <c r="S5" s="4451"/>
      <c r="T5" s="4450"/>
      <c r="U5" s="4451"/>
      <c r="V5" s="4457"/>
      <c r="W5" s="4457"/>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503"/>
      <c r="Q6" s="4504"/>
      <c r="R6" s="4450"/>
      <c r="S6" s="4451"/>
      <c r="T6" s="4452"/>
      <c r="U6" s="4453"/>
      <c r="V6" s="4457"/>
      <c r="W6" s="4457"/>
      <c r="X6" s="947"/>
      <c r="Y6" s="4452"/>
      <c r="Z6" s="4453"/>
      <c r="AA6" s="4422"/>
      <c r="AB6" s="4422"/>
      <c r="AC6" s="4422"/>
    </row>
    <row r="7" spans="1:29" s="46" customFormat="1" ht="1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46" t="s">
        <v>1598</v>
      </c>
      <c r="Q7" s="4505"/>
      <c r="R7" s="4024" t="s">
        <v>13</v>
      </c>
      <c r="S7" s="4027">
        <f t="shared" ref="S7:S14" si="0">F7</f>
        <v>100</v>
      </c>
      <c r="T7" s="4024" t="s">
        <v>13</v>
      </c>
      <c r="U7" s="4027">
        <f t="shared" ref="U7:U14" si="1">H7</f>
        <v>100</v>
      </c>
      <c r="V7" s="4024" t="s">
        <v>13</v>
      </c>
      <c r="W7" s="4027">
        <f t="shared" ref="W7:W14" si="2">J7</f>
        <v>100</v>
      </c>
      <c r="X7" s="493"/>
      <c r="Y7" s="4446" t="s">
        <v>1598</v>
      </c>
      <c r="Z7" s="4447"/>
      <c r="AA7" s="28">
        <f>D7/F7</f>
        <v>1</v>
      </c>
      <c r="AB7" s="28">
        <f>D7/H7</f>
        <v>1</v>
      </c>
      <c r="AC7" s="28">
        <f>D7/J7</f>
        <v>1</v>
      </c>
    </row>
    <row r="8" spans="1:29" s="46" customFormat="1" ht="1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46" t="s">
        <v>1601</v>
      </c>
      <c r="Q8" s="4447"/>
      <c r="R8" s="4024" t="s">
        <v>13</v>
      </c>
      <c r="S8" s="4027">
        <f t="shared" si="0"/>
        <v>100</v>
      </c>
      <c r="T8" s="4024" t="s">
        <v>13</v>
      </c>
      <c r="U8" s="4027">
        <f t="shared" si="1"/>
        <v>100</v>
      </c>
      <c r="V8" s="4024" t="s">
        <v>13</v>
      </c>
      <c r="W8" s="4027">
        <f t="shared" si="2"/>
        <v>100</v>
      </c>
      <c r="X8" s="493"/>
      <c r="Y8" s="4446" t="s">
        <v>1601</v>
      </c>
      <c r="Z8" s="4447"/>
      <c r="AA8" s="28">
        <f t="shared" ref="AA8:AA36" si="3">D8/F8</f>
        <v>1</v>
      </c>
      <c r="AB8" s="28">
        <f t="shared" ref="AB8:AB36" si="4">D8/H8</f>
        <v>1</v>
      </c>
      <c r="AC8" s="28">
        <f t="shared" ref="AC8:AC36" si="5">D8/J8</f>
        <v>1</v>
      </c>
    </row>
    <row r="9" spans="1:29" s="46" customFormat="1" ht="14.4">
      <c r="A9" s="31" t="s">
        <v>1602</v>
      </c>
      <c r="B9" s="420" t="s">
        <v>1603</v>
      </c>
      <c r="C9" s="4138" t="s">
        <v>4645</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4" t="s">
        <v>1604</v>
      </c>
      <c r="Q9" s="390" t="str">
        <f t="shared" ref="Q9:Q14" si="6">B9</f>
        <v>用途</v>
      </c>
      <c r="R9" s="4024" t="s">
        <v>13</v>
      </c>
      <c r="S9" s="4027">
        <f t="shared" si="0"/>
        <v>100</v>
      </c>
      <c r="T9" s="4024" t="s">
        <v>13</v>
      </c>
      <c r="U9" s="4027">
        <f t="shared" si="1"/>
        <v>100</v>
      </c>
      <c r="V9" s="4024" t="s">
        <v>13</v>
      </c>
      <c r="W9" s="4027">
        <f t="shared" si="2"/>
        <v>100</v>
      </c>
      <c r="X9" s="493"/>
      <c r="Y9" s="4419" t="s">
        <v>1605</v>
      </c>
      <c r="Z9" s="28" t="str">
        <f t="shared" ref="Z9:Z14" si="7">Q9</f>
        <v>用途</v>
      </c>
      <c r="AA9" s="28">
        <f t="shared" si="3"/>
        <v>1</v>
      </c>
      <c r="AB9" s="28">
        <f t="shared" si="4"/>
        <v>1</v>
      </c>
      <c r="AC9" s="28">
        <f t="shared" si="5"/>
        <v>1</v>
      </c>
    </row>
    <row r="10" spans="1:29" s="254" customFormat="1" ht="28.8">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4"/>
      <c r="Q10" s="390" t="str">
        <f t="shared" si="6"/>
        <v>土地使用年限（年）</v>
      </c>
      <c r="R10" s="4024" t="s">
        <v>13</v>
      </c>
      <c r="S10" s="4027">
        <f t="shared" si="0"/>
        <v>100</v>
      </c>
      <c r="T10" s="4024" t="s">
        <v>13</v>
      </c>
      <c r="U10" s="4027">
        <f t="shared" si="1"/>
        <v>100</v>
      </c>
      <c r="V10" s="4024" t="s">
        <v>13</v>
      </c>
      <c r="W10" s="4027">
        <f t="shared" si="2"/>
        <v>100</v>
      </c>
      <c r="X10" s="493"/>
      <c r="Y10" s="4419"/>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4"/>
      <c r="Q11" s="390">
        <f t="shared" si="6"/>
        <v>111</v>
      </c>
      <c r="R11" s="4024" t="s">
        <v>13</v>
      </c>
      <c r="S11" s="4027">
        <f t="shared" si="0"/>
        <v>100</v>
      </c>
      <c r="T11" s="4024" t="s">
        <v>13</v>
      </c>
      <c r="U11" s="4027">
        <f t="shared" si="1"/>
        <v>100</v>
      </c>
      <c r="V11" s="4024" t="s">
        <v>13</v>
      </c>
      <c r="W11" s="4027">
        <f t="shared" si="2"/>
        <v>100</v>
      </c>
      <c r="X11" s="493"/>
      <c r="Y11" s="4419"/>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4"/>
      <c r="Q12" s="390">
        <f t="shared" si="6"/>
        <v>111</v>
      </c>
      <c r="R12" s="4024" t="s">
        <v>13</v>
      </c>
      <c r="S12" s="4027">
        <f t="shared" si="0"/>
        <v>100</v>
      </c>
      <c r="T12" s="4024" t="s">
        <v>13</v>
      </c>
      <c r="U12" s="4027">
        <f t="shared" si="1"/>
        <v>100</v>
      </c>
      <c r="V12" s="4024" t="s">
        <v>13</v>
      </c>
      <c r="W12" s="4027">
        <f t="shared" si="2"/>
        <v>100</v>
      </c>
      <c r="X12" s="493"/>
      <c r="Y12" s="4419"/>
      <c r="Z12" s="28">
        <f t="shared" si="7"/>
        <v>111</v>
      </c>
      <c r="AA12" s="28">
        <f>D12/F12</f>
        <v>1</v>
      </c>
      <c r="AB12" s="28">
        <f>D12/H12</f>
        <v>1</v>
      </c>
      <c r="AC12" s="28">
        <f>D12/J12</f>
        <v>1</v>
      </c>
    </row>
    <row r="13" spans="1:29" ht="15.6"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4"/>
      <c r="Q13" s="390">
        <f t="shared" si="6"/>
        <v>111</v>
      </c>
      <c r="R13" s="4024" t="s">
        <v>13</v>
      </c>
      <c r="S13" s="4027">
        <f t="shared" si="0"/>
        <v>100</v>
      </c>
      <c r="T13" s="4024" t="s">
        <v>13</v>
      </c>
      <c r="U13" s="4027">
        <f t="shared" si="1"/>
        <v>100</v>
      </c>
      <c r="V13" s="4024" t="s">
        <v>13</v>
      </c>
      <c r="W13" s="4027">
        <f t="shared" si="2"/>
        <v>100</v>
      </c>
      <c r="X13" s="493"/>
      <c r="Y13" s="4419"/>
      <c r="Z13" s="28">
        <f t="shared" si="7"/>
        <v>111</v>
      </c>
      <c r="AA13" s="28">
        <f t="shared" si="3"/>
        <v>1</v>
      </c>
      <c r="AB13" s="28">
        <f t="shared" si="4"/>
        <v>1</v>
      </c>
      <c r="AC13" s="28">
        <f t="shared" si="5"/>
        <v>1</v>
      </c>
    </row>
    <row r="14" spans="1:29" ht="96.6">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4652</v>
      </c>
      <c r="H14" s="4007">
        <f>SUMIF(63:63,G15,64:64)-SUMIF(63:63,C15,64:64)+100</f>
        <v>100</v>
      </c>
      <c r="I14" s="2990" t="s">
        <v>4649</v>
      </c>
      <c r="J14" s="4007">
        <f>SUMIF(63:63,I15,64:64)-SUMIF(63:63,C15,64:64)+100</f>
        <v>100</v>
      </c>
      <c r="K14" s="400">
        <f>'比较法-住宅'!K17</f>
        <v>3</v>
      </c>
      <c r="L14" s="2026"/>
      <c r="M14" s="2021"/>
      <c r="N14" s="2021"/>
      <c r="O14" s="2021"/>
      <c r="P14" s="4411" t="s">
        <v>1609</v>
      </c>
      <c r="Q14" s="944" t="str">
        <f t="shared" si="6"/>
        <v>交通便捷度</v>
      </c>
      <c r="R14" s="4025" t="s">
        <v>13</v>
      </c>
      <c r="S14" s="4028">
        <f t="shared" si="0"/>
        <v>100</v>
      </c>
      <c r="T14" s="4025" t="s">
        <v>13</v>
      </c>
      <c r="U14" s="4028">
        <f t="shared" si="1"/>
        <v>100</v>
      </c>
      <c r="V14" s="4025" t="s">
        <v>13</v>
      </c>
      <c r="W14" s="4028">
        <f t="shared" si="2"/>
        <v>100</v>
      </c>
      <c r="X14" s="947"/>
      <c r="Y14" s="4411" t="s">
        <v>1609</v>
      </c>
      <c r="Z14" s="945" t="str">
        <f t="shared" si="7"/>
        <v>交通便捷度</v>
      </c>
      <c r="AA14" s="945">
        <f t="shared" si="3"/>
        <v>1</v>
      </c>
      <c r="AB14" s="945">
        <f t="shared" si="4"/>
        <v>1</v>
      </c>
      <c r="AC14" s="945">
        <f t="shared" si="5"/>
        <v>1</v>
      </c>
    </row>
    <row r="15" spans="1:29" ht="15.6" thickBot="1">
      <c r="A15" s="239"/>
      <c r="B15" s="427"/>
      <c r="C15" s="267" t="s">
        <v>3654</v>
      </c>
      <c r="D15" s="3045"/>
      <c r="E15" s="267" t="s">
        <v>3654</v>
      </c>
      <c r="F15" s="4014"/>
      <c r="G15" s="267" t="s">
        <v>3654</v>
      </c>
      <c r="H15" s="269"/>
      <c r="I15" s="267" t="s">
        <v>3654</v>
      </c>
      <c r="J15" s="268"/>
      <c r="K15" s="401"/>
      <c r="L15" s="2026"/>
      <c r="M15" s="2021"/>
      <c r="N15" s="2021"/>
      <c r="O15" s="2021"/>
      <c r="P15" s="4412"/>
      <c r="Q15" s="944"/>
      <c r="R15" s="4025"/>
      <c r="S15" s="4028"/>
      <c r="T15" s="4025"/>
      <c r="U15" s="4028"/>
      <c r="V15" s="4025"/>
      <c r="W15" s="4028"/>
      <c r="X15" s="947"/>
      <c r="Y15" s="4412"/>
      <c r="Z15" s="945"/>
      <c r="AA15" s="945">
        <v>1</v>
      </c>
      <c r="AB15" s="945">
        <v>1</v>
      </c>
      <c r="AC15" s="945">
        <v>1</v>
      </c>
    </row>
    <row r="16" spans="1:29" ht="100.8">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4653</v>
      </c>
      <c r="H16" s="4008">
        <f>SUMIF(65:65,G17,66:66)-SUMIF(65:65,C17,66:66)+100</f>
        <v>100</v>
      </c>
      <c r="I16" s="4137" t="s">
        <v>4650</v>
      </c>
      <c r="J16" s="4008">
        <f>SUMIF(65:65,I17,66:66)-SUMIF(65:65,C17,66:66)+100</f>
        <v>100</v>
      </c>
      <c r="K16" s="400">
        <f>'比较法-住宅'!K19</f>
        <v>3</v>
      </c>
      <c r="L16" s="2026"/>
      <c r="M16" s="2021"/>
      <c r="N16" s="2021"/>
      <c r="O16" s="2021"/>
      <c r="P16" s="4412"/>
      <c r="Q16" s="944" t="str">
        <f>B16</f>
        <v>公共配套设施</v>
      </c>
      <c r="R16" s="4025" t="s">
        <v>13</v>
      </c>
      <c r="S16" s="4028">
        <f>F16</f>
        <v>100</v>
      </c>
      <c r="T16" s="4025" t="s">
        <v>13</v>
      </c>
      <c r="U16" s="4028">
        <f>H16</f>
        <v>100</v>
      </c>
      <c r="V16" s="4025" t="s">
        <v>13</v>
      </c>
      <c r="W16" s="4028">
        <f>J16</f>
        <v>100</v>
      </c>
      <c r="X16" s="947"/>
      <c r="Y16" s="4412"/>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12"/>
      <c r="Q17" s="944"/>
      <c r="R17" s="4025"/>
      <c r="S17" s="4028"/>
      <c r="T17" s="4025"/>
      <c r="U17" s="4028"/>
      <c r="V17" s="4025"/>
      <c r="W17" s="4028"/>
      <c r="X17" s="947"/>
      <c r="Y17" s="4412"/>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12"/>
      <c r="Q18" s="944" t="str">
        <f>B18</f>
        <v>基础设施水平</v>
      </c>
      <c r="R18" s="4025" t="s">
        <v>13</v>
      </c>
      <c r="S18" s="4028">
        <f>F18</f>
        <v>100</v>
      </c>
      <c r="T18" s="4025" t="s">
        <v>13</v>
      </c>
      <c r="U18" s="4028">
        <f>H18</f>
        <v>100</v>
      </c>
      <c r="V18" s="4025" t="s">
        <v>13</v>
      </c>
      <c r="W18" s="4028">
        <f>J18</f>
        <v>100</v>
      </c>
      <c r="X18" s="947"/>
      <c r="Y18" s="4412"/>
      <c r="Z18" s="945" t="str">
        <f>Q18</f>
        <v>基础设施水平</v>
      </c>
      <c r="AA18" s="945">
        <f t="shared" ref="AA18" si="8">D18/F18</f>
        <v>1</v>
      </c>
      <c r="AB18" s="945">
        <f t="shared" ref="AB18" si="9">D18/H18</f>
        <v>1</v>
      </c>
      <c r="AC18" s="945">
        <f t="shared" ref="AC18" si="10">D18/J18</f>
        <v>1</v>
      </c>
    </row>
    <row r="19" spans="1:29" ht="15.6" thickBot="1">
      <c r="A19" s="239"/>
      <c r="B19" s="415"/>
      <c r="C19" s="1403" t="s">
        <v>3655</v>
      </c>
      <c r="D19" s="3046"/>
      <c r="E19" s="1403" t="s">
        <v>3655</v>
      </c>
      <c r="F19" s="4015"/>
      <c r="G19" s="1403" t="s">
        <v>3655</v>
      </c>
      <c r="H19" s="268"/>
      <c r="I19" s="1403" t="s">
        <v>3655</v>
      </c>
      <c r="J19" s="268"/>
      <c r="K19" s="791"/>
      <c r="L19" s="2026"/>
      <c r="M19" s="2021"/>
      <c r="N19" s="2021"/>
      <c r="O19" s="2021"/>
      <c r="P19" s="4412"/>
      <c r="Q19" s="944"/>
      <c r="R19" s="4025"/>
      <c r="S19" s="4028"/>
      <c r="T19" s="4025"/>
      <c r="U19" s="4028"/>
      <c r="V19" s="4025"/>
      <c r="W19" s="4028"/>
      <c r="X19" s="947"/>
      <c r="Y19" s="4412"/>
      <c r="Z19" s="945"/>
      <c r="AA19" s="945">
        <v>1</v>
      </c>
      <c r="AB19" s="945">
        <v>1</v>
      </c>
      <c r="AC19" s="945">
        <v>1</v>
      </c>
    </row>
    <row r="20" spans="1:29" ht="96.6">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4654</v>
      </c>
      <c r="H20" s="269">
        <f>SUMIF(69:69,G21,70:70)-SUMIF(69:69,C21,70:70)+100</f>
        <v>97</v>
      </c>
      <c r="I20" s="4132" t="s">
        <v>4651</v>
      </c>
      <c r="J20" s="269">
        <f>SUMIF(69:69,I21,70:70)-SUMIF(69:69,C21,70:70)+100</f>
        <v>100</v>
      </c>
      <c r="K20" s="400">
        <f>'比较法-住宅'!K23</f>
        <v>3</v>
      </c>
      <c r="L20" s="2026"/>
      <c r="M20" s="2021"/>
      <c r="N20" s="2021"/>
      <c r="O20" s="2021"/>
      <c r="P20" s="4412"/>
      <c r="Q20" s="944" t="str">
        <f>B20</f>
        <v>自然及人文环境</v>
      </c>
      <c r="R20" s="4025" t="s">
        <v>13</v>
      </c>
      <c r="S20" s="4028">
        <f>F20</f>
        <v>100</v>
      </c>
      <c r="T20" s="4025" t="s">
        <v>13</v>
      </c>
      <c r="U20" s="4028">
        <f>H20</f>
        <v>97</v>
      </c>
      <c r="V20" s="4025" t="s">
        <v>13</v>
      </c>
      <c r="W20" s="4028">
        <f>J20</f>
        <v>100</v>
      </c>
      <c r="X20" s="947"/>
      <c r="Y20" s="4412"/>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12"/>
      <c r="Q21" s="944"/>
      <c r="R21" s="4025"/>
      <c r="S21" s="4028"/>
      <c r="T21" s="4025"/>
      <c r="U21" s="4028"/>
      <c r="V21" s="4025"/>
      <c r="W21" s="4028"/>
      <c r="X21" s="947"/>
      <c r="Y21" s="4412"/>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12"/>
      <c r="Q22" s="944" t="str">
        <f>B22</f>
        <v>楼层</v>
      </c>
      <c r="R22" s="4025" t="s">
        <v>13</v>
      </c>
      <c r="S22" s="4028">
        <f>F22</f>
        <v>100</v>
      </c>
      <c r="T22" s="4025" t="s">
        <v>13</v>
      </c>
      <c r="U22" s="4028">
        <f>H22</f>
        <v>100</v>
      </c>
      <c r="V22" s="4025" t="s">
        <v>13</v>
      </c>
      <c r="W22" s="4028">
        <f>J22</f>
        <v>100</v>
      </c>
      <c r="X22" s="947"/>
      <c r="Y22" s="4412"/>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12"/>
      <c r="Q23" s="944">
        <f>B23</f>
        <v>111</v>
      </c>
      <c r="R23" s="4025" t="s">
        <v>13</v>
      </c>
      <c r="S23" s="4028">
        <f>F23</f>
        <v>100</v>
      </c>
      <c r="T23" s="4025" t="s">
        <v>13</v>
      </c>
      <c r="U23" s="4028">
        <f>H23</f>
        <v>100</v>
      </c>
      <c r="V23" s="4025" t="s">
        <v>13</v>
      </c>
      <c r="W23" s="4028">
        <f>J23</f>
        <v>100</v>
      </c>
      <c r="X23" s="947"/>
      <c r="Y23" s="4412"/>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12"/>
      <c r="Q24" s="944">
        <f t="shared" ref="Q24:Q36" si="11">B24</f>
        <v>111</v>
      </c>
      <c r="R24" s="4025" t="s">
        <v>13</v>
      </c>
      <c r="S24" s="4028">
        <f>F24</f>
        <v>100</v>
      </c>
      <c r="T24" s="4025" t="s">
        <v>13</v>
      </c>
      <c r="U24" s="4028">
        <f>H24</f>
        <v>100</v>
      </c>
      <c r="V24" s="4025" t="s">
        <v>13</v>
      </c>
      <c r="W24" s="4028">
        <f>J24</f>
        <v>100</v>
      </c>
      <c r="X24" s="947"/>
      <c r="Y24" s="4412"/>
      <c r="Z24" s="945">
        <f>Q24</f>
        <v>111</v>
      </c>
      <c r="AA24" s="945">
        <f t="shared" si="3"/>
        <v>1</v>
      </c>
      <c r="AB24" s="945">
        <f t="shared" si="4"/>
        <v>1</v>
      </c>
      <c r="AC24" s="945">
        <f t="shared" si="5"/>
        <v>1</v>
      </c>
    </row>
    <row r="25" spans="1:29" s="46" customFormat="1" ht="15.6"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12"/>
      <c r="Q25" s="390">
        <f t="shared" si="11"/>
        <v>111</v>
      </c>
      <c r="R25" s="4024" t="s">
        <v>13</v>
      </c>
      <c r="S25" s="4027">
        <f>F25</f>
        <v>100</v>
      </c>
      <c r="T25" s="4024" t="s">
        <v>13</v>
      </c>
      <c r="U25" s="4027">
        <f>H25</f>
        <v>100</v>
      </c>
      <c r="V25" s="4024" t="s">
        <v>13</v>
      </c>
      <c r="W25" s="4027">
        <f>J25</f>
        <v>100</v>
      </c>
      <c r="X25" s="493"/>
      <c r="Y25" s="4412"/>
      <c r="Z25" s="28">
        <f>Q25</f>
        <v>111</v>
      </c>
      <c r="AA25" s="945">
        <f>D25/F25</f>
        <v>1</v>
      </c>
      <c r="AB25" s="945">
        <f>D25/H25</f>
        <v>1</v>
      </c>
      <c r="AC25" s="945">
        <f>D25/J25</f>
        <v>1</v>
      </c>
    </row>
    <row r="26" spans="1:29" ht="30">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498"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16"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16"/>
      <c r="Q27" s="391" t="str">
        <f t="shared" si="11"/>
        <v>项目停车位配比</v>
      </c>
      <c r="R27" s="4026" t="s">
        <v>13</v>
      </c>
      <c r="S27" s="4029">
        <f t="shared" si="12"/>
        <v>100</v>
      </c>
      <c r="T27" s="4026" t="s">
        <v>13</v>
      </c>
      <c r="U27" s="4029">
        <f t="shared" si="13"/>
        <v>100</v>
      </c>
      <c r="V27" s="4026" t="s">
        <v>13</v>
      </c>
      <c r="W27" s="4029">
        <f t="shared" si="14"/>
        <v>100</v>
      </c>
      <c r="X27" s="494"/>
      <c r="Y27" s="4416"/>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16"/>
      <c r="Q28" s="944" t="str">
        <f t="shared" si="11"/>
        <v>公共部分装修</v>
      </c>
      <c r="R28" s="4025" t="s">
        <v>13</v>
      </c>
      <c r="S28" s="4028">
        <f t="shared" si="12"/>
        <v>100</v>
      </c>
      <c r="T28" s="4025" t="s">
        <v>13</v>
      </c>
      <c r="U28" s="4028">
        <f t="shared" si="13"/>
        <v>100</v>
      </c>
      <c r="V28" s="4025" t="s">
        <v>13</v>
      </c>
      <c r="W28" s="4028">
        <f t="shared" si="14"/>
        <v>100</v>
      </c>
      <c r="X28" s="947"/>
      <c r="Y28" s="4416"/>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16"/>
      <c r="Q29" s="944" t="str">
        <f t="shared" si="11"/>
        <v>成新率</v>
      </c>
      <c r="R29" s="4025" t="s">
        <v>13</v>
      </c>
      <c r="S29" s="4028">
        <f t="shared" si="12"/>
        <v>100</v>
      </c>
      <c r="T29" s="4025" t="s">
        <v>13</v>
      </c>
      <c r="U29" s="4028">
        <f t="shared" si="13"/>
        <v>100</v>
      </c>
      <c r="V29" s="4025" t="s">
        <v>13</v>
      </c>
      <c r="W29" s="4028">
        <f t="shared" si="14"/>
        <v>100</v>
      </c>
      <c r="X29" s="947"/>
      <c r="Y29" s="4416"/>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16"/>
      <c r="Q30" s="944" t="str">
        <f t="shared" si="11"/>
        <v>物业等级</v>
      </c>
      <c r="R30" s="4025" t="s">
        <v>13</v>
      </c>
      <c r="S30" s="4028">
        <f t="shared" si="12"/>
        <v>100</v>
      </c>
      <c r="T30" s="4025" t="s">
        <v>13</v>
      </c>
      <c r="U30" s="4028">
        <f t="shared" si="13"/>
        <v>100</v>
      </c>
      <c r="V30" s="4025" t="s">
        <v>13</v>
      </c>
      <c r="W30" s="4028">
        <f t="shared" si="14"/>
        <v>100</v>
      </c>
      <c r="X30" s="947"/>
      <c r="Y30" s="4416"/>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16"/>
      <c r="Q31" s="390" t="str">
        <f t="shared" si="11"/>
        <v>停车位面积</v>
      </c>
      <c r="R31" s="4024" t="s">
        <v>13</v>
      </c>
      <c r="S31" s="4027">
        <f t="shared" si="12"/>
        <v>100</v>
      </c>
      <c r="T31" s="4024" t="s">
        <v>13</v>
      </c>
      <c r="U31" s="4027">
        <f t="shared" si="13"/>
        <v>100</v>
      </c>
      <c r="V31" s="4024" t="s">
        <v>13</v>
      </c>
      <c r="W31" s="4027">
        <f t="shared" si="14"/>
        <v>100</v>
      </c>
      <c r="X31" s="493"/>
      <c r="Y31" s="4416"/>
      <c r="Z31" s="28" t="str">
        <f t="shared" si="15"/>
        <v>停车位面积</v>
      </c>
      <c r="AA31" s="28">
        <f t="shared" si="3"/>
        <v>1</v>
      </c>
      <c r="AB31" s="28">
        <f t="shared" si="4"/>
        <v>1</v>
      </c>
      <c r="AC31" s="28">
        <f t="shared" si="5"/>
        <v>1</v>
      </c>
    </row>
    <row r="32" spans="1:29" ht="15">
      <c r="A32" s="432"/>
      <c r="B32" s="430" t="s">
        <v>1760</v>
      </c>
      <c r="C32" s="276" t="s">
        <v>4646</v>
      </c>
      <c r="D32" s="3042">
        <v>100</v>
      </c>
      <c r="E32" s="276" t="s">
        <v>4646</v>
      </c>
      <c r="F32" s="946">
        <f>SUMIF(93:93,E32,94:94)-SUMIF(93:93,C32,94:94)+100</f>
        <v>100</v>
      </c>
      <c r="G32" s="276" t="s">
        <v>4646</v>
      </c>
      <c r="H32" s="4009">
        <f>SUMIF(93:93,G32,94:94)-SUMIF(93:93,C32,94:94)+100</f>
        <v>100</v>
      </c>
      <c r="I32" s="276" t="s">
        <v>4646</v>
      </c>
      <c r="J32" s="4009">
        <f>SUMIF(93:93,I32,94:94)-SUMIF(93:93,C32,94:94)+100</f>
        <v>100</v>
      </c>
      <c r="K32" s="398">
        <v>3</v>
      </c>
      <c r="L32" s="2026"/>
      <c r="M32" s="2021"/>
      <c r="N32" s="2021"/>
      <c r="O32" s="2021"/>
      <c r="P32" s="4416" t="s">
        <v>1614</v>
      </c>
      <c r="Q32" s="944" t="str">
        <f t="shared" si="11"/>
        <v>车位类型</v>
      </c>
      <c r="R32" s="4025" t="s">
        <v>13</v>
      </c>
      <c r="S32" s="4028">
        <f t="shared" si="12"/>
        <v>100</v>
      </c>
      <c r="T32" s="4025" t="s">
        <v>13</v>
      </c>
      <c r="U32" s="4028">
        <f t="shared" si="13"/>
        <v>100</v>
      </c>
      <c r="V32" s="4025" t="s">
        <v>13</v>
      </c>
      <c r="W32" s="4028">
        <f t="shared" si="14"/>
        <v>100</v>
      </c>
      <c r="X32" s="947"/>
      <c r="Y32" s="4416"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16"/>
      <c r="Q33" s="944" t="str">
        <f t="shared" si="11"/>
        <v>是否直接入户</v>
      </c>
      <c r="R33" s="4025" t="s">
        <v>13</v>
      </c>
      <c r="S33" s="4028">
        <f t="shared" si="12"/>
        <v>100</v>
      </c>
      <c r="T33" s="4025" t="s">
        <v>13</v>
      </c>
      <c r="U33" s="4028">
        <f t="shared" si="13"/>
        <v>100</v>
      </c>
      <c r="V33" s="4025" t="s">
        <v>13</v>
      </c>
      <c r="W33" s="4028">
        <f t="shared" si="14"/>
        <v>100</v>
      </c>
      <c r="X33" s="947"/>
      <c r="Y33" s="4416"/>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16"/>
      <c r="Q34" s="944">
        <f t="shared" si="11"/>
        <v>111</v>
      </c>
      <c r="R34" s="4025" t="s">
        <v>13</v>
      </c>
      <c r="S34" s="4028">
        <f t="shared" si="12"/>
        <v>100</v>
      </c>
      <c r="T34" s="4025" t="s">
        <v>13</v>
      </c>
      <c r="U34" s="4028">
        <f t="shared" si="13"/>
        <v>100</v>
      </c>
      <c r="V34" s="4025" t="s">
        <v>13</v>
      </c>
      <c r="W34" s="4028">
        <f t="shared" si="14"/>
        <v>100</v>
      </c>
      <c r="X34" s="947"/>
      <c r="Y34" s="4416"/>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16"/>
      <c r="Q35" s="391">
        <f t="shared" si="11"/>
        <v>111</v>
      </c>
      <c r="R35" s="4026" t="s">
        <v>13</v>
      </c>
      <c r="S35" s="4029">
        <f t="shared" si="12"/>
        <v>100</v>
      </c>
      <c r="T35" s="4026" t="s">
        <v>13</v>
      </c>
      <c r="U35" s="4029">
        <f t="shared" si="13"/>
        <v>100</v>
      </c>
      <c r="V35" s="4026" t="s">
        <v>13</v>
      </c>
      <c r="W35" s="4029">
        <f t="shared" si="14"/>
        <v>100</v>
      </c>
      <c r="X35" s="494"/>
      <c r="Y35" s="4416"/>
      <c r="Z35" s="495">
        <f t="shared" si="15"/>
        <v>111</v>
      </c>
      <c r="AA35" s="945">
        <f t="shared" si="3"/>
        <v>1</v>
      </c>
      <c r="AB35" s="945">
        <f t="shared" si="4"/>
        <v>1</v>
      </c>
      <c r="AC35" s="945">
        <f t="shared" si="5"/>
        <v>1</v>
      </c>
    </row>
    <row r="36" spans="1:29" ht="15.6"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16"/>
      <c r="Q36" s="944">
        <f t="shared" si="11"/>
        <v>111</v>
      </c>
      <c r="R36" s="4025" t="s">
        <v>13</v>
      </c>
      <c r="S36" s="4028">
        <f t="shared" si="12"/>
        <v>100</v>
      </c>
      <c r="T36" s="4025" t="s">
        <v>13</v>
      </c>
      <c r="U36" s="4028">
        <f t="shared" si="13"/>
        <v>100</v>
      </c>
      <c r="V36" s="4025" t="s">
        <v>13</v>
      </c>
      <c r="W36" s="4028">
        <f t="shared" si="14"/>
        <v>100</v>
      </c>
      <c r="X36" s="947"/>
      <c r="Y36" s="4416"/>
      <c r="Z36" s="945">
        <f t="shared" si="15"/>
        <v>111</v>
      </c>
      <c r="AA36" s="945">
        <f t="shared" si="3"/>
        <v>1</v>
      </c>
      <c r="AB36" s="945">
        <f t="shared" si="4"/>
        <v>1</v>
      </c>
      <c r="AC36" s="945">
        <f t="shared" si="5"/>
        <v>1</v>
      </c>
    </row>
    <row r="37" spans="1:29" ht="14.4">
      <c r="A37" s="287" t="s">
        <v>1762</v>
      </c>
      <c r="B37" s="1464" t="s">
        <v>4655</v>
      </c>
      <c r="C37" s="799" t="s">
        <v>0</v>
      </c>
      <c r="D37" s="289"/>
      <c r="E37" s="3416">
        <v>700541</v>
      </c>
      <c r="F37" s="3341"/>
      <c r="G37" s="3417">
        <v>699969</v>
      </c>
      <c r="H37" s="3342"/>
      <c r="I37" s="3416">
        <v>671065</v>
      </c>
      <c r="J37" s="3342"/>
      <c r="K37" s="3418"/>
      <c r="L37" s="2028"/>
      <c r="M37" s="2021"/>
      <c r="N37" s="2021"/>
      <c r="O37" s="2021"/>
      <c r="P37" s="4494" t="str">
        <f>A37</f>
        <v>成交单价</v>
      </c>
      <c r="Q37" s="4494"/>
      <c r="R37" s="4457">
        <f>E37</f>
        <v>700541</v>
      </c>
      <c r="S37" s="4457"/>
      <c r="T37" s="4457">
        <f>G37</f>
        <v>699969</v>
      </c>
      <c r="U37" s="4457"/>
      <c r="V37" s="4457">
        <f>I37</f>
        <v>671065</v>
      </c>
      <c r="W37" s="4457"/>
      <c r="X37" s="266"/>
      <c r="Y37" s="496"/>
      <c r="Z37" s="266"/>
      <c r="AA37" s="266"/>
      <c r="AB37" s="266"/>
      <c r="AC37" s="266"/>
    </row>
    <row r="38" spans="1:29" ht="1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4" t="str">
        <f>A38</f>
        <v>比较价值（元/平方米）</v>
      </c>
      <c r="Q38" s="4494"/>
      <c r="R38" s="4457">
        <f>IF(F1="售价",ROUND(PRODUCT(R37,AA7:AA36),0),ROUND(PRODUCT(R37,AA7:AA36),1))</f>
        <v>700541</v>
      </c>
      <c r="S38" s="4457"/>
      <c r="T38" s="4457">
        <f>IF(F1="售价",ROUND(PRODUCT(T37,AB7:AB36),0),ROUND(PRODUCT(T37,AB7:AB36),1))</f>
        <v>721618</v>
      </c>
      <c r="U38" s="4457"/>
      <c r="V38" s="4457">
        <f>IF(F1="售价",ROUND(PRODUCT(V37,AC7:AC36),0),ROUND(PRODUCT(V37,AC7:AC36),1))</f>
        <v>671065</v>
      </c>
      <c r="W38" s="4457"/>
      <c r="X38" s="266"/>
      <c r="Y38" s="266"/>
      <c r="Z38" s="266"/>
      <c r="AA38" s="266"/>
      <c r="AB38" s="266"/>
      <c r="AC38" s="266"/>
    </row>
    <row r="39" spans="1:29" ht="15" thickBot="1">
      <c r="A39" s="292" t="s">
        <v>1764</v>
      </c>
      <c r="B39" s="293"/>
      <c r="C39" s="4003">
        <f>R39</f>
        <v>697741</v>
      </c>
      <c r="D39" s="242"/>
      <c r="E39" s="242"/>
      <c r="F39" s="242"/>
      <c r="G39" s="242"/>
      <c r="H39" s="242"/>
      <c r="I39" s="242"/>
      <c r="J39" s="242"/>
      <c r="K39" s="403"/>
      <c r="L39" s="2028"/>
      <c r="M39" s="2021"/>
      <c r="N39" s="2021"/>
      <c r="O39" s="2021"/>
      <c r="P39" s="4495" t="str">
        <f>A39</f>
        <v>估价对象XX用房的比较价值（楼面单价，元/平方米）</v>
      </c>
      <c r="Q39" s="4496"/>
      <c r="R39" s="4497">
        <f>IF(F1="售价",ROUND(IF(D38="简单平均",AVERAGE(R38:W38),R38*F38+T38*H38+V38*J38),0),ROUND(IF(D38="简单平均",AVERAGE(R38:V38),R38*F38+T38*H38+V38*J38),1))</f>
        <v>697741</v>
      </c>
      <c r="S39" s="4497"/>
      <c r="T39" s="4497"/>
      <c r="U39" s="4497"/>
      <c r="V39" s="4497"/>
      <c r="W39" s="4497"/>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4.4">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ht="14.4">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4.4"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4.4"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4646</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4647</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xr:uid="{00000000-0002-0000-2900-000000000000}">
      <formula1>项目类型</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E2" xr:uid="{00000000-0002-0000-2900-000010000000}">
      <formula1>"需扣减承租人权益,——"</formula1>
    </dataValidation>
    <dataValidation type="list" allowBlank="1" showInputMessage="1" showErrorMessage="1" sqref="H2" xr:uid="{00000000-0002-0000-2900-000011000000}">
      <formula1>估价方法</formula1>
    </dataValidation>
    <dataValidation type="list" allowBlank="1" showInputMessage="1" showErrorMessage="1" sqref="D38"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 type="list" allowBlank="1" showInputMessage="1" showErrorMessage="1" sqref="C2" xr:uid="{00000000-0002-0000-2900-000014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2" t="s">
        <v>2508</v>
      </c>
      <c r="B20" s="4545" t="s">
        <v>2529</v>
      </c>
      <c r="C20" s="2579" t="s">
        <v>2340</v>
      </c>
      <c r="D20" s="2579"/>
      <c r="E20" s="3243">
        <v>1</v>
      </c>
      <c r="F20" s="2302" t="s">
        <v>2341</v>
      </c>
      <c r="G20" s="2302"/>
    </row>
    <row r="21" spans="1:13" ht="19.5" customHeight="1">
      <c r="A21" s="4553"/>
      <c r="B21" s="4541"/>
      <c r="C21" s="2311" t="s">
        <v>2342</v>
      </c>
      <c r="D21" s="2311"/>
      <c r="E21" s="3244">
        <v>1</v>
      </c>
      <c r="F21" s="2302" t="s">
        <v>2343</v>
      </c>
      <c r="G21" s="2302"/>
    </row>
    <row r="22" spans="1:13" ht="19.5" customHeight="1">
      <c r="A22" s="4553"/>
      <c r="B22" s="4541"/>
      <c r="C22" s="2311" t="s">
        <v>2344</v>
      </c>
      <c r="D22" s="2311"/>
      <c r="E22" s="3244">
        <v>0.9</v>
      </c>
      <c r="F22" s="2302" t="s">
        <v>2345</v>
      </c>
      <c r="G22" s="2302"/>
    </row>
    <row r="23" spans="1:13" ht="19.5" customHeight="1">
      <c r="A23" s="4553"/>
      <c r="B23" s="4541"/>
      <c r="C23" s="2311" t="s">
        <v>2346</v>
      </c>
      <c r="D23" s="2311"/>
      <c r="E23" s="3244">
        <v>0.9</v>
      </c>
      <c r="F23" s="2302" t="s">
        <v>2347</v>
      </c>
      <c r="G23" s="2302"/>
    </row>
    <row r="24" spans="1:13" ht="19.5" customHeight="1">
      <c r="A24" s="4553"/>
      <c r="B24" s="4541"/>
      <c r="C24" s="2311" t="s">
        <v>2348</v>
      </c>
      <c r="D24" s="2311"/>
      <c r="E24" s="3244">
        <v>0.8</v>
      </c>
      <c r="F24" s="2302" t="s">
        <v>2349</v>
      </c>
      <c r="G24" s="2302"/>
    </row>
    <row r="25" spans="1:13" ht="19.5" customHeight="1">
      <c r="A25" s="4553"/>
      <c r="B25" s="4541"/>
      <c r="C25" s="2311" t="s">
        <v>2350</v>
      </c>
      <c r="D25" s="2311"/>
      <c r="E25" s="3244">
        <v>0.8</v>
      </c>
      <c r="F25" s="2302"/>
      <c r="G25" s="2302"/>
    </row>
    <row r="26" spans="1:13" ht="19.5" customHeight="1">
      <c r="A26" s="4553"/>
      <c r="B26" s="4541"/>
      <c r="C26" s="2311" t="s">
        <v>3289</v>
      </c>
      <c r="D26" s="2311"/>
      <c r="E26" s="3244">
        <v>0.43</v>
      </c>
      <c r="F26" s="2302"/>
      <c r="G26" s="2302"/>
    </row>
    <row r="27" spans="1:13" ht="19.5" customHeight="1" thickBot="1">
      <c r="A27" s="4554"/>
      <c r="B27" s="4546"/>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7" t="s">
        <v>2532</v>
      </c>
      <c r="B29" s="4550" t="s">
        <v>2513</v>
      </c>
      <c r="C29" s="2300" t="s">
        <v>2353</v>
      </c>
      <c r="D29" s="2301"/>
      <c r="E29" s="3243">
        <v>1</v>
      </c>
      <c r="F29" s="2302" t="s">
        <v>2354</v>
      </c>
      <c r="G29" s="2302"/>
    </row>
    <row r="30" spans="1:13" ht="19.5" customHeight="1">
      <c r="A30" s="4548"/>
      <c r="B30" s="4544"/>
      <c r="C30" s="2303" t="s">
        <v>2355</v>
      </c>
      <c r="D30" s="2304"/>
      <c r="E30" s="3244">
        <v>1</v>
      </c>
      <c r="F30" s="2302" t="s">
        <v>2356</v>
      </c>
      <c r="G30" s="2302"/>
    </row>
    <row r="31" spans="1:13" ht="19.5" customHeight="1">
      <c r="A31" s="4548"/>
      <c r="B31" s="4544"/>
      <c r="C31" s="2303" t="s">
        <v>2357</v>
      </c>
      <c r="D31" s="2304"/>
      <c r="E31" s="3244">
        <v>0.8</v>
      </c>
      <c r="F31" s="2302" t="s">
        <v>2358</v>
      </c>
      <c r="G31" s="2302"/>
    </row>
    <row r="32" spans="1:13" ht="19.5" customHeight="1">
      <c r="A32" s="4548"/>
      <c r="B32" s="4544"/>
      <c r="C32" s="2303" t="s">
        <v>2359</v>
      </c>
      <c r="D32" s="2304"/>
      <c r="E32" s="3244">
        <v>0.8</v>
      </c>
      <c r="F32" s="2302" t="s">
        <v>2360</v>
      </c>
      <c r="G32" s="2302"/>
    </row>
    <row r="33" spans="1:7" ht="19.5" customHeight="1">
      <c r="A33" s="4548"/>
      <c r="B33" s="4544"/>
      <c r="C33" s="2303" t="s">
        <v>2361</v>
      </c>
      <c r="D33" s="2304"/>
      <c r="E33" s="3244">
        <v>0.8</v>
      </c>
      <c r="F33" s="2302" t="s">
        <v>2362</v>
      </c>
      <c r="G33" s="2302"/>
    </row>
    <row r="34" spans="1:7" ht="19.5" customHeight="1">
      <c r="A34" s="4548"/>
      <c r="B34" s="4544"/>
      <c r="C34" s="2303" t="s">
        <v>2363</v>
      </c>
      <c r="D34" s="2304"/>
      <c r="E34" s="3244">
        <v>0.7</v>
      </c>
      <c r="F34" s="2302" t="s">
        <v>2364</v>
      </c>
      <c r="G34" s="2302"/>
    </row>
    <row r="35" spans="1:7" ht="19.5" customHeight="1">
      <c r="A35" s="4548"/>
      <c r="B35" s="4544"/>
      <c r="C35" s="2303" t="s">
        <v>2365</v>
      </c>
      <c r="D35" s="2304"/>
      <c r="E35" s="3244">
        <v>0.8</v>
      </c>
      <c r="F35" s="2302" t="s">
        <v>2366</v>
      </c>
      <c r="G35" s="2302"/>
    </row>
    <row r="36" spans="1:7" ht="19.5" customHeight="1">
      <c r="A36" s="4548"/>
      <c r="B36" s="4544"/>
      <c r="C36" s="2303" t="s">
        <v>2367</v>
      </c>
      <c r="D36" s="2304"/>
      <c r="E36" s="3244">
        <v>0.6</v>
      </c>
      <c r="F36" s="2302" t="s">
        <v>2368</v>
      </c>
      <c r="G36" s="2302"/>
    </row>
    <row r="37" spans="1:7" ht="19.5" customHeight="1">
      <c r="A37" s="4548"/>
      <c r="B37" s="4544"/>
      <c r="C37" s="2303" t="s">
        <v>2369</v>
      </c>
      <c r="D37" s="2304"/>
      <c r="E37" s="3244">
        <v>0.2</v>
      </c>
      <c r="F37" s="2302" t="s">
        <v>2370</v>
      </c>
      <c r="G37" s="2302"/>
    </row>
    <row r="38" spans="1:7" ht="19.5" customHeight="1">
      <c r="A38" s="4548"/>
      <c r="B38" s="4544"/>
      <c r="C38" s="2303" t="s">
        <v>2371</v>
      </c>
      <c r="D38" s="2304"/>
      <c r="E38" s="3244">
        <v>0.2</v>
      </c>
      <c r="F38" s="2302" t="s">
        <v>2372</v>
      </c>
      <c r="G38" s="2302"/>
    </row>
    <row r="39" spans="1:7" ht="19.5" customHeight="1">
      <c r="A39" s="4548"/>
      <c r="B39" s="4542" t="s">
        <v>2533</v>
      </c>
      <c r="C39" s="2303" t="s">
        <v>2373</v>
      </c>
      <c r="D39" s="2304"/>
      <c r="E39" s="3244">
        <v>0.6</v>
      </c>
      <c r="F39" s="2302" t="s">
        <v>2374</v>
      </c>
      <c r="G39" s="2302"/>
    </row>
    <row r="40" spans="1:7" ht="19.5" customHeight="1">
      <c r="A40" s="4548"/>
      <c r="B40" s="4544"/>
      <c r="C40" s="2303" t="s">
        <v>2375</v>
      </c>
      <c r="D40" s="2304"/>
      <c r="E40" s="3244">
        <v>0.6</v>
      </c>
      <c r="F40" s="2302" t="s">
        <v>2376</v>
      </c>
      <c r="G40" s="2302"/>
    </row>
    <row r="41" spans="1:7" ht="19.5" customHeight="1" thickBot="1">
      <c r="A41" s="4549"/>
      <c r="B41" s="4551"/>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2" t="s">
        <v>2511</v>
      </c>
      <c r="B43" s="4550" t="s">
        <v>2535</v>
      </c>
      <c r="C43" s="2300" t="s">
        <v>2380</v>
      </c>
      <c r="D43" s="2301"/>
      <c r="E43" s="3243">
        <v>1</v>
      </c>
      <c r="F43" s="2302" t="s">
        <v>2381</v>
      </c>
      <c r="G43" s="2302"/>
    </row>
    <row r="44" spans="1:7" ht="19.5" customHeight="1">
      <c r="A44" s="4553"/>
      <c r="B44" s="4544"/>
      <c r="C44" s="2303" t="s">
        <v>2382</v>
      </c>
      <c r="D44" s="2304"/>
      <c r="E44" s="3244">
        <v>1</v>
      </c>
      <c r="F44" s="2302" t="s">
        <v>2383</v>
      </c>
      <c r="G44" s="2302"/>
    </row>
    <row r="45" spans="1:7" ht="19.5" customHeight="1">
      <c r="A45" s="4553"/>
      <c r="B45" s="4543"/>
      <c r="C45" s="2303" t="s">
        <v>2384</v>
      </c>
      <c r="D45" s="2304"/>
      <c r="E45" s="3244">
        <v>1.5</v>
      </c>
      <c r="F45" s="2302" t="s">
        <v>2385</v>
      </c>
      <c r="G45" s="2302"/>
    </row>
    <row r="46" spans="1:7" ht="19.5" customHeight="1">
      <c r="A46" s="4553"/>
      <c r="B46" s="2311" t="s">
        <v>2536</v>
      </c>
      <c r="C46" s="2303" t="s">
        <v>2537</v>
      </c>
      <c r="D46" s="2304"/>
      <c r="E46" s="3244">
        <v>2</v>
      </c>
      <c r="F46" s="2302" t="s">
        <v>2386</v>
      </c>
      <c r="G46" s="2302"/>
    </row>
    <row r="47" spans="1:7" ht="19.5" customHeight="1">
      <c r="A47" s="4553"/>
      <c r="B47" s="4542" t="s">
        <v>2538</v>
      </c>
      <c r="C47" s="2303" t="s">
        <v>2387</v>
      </c>
      <c r="D47" s="2304"/>
      <c r="E47" s="3244">
        <v>1</v>
      </c>
      <c r="F47" s="2302" t="s">
        <v>2388</v>
      </c>
      <c r="G47" s="2302"/>
    </row>
    <row r="48" spans="1:7" ht="19.5" customHeight="1">
      <c r="A48" s="4553"/>
      <c r="B48" s="4544"/>
      <c r="C48" s="2303" t="s">
        <v>2389</v>
      </c>
      <c r="D48" s="2304"/>
      <c r="E48" s="3244">
        <v>1</v>
      </c>
      <c r="F48" s="2302" t="s">
        <v>2390</v>
      </c>
      <c r="G48" s="2302"/>
    </row>
    <row r="49" spans="1:7" ht="19.5" customHeight="1">
      <c r="A49" s="4553"/>
      <c r="B49" s="4544"/>
      <c r="C49" s="2303" t="s">
        <v>2391</v>
      </c>
      <c r="D49" s="2304"/>
      <c r="E49" s="3244">
        <v>1</v>
      </c>
      <c r="F49" s="2302" t="s">
        <v>2392</v>
      </c>
      <c r="G49" s="2302"/>
    </row>
    <row r="50" spans="1:7" ht="19.5" customHeight="1">
      <c r="A50" s="4553"/>
      <c r="B50" s="4544"/>
      <c r="C50" s="2303" t="s">
        <v>2393</v>
      </c>
      <c r="D50" s="2304"/>
      <c r="E50" s="3244">
        <v>1</v>
      </c>
      <c r="F50" s="2302" t="s">
        <v>2394</v>
      </c>
      <c r="G50" s="2302"/>
    </row>
    <row r="51" spans="1:7" ht="19.5" customHeight="1">
      <c r="A51" s="4553"/>
      <c r="B51" s="4544"/>
      <c r="C51" s="2303" t="s">
        <v>2395</v>
      </c>
      <c r="D51" s="2304"/>
      <c r="E51" s="3244">
        <v>1</v>
      </c>
      <c r="F51" s="2302" t="s">
        <v>2396</v>
      </c>
      <c r="G51" s="2302"/>
    </row>
    <row r="52" spans="1:7" ht="19.5" customHeight="1">
      <c r="A52" s="4553"/>
      <c r="B52" s="4544"/>
      <c r="C52" s="2303" t="s">
        <v>2397</v>
      </c>
      <c r="D52" s="2304"/>
      <c r="E52" s="3244">
        <v>1</v>
      </c>
      <c r="F52" s="2302" t="s">
        <v>2398</v>
      </c>
      <c r="G52" s="2302"/>
    </row>
    <row r="53" spans="1:7" ht="19.5" customHeight="1" thickBot="1">
      <c r="A53" s="4554"/>
      <c r="B53" s="4551"/>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4.4">
      <c r="A74" s="2311"/>
      <c r="B74" s="2311"/>
      <c r="C74" s="2311" t="s">
        <v>2551</v>
      </c>
      <c r="D74" s="2311"/>
      <c r="E74" s="2311" t="s">
        <v>2522</v>
      </c>
      <c r="F74" s="2311" t="s">
        <v>2522</v>
      </c>
    </row>
    <row r="75" spans="1:7" ht="14.4">
      <c r="A75" s="2311">
        <v>1</v>
      </c>
      <c r="B75" s="4542" t="s">
        <v>2552</v>
      </c>
      <c r="C75" s="2291" t="s">
        <v>2553</v>
      </c>
      <c r="D75" s="2291" t="s">
        <v>2554</v>
      </c>
      <c r="E75" s="3249">
        <v>0.2</v>
      </c>
      <c r="F75" s="3250">
        <v>25</v>
      </c>
    </row>
    <row r="76" spans="1:7" ht="24">
      <c r="A76" s="2311">
        <v>2</v>
      </c>
      <c r="B76" s="4544"/>
      <c r="C76" s="2291" t="s">
        <v>2555</v>
      </c>
      <c r="D76" s="2291" t="s">
        <v>2556</v>
      </c>
      <c r="E76" s="3249">
        <v>0.2</v>
      </c>
      <c r="F76" s="3250">
        <v>25</v>
      </c>
    </row>
    <row r="77" spans="1:7" ht="24">
      <c r="A77" s="2311">
        <v>3</v>
      </c>
      <c r="B77" s="4544"/>
      <c r="C77" s="2291" t="s">
        <v>2557</v>
      </c>
      <c r="D77" s="2291" t="s">
        <v>2558</v>
      </c>
      <c r="E77" s="3249">
        <v>0.2</v>
      </c>
      <c r="F77" s="3250">
        <v>25</v>
      </c>
    </row>
    <row r="78" spans="1:7" ht="14.4">
      <c r="A78" s="2311">
        <v>4</v>
      </c>
      <c r="B78" s="4544"/>
      <c r="C78" s="2291" t="s">
        <v>2559</v>
      </c>
      <c r="D78" s="2291" t="s">
        <v>2560</v>
      </c>
      <c r="E78" s="3249">
        <v>0.15</v>
      </c>
      <c r="F78" s="3250">
        <v>20</v>
      </c>
    </row>
    <row r="79" spans="1:7" ht="24">
      <c r="A79" s="2311">
        <v>5</v>
      </c>
      <c r="B79" s="4544"/>
      <c r="C79" s="2291" t="s">
        <v>2561</v>
      </c>
      <c r="D79" s="2291" t="s">
        <v>2562</v>
      </c>
      <c r="E79" s="3249">
        <v>0.15</v>
      </c>
      <c r="F79" s="3250">
        <v>20</v>
      </c>
    </row>
    <row r="80" spans="1:7" ht="24">
      <c r="A80" s="2311">
        <v>6</v>
      </c>
      <c r="B80" s="4544"/>
      <c r="C80" s="2291" t="s">
        <v>2563</v>
      </c>
      <c r="D80" s="2291" t="s">
        <v>2564</v>
      </c>
      <c r="E80" s="3249">
        <v>0.15</v>
      </c>
      <c r="F80" s="3250">
        <v>20</v>
      </c>
    </row>
    <row r="81" spans="1:6" ht="24">
      <c r="A81" s="2311">
        <v>7</v>
      </c>
      <c r="B81" s="4544"/>
      <c r="C81" s="2291" t="s">
        <v>2565</v>
      </c>
      <c r="D81" s="2291" t="s">
        <v>2566</v>
      </c>
      <c r="E81" s="3249">
        <v>0.15</v>
      </c>
      <c r="F81" s="3250">
        <v>20</v>
      </c>
    </row>
    <row r="82" spans="1:6" ht="24">
      <c r="A82" s="2311">
        <v>8</v>
      </c>
      <c r="B82" s="4544"/>
      <c r="C82" s="2291" t="s">
        <v>2567</v>
      </c>
      <c r="D82" s="2291" t="s">
        <v>2568</v>
      </c>
      <c r="E82" s="3249">
        <v>0.1</v>
      </c>
      <c r="F82" s="3250">
        <v>15</v>
      </c>
    </row>
    <row r="83" spans="1:6" ht="24">
      <c r="A83" s="2311">
        <v>9</v>
      </c>
      <c r="B83" s="4544"/>
      <c r="C83" s="2291" t="s">
        <v>2569</v>
      </c>
      <c r="D83" s="2291" t="s">
        <v>2570</v>
      </c>
      <c r="E83" s="3249">
        <v>0.1</v>
      </c>
      <c r="F83" s="3250">
        <v>15</v>
      </c>
    </row>
    <row r="84" spans="1:6" ht="24">
      <c r="A84" s="2311">
        <v>10</v>
      </c>
      <c r="B84" s="4544"/>
      <c r="C84" s="2291" t="s">
        <v>2571</v>
      </c>
      <c r="D84" s="2291" t="s">
        <v>2572</v>
      </c>
      <c r="E84" s="3249">
        <v>0.1</v>
      </c>
      <c r="F84" s="3250">
        <v>15</v>
      </c>
    </row>
    <row r="85" spans="1:6" ht="24">
      <c r="A85" s="2311">
        <v>11</v>
      </c>
      <c r="B85" s="4544"/>
      <c r="C85" s="2291" t="s">
        <v>2573</v>
      </c>
      <c r="D85" s="2291" t="s">
        <v>2574</v>
      </c>
      <c r="E85" s="3249">
        <v>0.1</v>
      </c>
      <c r="F85" s="3250">
        <v>15</v>
      </c>
    </row>
    <row r="86" spans="1:6" ht="24">
      <c r="A86" s="2311">
        <v>12</v>
      </c>
      <c r="B86" s="4544"/>
      <c r="C86" s="2291" t="s">
        <v>2575</v>
      </c>
      <c r="D86" s="2291" t="s">
        <v>2576</v>
      </c>
      <c r="E86" s="3249">
        <v>0.1</v>
      </c>
      <c r="F86" s="3250">
        <v>15</v>
      </c>
    </row>
    <row r="87" spans="1:6" ht="24">
      <c r="A87" s="2311">
        <v>13</v>
      </c>
      <c r="B87" s="4544"/>
      <c r="C87" s="2291" t="s">
        <v>2577</v>
      </c>
      <c r="D87" s="2291" t="s">
        <v>2578</v>
      </c>
      <c r="E87" s="3249">
        <v>0.1</v>
      </c>
      <c r="F87" s="3250">
        <v>15</v>
      </c>
    </row>
    <row r="88" spans="1:6" ht="24">
      <c r="A88" s="2311">
        <v>14</v>
      </c>
      <c r="B88" s="4544"/>
      <c r="C88" s="2291" t="s">
        <v>2579</v>
      </c>
      <c r="D88" s="2291" t="s">
        <v>2580</v>
      </c>
      <c r="E88" s="3249">
        <v>0.1</v>
      </c>
      <c r="F88" s="3250">
        <v>15</v>
      </c>
    </row>
    <row r="89" spans="1:6" ht="24">
      <c r="A89" s="2311">
        <v>15</v>
      </c>
      <c r="B89" s="4544"/>
      <c r="C89" s="2291" t="s">
        <v>2581</v>
      </c>
      <c r="D89" s="2291" t="s">
        <v>2582</v>
      </c>
      <c r="E89" s="3249">
        <v>0.1</v>
      </c>
      <c r="F89" s="3250">
        <v>15</v>
      </c>
    </row>
    <row r="90" spans="1:6" ht="24">
      <c r="A90" s="2311">
        <v>16</v>
      </c>
      <c r="B90" s="4544"/>
      <c r="C90" s="2291" t="s">
        <v>2583</v>
      </c>
      <c r="D90" s="2291" t="s">
        <v>2584</v>
      </c>
      <c r="E90" s="3249">
        <v>0.1</v>
      </c>
      <c r="F90" s="3250">
        <v>15</v>
      </c>
    </row>
    <row r="91" spans="1:6" ht="24">
      <c r="A91" s="2311">
        <v>17</v>
      </c>
      <c r="B91" s="4543"/>
      <c r="C91" s="2291" t="s">
        <v>2585</v>
      </c>
      <c r="D91" s="2291" t="s">
        <v>2586</v>
      </c>
      <c r="E91" s="3249">
        <v>0.1</v>
      </c>
      <c r="F91" s="3250">
        <v>15</v>
      </c>
    </row>
    <row r="92" spans="1:6" ht="14.4">
      <c r="A92" s="2311">
        <v>18</v>
      </c>
      <c r="B92" s="4542" t="s">
        <v>2587</v>
      </c>
      <c r="C92" s="2291" t="s">
        <v>2588</v>
      </c>
      <c r="D92" s="2291" t="s">
        <v>2589</v>
      </c>
      <c r="E92" s="3249">
        <v>0.2</v>
      </c>
      <c r="F92" s="3250">
        <v>25</v>
      </c>
    </row>
    <row r="93" spans="1:6" ht="24">
      <c r="A93" s="2311">
        <v>19</v>
      </c>
      <c r="B93" s="4544"/>
      <c r="C93" s="2291" t="s">
        <v>2590</v>
      </c>
      <c r="D93" s="2291" t="s">
        <v>2591</v>
      </c>
      <c r="E93" s="3249">
        <v>0.2</v>
      </c>
      <c r="F93" s="3250">
        <v>25</v>
      </c>
    </row>
    <row r="94" spans="1:6" ht="14.4">
      <c r="A94" s="2311">
        <v>20</v>
      </c>
      <c r="B94" s="4544"/>
      <c r="C94" s="2291" t="s">
        <v>2592</v>
      </c>
      <c r="D94" s="2291" t="s">
        <v>2593</v>
      </c>
      <c r="E94" s="3249">
        <v>0.15</v>
      </c>
      <c r="F94" s="3250">
        <v>20</v>
      </c>
    </row>
    <row r="95" spans="1:6" ht="24">
      <c r="A95" s="2311">
        <v>21</v>
      </c>
      <c r="B95" s="4544"/>
      <c r="C95" s="2291" t="s">
        <v>2594</v>
      </c>
      <c r="D95" s="2291" t="s">
        <v>2595</v>
      </c>
      <c r="E95" s="3249">
        <v>0.15</v>
      </c>
      <c r="F95" s="3250">
        <v>20</v>
      </c>
    </row>
    <row r="96" spans="1:6" ht="24">
      <c r="A96" s="2311">
        <v>22</v>
      </c>
      <c r="B96" s="4544"/>
      <c r="C96" s="2291" t="s">
        <v>2596</v>
      </c>
      <c r="D96" s="2291" t="s">
        <v>2597</v>
      </c>
      <c r="E96" s="3249">
        <v>0.15</v>
      </c>
      <c r="F96" s="3250">
        <v>20</v>
      </c>
    </row>
    <row r="97" spans="1:6" ht="36">
      <c r="A97" s="2311">
        <v>23</v>
      </c>
      <c r="B97" s="4544"/>
      <c r="C97" s="2291" t="s">
        <v>2598</v>
      </c>
      <c r="D97" s="2291" t="s">
        <v>2599</v>
      </c>
      <c r="E97" s="3249">
        <v>0.15</v>
      </c>
      <c r="F97" s="3250">
        <v>20</v>
      </c>
    </row>
    <row r="98" spans="1:6" ht="24">
      <c r="A98" s="2311">
        <v>24</v>
      </c>
      <c r="B98" s="4544"/>
      <c r="C98" s="2291" t="s">
        <v>2600</v>
      </c>
      <c r="D98" s="2291" t="s">
        <v>2601</v>
      </c>
      <c r="E98" s="3249">
        <v>0.1</v>
      </c>
      <c r="F98" s="3250">
        <v>15</v>
      </c>
    </row>
    <row r="99" spans="1:6" ht="24">
      <c r="A99" s="2311">
        <v>25</v>
      </c>
      <c r="B99" s="4544"/>
      <c r="C99" s="2291" t="s">
        <v>2602</v>
      </c>
      <c r="D99" s="2291" t="s">
        <v>2603</v>
      </c>
      <c r="E99" s="3249">
        <v>0.1</v>
      </c>
      <c r="F99" s="3250">
        <v>15</v>
      </c>
    </row>
    <row r="100" spans="1:6" ht="24">
      <c r="A100" s="2311">
        <v>26</v>
      </c>
      <c r="B100" s="4544"/>
      <c r="C100" s="2291" t="s">
        <v>2604</v>
      </c>
      <c r="D100" s="2291" t="s">
        <v>2605</v>
      </c>
      <c r="E100" s="3249">
        <v>0.1</v>
      </c>
      <c r="F100" s="3250">
        <v>15</v>
      </c>
    </row>
    <row r="101" spans="1:6" ht="24">
      <c r="A101" s="2311">
        <v>27</v>
      </c>
      <c r="B101" s="4544"/>
      <c r="C101" s="2291" t="s">
        <v>2606</v>
      </c>
      <c r="D101" s="2291" t="s">
        <v>2607</v>
      </c>
      <c r="E101" s="3249">
        <v>0.1</v>
      </c>
      <c r="F101" s="3250">
        <v>15</v>
      </c>
    </row>
    <row r="102" spans="1:6" ht="24">
      <c r="A102" s="2311">
        <v>28</v>
      </c>
      <c r="B102" s="4544"/>
      <c r="C102" s="2291" t="s">
        <v>2608</v>
      </c>
      <c r="D102" s="2291" t="s">
        <v>2609</v>
      </c>
      <c r="E102" s="3249">
        <v>0.1</v>
      </c>
      <c r="F102" s="3250">
        <v>15</v>
      </c>
    </row>
    <row r="103" spans="1:6" ht="24">
      <c r="A103" s="2311">
        <v>29</v>
      </c>
      <c r="B103" s="4544"/>
      <c r="C103" s="2291" t="s">
        <v>2610</v>
      </c>
      <c r="D103" s="2291" t="s">
        <v>2611</v>
      </c>
      <c r="E103" s="3249">
        <v>0.1</v>
      </c>
      <c r="F103" s="3250">
        <v>15</v>
      </c>
    </row>
    <row r="104" spans="1:6" ht="24">
      <c r="A104" s="2311">
        <v>30</v>
      </c>
      <c r="B104" s="4544"/>
      <c r="C104" s="2291" t="s">
        <v>2612</v>
      </c>
      <c r="D104" s="2291" t="s">
        <v>2613</v>
      </c>
      <c r="E104" s="3249">
        <v>0.1</v>
      </c>
      <c r="F104" s="3250">
        <v>15</v>
      </c>
    </row>
    <row r="105" spans="1:6" ht="24">
      <c r="A105" s="2311">
        <v>31</v>
      </c>
      <c r="B105" s="4544"/>
      <c r="C105" s="2291" t="s">
        <v>2614</v>
      </c>
      <c r="D105" s="2291" t="s">
        <v>2615</v>
      </c>
      <c r="E105" s="3249">
        <v>0.1</v>
      </c>
      <c r="F105" s="3250">
        <v>15</v>
      </c>
    </row>
    <row r="106" spans="1:6" ht="24">
      <c r="A106" s="2311">
        <v>32</v>
      </c>
      <c r="B106" s="4544"/>
      <c r="C106" s="2291" t="s">
        <v>2616</v>
      </c>
      <c r="D106" s="2291" t="s">
        <v>2617</v>
      </c>
      <c r="E106" s="3249">
        <v>0.1</v>
      </c>
      <c r="F106" s="3250">
        <v>15</v>
      </c>
    </row>
    <row r="107" spans="1:6" ht="24">
      <c r="A107" s="2311">
        <v>33</v>
      </c>
      <c r="B107" s="4544"/>
      <c r="C107" s="2291" t="s">
        <v>2618</v>
      </c>
      <c r="D107" s="2291" t="s">
        <v>2619</v>
      </c>
      <c r="E107" s="3249">
        <v>0.1</v>
      </c>
      <c r="F107" s="3250">
        <v>15</v>
      </c>
    </row>
    <row r="108" spans="1:6" ht="24">
      <c r="A108" s="2311">
        <v>34</v>
      </c>
      <c r="B108" s="4543"/>
      <c r="C108" s="2291" t="s">
        <v>2620</v>
      </c>
      <c r="D108" s="2291" t="s">
        <v>2621</v>
      </c>
      <c r="E108" s="3249">
        <v>0.1</v>
      </c>
      <c r="F108" s="3250">
        <v>15</v>
      </c>
    </row>
    <row r="109" spans="1:6" ht="36">
      <c r="A109" s="2311">
        <v>35</v>
      </c>
      <c r="B109" s="4542" t="s">
        <v>2622</v>
      </c>
      <c r="C109" s="2311" t="s">
        <v>2623</v>
      </c>
      <c r="D109" s="2291" t="s">
        <v>2624</v>
      </c>
      <c r="E109" s="3249">
        <v>0.15</v>
      </c>
      <c r="F109" s="3250">
        <v>20</v>
      </c>
    </row>
    <row r="110" spans="1:6" ht="24">
      <c r="A110" s="2311">
        <v>36</v>
      </c>
      <c r="B110" s="4544"/>
      <c r="C110" s="2311" t="s">
        <v>2625</v>
      </c>
      <c r="D110" s="2291" t="s">
        <v>2626</v>
      </c>
      <c r="E110" s="3249">
        <v>0.15</v>
      </c>
      <c r="F110" s="3250">
        <v>20</v>
      </c>
    </row>
    <row r="111" spans="1:6" ht="24">
      <c r="A111" s="2311">
        <v>37</v>
      </c>
      <c r="B111" s="4544"/>
      <c r="C111" s="2311" t="s">
        <v>2627</v>
      </c>
      <c r="D111" s="2291" t="s">
        <v>2628</v>
      </c>
      <c r="E111" s="3249">
        <v>0.15</v>
      </c>
      <c r="F111" s="3250">
        <v>20</v>
      </c>
    </row>
    <row r="112" spans="1:6" ht="24">
      <c r="A112" s="2311">
        <v>38</v>
      </c>
      <c r="B112" s="4544"/>
      <c r="C112" s="2311" t="s">
        <v>2629</v>
      </c>
      <c r="D112" s="2291" t="s">
        <v>2630</v>
      </c>
      <c r="E112" s="3249">
        <v>0.1</v>
      </c>
      <c r="F112" s="3250">
        <v>15</v>
      </c>
    </row>
    <row r="113" spans="1:6" ht="24">
      <c r="A113" s="2311">
        <v>39</v>
      </c>
      <c r="B113" s="4544"/>
      <c r="C113" s="2311" t="s">
        <v>2631</v>
      </c>
      <c r="D113" s="2291" t="s">
        <v>2632</v>
      </c>
      <c r="E113" s="3249">
        <v>0.1</v>
      </c>
      <c r="F113" s="3250">
        <v>15</v>
      </c>
    </row>
    <row r="114" spans="1:6" ht="24">
      <c r="A114" s="2311">
        <v>40</v>
      </c>
      <c r="B114" s="4543"/>
      <c r="C114" s="2311" t="s">
        <v>2633</v>
      </c>
      <c r="D114" s="2291" t="s">
        <v>2634</v>
      </c>
      <c r="E114" s="3249">
        <v>0.1</v>
      </c>
      <c r="F114" s="3250">
        <v>15</v>
      </c>
    </row>
    <row r="115" spans="1:6" ht="24">
      <c r="A115" s="2311">
        <v>41</v>
      </c>
      <c r="B115" s="4541" t="s">
        <v>2635</v>
      </c>
      <c r="C115" s="2311" t="s">
        <v>2636</v>
      </c>
      <c r="D115" s="2291" t="s">
        <v>2637</v>
      </c>
      <c r="E115" s="3249">
        <v>0.1</v>
      </c>
      <c r="F115" s="3250">
        <v>15</v>
      </c>
    </row>
    <row r="116" spans="1:6" ht="24">
      <c r="A116" s="2311">
        <v>42</v>
      </c>
      <c r="B116" s="4541"/>
      <c r="C116" s="2311" t="s">
        <v>2638</v>
      </c>
      <c r="D116" s="2291" t="s">
        <v>2639</v>
      </c>
      <c r="E116" s="3249">
        <v>0.1</v>
      </c>
      <c r="F116" s="3250">
        <v>15</v>
      </c>
    </row>
    <row r="117" spans="1:6" ht="24">
      <c r="A117" s="2311">
        <v>43</v>
      </c>
      <c r="B117" s="4541"/>
      <c r="C117" s="2311" t="s">
        <v>2640</v>
      </c>
      <c r="D117" s="2291" t="s">
        <v>2641</v>
      </c>
      <c r="E117" s="3249">
        <v>0.1</v>
      </c>
      <c r="F117" s="3250">
        <v>15</v>
      </c>
    </row>
    <row r="118" spans="1:6" ht="24">
      <c r="A118" s="2311">
        <v>44</v>
      </c>
      <c r="B118" s="4542" t="s">
        <v>2642</v>
      </c>
      <c r="C118" s="2311" t="s">
        <v>2643</v>
      </c>
      <c r="D118" s="2291" t="s">
        <v>2644</v>
      </c>
      <c r="E118" s="3249">
        <v>0.1</v>
      </c>
      <c r="F118" s="3250">
        <v>15</v>
      </c>
    </row>
    <row r="119" spans="1:6" ht="24">
      <c r="A119" s="2311">
        <v>45</v>
      </c>
      <c r="B119" s="4543"/>
      <c r="C119" s="2291" t="s">
        <v>2645</v>
      </c>
      <c r="D119" s="2291" t="s">
        <v>2646</v>
      </c>
      <c r="E119" s="3249">
        <v>0.1</v>
      </c>
      <c r="F119" s="3250">
        <v>15</v>
      </c>
    </row>
    <row r="120" spans="1:6" ht="24">
      <c r="A120" s="2311">
        <v>46</v>
      </c>
      <c r="B120" s="4542" t="s">
        <v>2647</v>
      </c>
      <c r="C120" s="2311" t="s">
        <v>2648</v>
      </c>
      <c r="D120" s="2291" t="s">
        <v>2649</v>
      </c>
      <c r="E120" s="3249">
        <v>0.1</v>
      </c>
      <c r="F120" s="3250">
        <v>15</v>
      </c>
    </row>
    <row r="121" spans="1:6" ht="24">
      <c r="A121" s="2311">
        <v>47</v>
      </c>
      <c r="B121" s="4543"/>
      <c r="C121" s="2311" t="s">
        <v>2650</v>
      </c>
      <c r="D121" s="2291" t="s">
        <v>2651</v>
      </c>
      <c r="E121" s="3249">
        <v>0.1</v>
      </c>
      <c r="F121" s="3250">
        <v>15</v>
      </c>
    </row>
    <row r="122" spans="1:6" ht="24">
      <c r="A122" s="2311">
        <v>48</v>
      </c>
      <c r="B122" s="4542" t="s">
        <v>2652</v>
      </c>
      <c r="C122" s="2311" t="s">
        <v>2653</v>
      </c>
      <c r="D122" s="2291" t="s">
        <v>2654</v>
      </c>
      <c r="E122" s="3249">
        <v>0.1</v>
      </c>
      <c r="F122" s="3250">
        <v>15</v>
      </c>
    </row>
    <row r="123" spans="1:6" ht="24">
      <c r="A123" s="2311">
        <v>49</v>
      </c>
      <c r="B123" s="4543"/>
      <c r="C123" s="2311" t="s">
        <v>2655</v>
      </c>
      <c r="D123" s="2291" t="s">
        <v>2656</v>
      </c>
      <c r="E123" s="3249">
        <v>0.1</v>
      </c>
      <c r="F123" s="3250">
        <v>15</v>
      </c>
    </row>
    <row r="124" spans="1:6" ht="24">
      <c r="A124" s="2311">
        <v>50</v>
      </c>
      <c r="B124" s="4541" t="s">
        <v>2657</v>
      </c>
      <c r="C124" s="2311" t="s">
        <v>2658</v>
      </c>
      <c r="D124" s="2291" t="s">
        <v>2659</v>
      </c>
      <c r="E124" s="3249">
        <v>0.1</v>
      </c>
      <c r="F124" s="3250">
        <v>15</v>
      </c>
    </row>
    <row r="125" spans="1:6" ht="24">
      <c r="A125" s="2311">
        <v>51</v>
      </c>
      <c r="B125" s="4541"/>
      <c r="C125" s="2311" t="s">
        <v>2660</v>
      </c>
      <c r="D125" s="2291" t="s">
        <v>2661</v>
      </c>
      <c r="E125" s="3249">
        <v>0.1</v>
      </c>
      <c r="F125" s="3250">
        <v>15</v>
      </c>
    </row>
    <row r="126" spans="1:6" ht="24">
      <c r="A126" s="2311">
        <v>52</v>
      </c>
      <c r="B126" s="4541" t="s">
        <v>2662</v>
      </c>
      <c r="C126" s="2311" t="s">
        <v>2663</v>
      </c>
      <c r="D126" s="2291" t="s">
        <v>2664</v>
      </c>
      <c r="E126" s="3249">
        <v>0.1</v>
      </c>
      <c r="F126" s="3250">
        <v>15</v>
      </c>
    </row>
    <row r="127" spans="1:6" ht="24">
      <c r="A127" s="2311">
        <v>53</v>
      </c>
      <c r="B127" s="4541"/>
      <c r="C127" s="2311" t="s">
        <v>2665</v>
      </c>
      <c r="D127" s="2291" t="s">
        <v>2666</v>
      </c>
      <c r="E127" s="3249">
        <v>0.1</v>
      </c>
      <c r="F127" s="3250">
        <v>15</v>
      </c>
    </row>
    <row r="128" spans="1:6" ht="24">
      <c r="A128" s="2311">
        <v>54</v>
      </c>
      <c r="B128" s="2311" t="s">
        <v>2667</v>
      </c>
      <c r="C128" s="2311" t="s">
        <v>2668</v>
      </c>
      <c r="D128" s="2291" t="s">
        <v>2669</v>
      </c>
      <c r="E128" s="3249">
        <v>0.1</v>
      </c>
      <c r="F128" s="3250">
        <v>15</v>
      </c>
    </row>
    <row r="129" spans="1:6" ht="24">
      <c r="A129" s="2311">
        <v>55</v>
      </c>
      <c r="B129" s="4541" t="s">
        <v>2670</v>
      </c>
      <c r="C129" s="2311" t="s">
        <v>2671</v>
      </c>
      <c r="D129" s="2291" t="s">
        <v>2672</v>
      </c>
      <c r="E129" s="3249">
        <v>0.1</v>
      </c>
      <c r="F129" s="3250">
        <v>15</v>
      </c>
    </row>
    <row r="130" spans="1:6" ht="24">
      <c r="A130" s="2311">
        <v>56</v>
      </c>
      <c r="B130" s="4541"/>
      <c r="C130" s="2311" t="s">
        <v>2673</v>
      </c>
      <c r="D130" s="2291" t="s">
        <v>2674</v>
      </c>
      <c r="E130" s="3249">
        <v>0.1</v>
      </c>
      <c r="F130" s="3250">
        <v>15</v>
      </c>
    </row>
    <row r="131" spans="1:6" ht="24">
      <c r="A131" s="2311">
        <v>57</v>
      </c>
      <c r="B131" s="4541"/>
      <c r="C131" s="2311" t="s">
        <v>2675</v>
      </c>
      <c r="D131" s="2291" t="s">
        <v>2676</v>
      </c>
      <c r="E131" s="3249">
        <v>0.1</v>
      </c>
      <c r="F131" s="3250">
        <v>15</v>
      </c>
    </row>
    <row r="132" spans="1:6" ht="24">
      <c r="A132" s="2311">
        <v>58</v>
      </c>
      <c r="B132" s="4541" t="s">
        <v>2677</v>
      </c>
      <c r="C132" s="2311" t="s">
        <v>2678</v>
      </c>
      <c r="D132" s="2291" t="s">
        <v>2679</v>
      </c>
      <c r="E132" s="3249">
        <v>0.1</v>
      </c>
      <c r="F132" s="3250">
        <v>15</v>
      </c>
    </row>
    <row r="133" spans="1:6" ht="24">
      <c r="A133" s="2311">
        <v>59</v>
      </c>
      <c r="B133" s="4541"/>
      <c r="C133" s="2311" t="s">
        <v>2680</v>
      </c>
      <c r="D133" s="2291" t="s">
        <v>2681</v>
      </c>
      <c r="E133" s="3249">
        <v>0.1</v>
      </c>
      <c r="F133" s="3250">
        <v>15</v>
      </c>
    </row>
    <row r="134" spans="1:6" ht="24">
      <c r="A134" s="2311">
        <v>60</v>
      </c>
      <c r="B134" s="4542" t="s">
        <v>2682</v>
      </c>
      <c r="C134" s="2311" t="s">
        <v>2683</v>
      </c>
      <c r="D134" s="2291" t="s">
        <v>2684</v>
      </c>
      <c r="E134" s="3249">
        <v>0.1</v>
      </c>
      <c r="F134" s="3250">
        <v>15</v>
      </c>
    </row>
    <row r="135" spans="1:6" ht="24">
      <c r="A135" s="2311">
        <v>61</v>
      </c>
      <c r="B135" s="4543"/>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24">
      <c r="A137" s="2311">
        <v>63</v>
      </c>
      <c r="B137" s="4541" t="s">
        <v>2690</v>
      </c>
      <c r="C137" s="2311" t="s">
        <v>2691</v>
      </c>
      <c r="D137" s="2291" t="s">
        <v>2692</v>
      </c>
      <c r="E137" s="3249">
        <v>0.1</v>
      </c>
      <c r="F137" s="3250">
        <v>15</v>
      </c>
    </row>
    <row r="138" spans="1:6" ht="24">
      <c r="A138" s="2311">
        <v>64</v>
      </c>
      <c r="B138" s="4541"/>
      <c r="C138" s="2311" t="s">
        <v>2693</v>
      </c>
      <c r="D138" s="2291" t="s">
        <v>2694</v>
      </c>
      <c r="E138" s="3249">
        <v>0.1</v>
      </c>
      <c r="F138" s="3250">
        <v>15</v>
      </c>
    </row>
    <row r="139" spans="1:6" ht="24">
      <c r="A139" s="2311">
        <v>65</v>
      </c>
      <c r="B139" s="2311" t="s">
        <v>2695</v>
      </c>
      <c r="C139" s="2311" t="s">
        <v>2696</v>
      </c>
      <c r="D139" s="2291" t="s">
        <v>2697</v>
      </c>
      <c r="E139" s="3249">
        <v>0.1</v>
      </c>
      <c r="F139" s="3250">
        <v>15</v>
      </c>
    </row>
    <row r="140" spans="1:6" ht="14.4">
      <c r="A140" s="2311"/>
      <c r="B140" s="2311"/>
      <c r="C140" s="2311"/>
      <c r="D140" s="2311"/>
      <c r="E140" s="2311" t="s">
        <v>2698</v>
      </c>
      <c r="F140" s="2311" t="s">
        <v>2698</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21830</v>
      </c>
      <c r="C2" s="2" t="s">
        <v>104</v>
      </c>
      <c r="D2" s="95"/>
      <c r="E2" s="95"/>
      <c r="F2" s="95"/>
      <c r="G2" s="95"/>
    </row>
    <row r="3" spans="1:7" s="96" customFormat="1" ht="18" customHeight="1" thickBot="1">
      <c r="A3" s="99" t="s">
        <v>56</v>
      </c>
      <c r="B3" s="100">
        <f ca="1">ROUND(B2*10000/'数据-汇总表'!E3,0)</f>
        <v>21845</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150</v>
      </c>
      <c r="D19" s="108">
        <f>'数据-汇总表'!E3</f>
        <v>9993.2799999999988</v>
      </c>
      <c r="E19" s="107">
        <f>'数据-取费表'!B31</f>
        <v>150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6.4">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21830</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0.02</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7.0000000000000007E-2</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0" t="s">
        <v>92</v>
      </c>
    </row>
    <row r="43" spans="1:7" ht="13.5" customHeight="1">
      <c r="A43" s="541" t="s">
        <v>345</v>
      </c>
      <c r="B43" s="111" t="s">
        <v>420</v>
      </c>
      <c r="C43" s="134">
        <f ca="1">ROUND(IF('数据-取费表'!B22&lt;=1,C39*F22*'数据-取费表'!B21/2,C39*(POWER((1+F22),'数据-取费表'!B21/2)-1)),0)</f>
        <v>0</v>
      </c>
      <c r="D43" s="134"/>
      <c r="E43" s="134"/>
      <c r="F43" s="135"/>
      <c r="G43" s="4352"/>
    </row>
    <row r="44" spans="1:7" ht="13.5" customHeight="1">
      <c r="A44" s="541" t="s">
        <v>346</v>
      </c>
      <c r="B44" s="111" t="s">
        <v>422</v>
      </c>
      <c r="C44" s="134">
        <f ca="1">ROUND(IF('数据-取费表'!B22&lt;=1,C40*F22*'数据-取费表'!B21/2,C40*(POWER((1+F22),'数据-取费表'!B21/2)-1)),4)</f>
        <v>0</v>
      </c>
      <c r="D44" s="134"/>
      <c r="E44" s="134"/>
      <c r="F44" s="135"/>
      <c r="G44" s="4351"/>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8" thickBot="1">
      <c r="A52" s="161" t="s">
        <v>36</v>
      </c>
      <c r="B52" s="162"/>
      <c r="C52" s="163">
        <f ca="1">C31+C51</f>
        <v>21830</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55" t="s">
        <v>3082</v>
      </c>
      <c r="B1" s="4555"/>
    </row>
    <row r="2" spans="1:7" ht="15" thickBot="1">
      <c r="A2" s="2409"/>
      <c r="B2" s="2409"/>
    </row>
    <row r="3" spans="1:7" ht="15" thickBot="1">
      <c r="A3" s="2409"/>
      <c r="B3" s="2409"/>
      <c r="C3" s="2410" t="s">
        <v>2712</v>
      </c>
      <c r="D3" s="2410" t="s">
        <v>2768</v>
      </c>
      <c r="E3" s="2410" t="s">
        <v>2714</v>
      </c>
      <c r="F3" s="2410" t="s">
        <v>2769</v>
      </c>
      <c r="G3" s="2410" t="s">
        <v>2532</v>
      </c>
    </row>
    <row r="4" spans="1:7" ht="1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1875" defaultRowHeight="14.4"/>
  <cols>
    <col min="1" max="16384" width="13.21875" style="2284"/>
  </cols>
  <sheetData>
    <row r="1" spans="1:6">
      <c r="A1" s="4556" t="s">
        <v>3133</v>
      </c>
      <c r="B1" s="4556"/>
      <c r="C1" s="4556"/>
      <c r="D1" s="4556"/>
      <c r="E1" s="4556"/>
      <c r="F1" s="4557"/>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AI5" sqref="AI5:AI12"/>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8" t="s">
        <v>450</v>
      </c>
      <c r="S1" s="4559"/>
      <c r="T1" s="4559"/>
      <c r="U1" s="4559"/>
      <c r="V1" s="4559"/>
      <c r="W1" s="4559"/>
      <c r="X1" s="2349"/>
      <c r="Y1" s="4558" t="s">
        <v>451</v>
      </c>
      <c r="Z1" s="4559"/>
      <c r="AA1" s="4559"/>
      <c r="AB1" s="4559"/>
      <c r="AC1" s="4559"/>
      <c r="AD1" s="4559"/>
    </row>
    <row r="2" spans="1:44" s="1638" customFormat="1" ht="1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3.2">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3.2">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3.2">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3.2">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3.2">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3.2">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3.2">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3.2">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3.2">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3.2">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3.2">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3.2">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3.2">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3.2">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3.2">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3.2">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3.2">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3.2">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3.2">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3.2">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3.2">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3.2">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3.2">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3.2">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5" thickTop="1"/>
    <row r="30" spans="1:44">
      <c r="A30" s="2572" t="s">
        <v>3278</v>
      </c>
    </row>
    <row r="31" spans="1:44">
      <c r="I31" s="1087" t="s">
        <v>2726</v>
      </c>
    </row>
    <row r="33" spans="1:44" s="1637" customFormat="1" ht="13.2">
      <c r="B33" s="2374" t="s">
        <v>3276</v>
      </c>
      <c r="C33" s="2375"/>
      <c r="D33" s="2375"/>
      <c r="E33" s="2375"/>
      <c r="F33" s="2375"/>
      <c r="G33" s="2375"/>
      <c r="H33" s="2375"/>
      <c r="I33" s="2375"/>
      <c r="J33" s="2349"/>
      <c r="K33" s="2375" t="s">
        <v>2727</v>
      </c>
      <c r="L33" s="2375"/>
      <c r="M33" s="2375"/>
      <c r="N33" s="2375"/>
      <c r="O33" s="2375"/>
      <c r="P33" s="2375"/>
      <c r="Q33" s="2349"/>
      <c r="R33" s="4558" t="s">
        <v>2728</v>
      </c>
      <c r="S33" s="4559"/>
      <c r="T33" s="4559"/>
      <c r="U33" s="4559"/>
      <c r="V33" s="4559"/>
      <c r="W33" s="4559"/>
      <c r="X33" s="2349"/>
      <c r="Y33" s="4558" t="s">
        <v>2729</v>
      </c>
      <c r="Z33" s="4559"/>
      <c r="AA33" s="4559"/>
      <c r="AB33" s="4559"/>
      <c r="AC33" s="4559"/>
      <c r="AD33" s="4559"/>
    </row>
    <row r="34" spans="1:44" s="1638" customFormat="1" ht="1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3.2">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3.2">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3.2">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3.2">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3.2">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3.2">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3.2">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3.2">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3.2">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3.2">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3.2">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3.2">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3.2">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3.2">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3.2">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3.2">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3.2">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3.2">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3.2">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3.2">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3.2">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3.2">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3.2">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3.2">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653"/>
    <col min="2" max="6" width="9" style="1653" customWidth="1"/>
    <col min="7" max="7" width="9" style="1675"/>
    <col min="8" max="8" width="9" style="1653"/>
    <col min="9" max="12" width="9" style="1653" customWidth="1"/>
    <col min="13" max="13" width="2.21875" style="1653" customWidth="1"/>
    <col min="14" max="14" width="9" style="1675" customWidth="1"/>
    <col min="15" max="17" width="9" style="1653" customWidth="1"/>
    <col min="18" max="18" width="2.33203125" style="1653" customWidth="1"/>
    <col min="19" max="19" width="7.109375" style="1675" customWidth="1"/>
    <col min="20" max="22" width="7.109375" style="1653" customWidth="1"/>
    <col min="23" max="23" width="24.21875" style="1653" customWidth="1"/>
    <col min="24" max="25" width="9" style="1653"/>
    <col min="26" max="27" width="11.6640625" style="1653" customWidth="1"/>
    <col min="28" max="28" width="9" style="1653"/>
    <col min="29" max="29" width="2" style="1653" customWidth="1"/>
    <col min="30" max="16384" width="9" style="1653"/>
  </cols>
  <sheetData>
    <row r="1" spans="1:34" s="1637" customFormat="1">
      <c r="B1" s="4563" t="s">
        <v>446</v>
      </c>
      <c r="C1" s="4563"/>
      <c r="D1" s="4563"/>
      <c r="E1" s="4563"/>
      <c r="F1" s="4563"/>
      <c r="G1" s="4559" t="s">
        <v>447</v>
      </c>
      <c r="H1" s="4559"/>
      <c r="I1" s="4559"/>
      <c r="J1" s="4559"/>
      <c r="K1" s="4559"/>
      <c r="L1" s="4559"/>
      <c r="N1" s="4559" t="s">
        <v>448</v>
      </c>
      <c r="O1" s="4559"/>
      <c r="P1" s="4559"/>
      <c r="Q1" s="4559"/>
      <c r="S1" s="4559" t="s">
        <v>449</v>
      </c>
      <c r="T1" s="4559"/>
      <c r="U1" s="4559"/>
      <c r="V1" s="4559"/>
      <c r="X1" s="4558" t="s">
        <v>450</v>
      </c>
      <c r="Y1" s="4559"/>
      <c r="Z1" s="4559"/>
      <c r="AA1" s="4559"/>
      <c r="AB1" s="4559"/>
      <c r="AD1" s="4558" t="s">
        <v>451</v>
      </c>
      <c r="AE1" s="4559"/>
      <c r="AF1" s="4559"/>
      <c r="AG1" s="4559"/>
      <c r="AH1" s="4559"/>
    </row>
    <row r="2" spans="1:34" s="1638" customFormat="1" ht="1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4">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8"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8"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1">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1"/>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1"/>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8"/>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4">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1"/>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1"/>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8"/>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4">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1"/>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1"/>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8"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2"/>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8" thickBot="1">
      <c r="A33" s="1662" t="s">
        <v>122</v>
      </c>
      <c r="B33" s="1667">
        <v>333</v>
      </c>
      <c r="C33" s="1667">
        <v>277</v>
      </c>
      <c r="D33" s="1667">
        <f t="shared" si="246"/>
        <v>277</v>
      </c>
      <c r="E33" s="1667">
        <v>459</v>
      </c>
      <c r="F33" s="1668">
        <v>249</v>
      </c>
      <c r="G33" s="4560">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1"/>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1"/>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2"/>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8" thickBot="1">
      <c r="A37" s="1662" t="s">
        <v>118</v>
      </c>
      <c r="B37" s="1676">
        <v>318</v>
      </c>
      <c r="C37" s="1676">
        <v>268</v>
      </c>
      <c r="D37" s="1676">
        <f t="shared" si="246"/>
        <v>268</v>
      </c>
      <c r="E37" s="1676">
        <v>437</v>
      </c>
      <c r="F37" s="1677">
        <v>237</v>
      </c>
      <c r="G37" s="4560">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1"/>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8"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1"/>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8"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2"/>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8" thickBot="1">
      <c r="A41" s="1662" t="s">
        <v>459</v>
      </c>
      <c r="B41" s="1667">
        <v>299</v>
      </c>
      <c r="C41" s="1667">
        <v>252</v>
      </c>
      <c r="D41" s="1667">
        <f t="shared" si="246"/>
        <v>252</v>
      </c>
      <c r="E41" s="1667">
        <v>409</v>
      </c>
      <c r="F41" s="1668">
        <v>227</v>
      </c>
      <c r="G41" s="4565">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6"/>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6"/>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7"/>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8" thickBot="1">
      <c r="A45" s="1662" t="s">
        <v>463</v>
      </c>
      <c r="B45" s="1689">
        <v>278</v>
      </c>
      <c r="C45" s="1689">
        <v>234</v>
      </c>
      <c r="D45" s="1689">
        <f t="shared" si="246"/>
        <v>234</v>
      </c>
      <c r="E45" s="1689">
        <v>379</v>
      </c>
      <c r="F45" s="1690">
        <v>220</v>
      </c>
      <c r="G45" s="4560">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1"/>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1"/>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8" thickBot="1">
      <c r="A48" s="1662" t="s">
        <v>466</v>
      </c>
      <c r="B48" s="1663">
        <f>B47/(1+N47)</f>
        <v>275.19025476197027</v>
      </c>
      <c r="C48" s="1691">
        <v>232</v>
      </c>
      <c r="D48" s="1691">
        <f t="shared" si="246"/>
        <v>232</v>
      </c>
      <c r="E48" s="1663">
        <f t="shared" si="257"/>
        <v>375.65990977608692</v>
      </c>
      <c r="F48" s="1663">
        <f t="shared" si="257"/>
        <v>214.12518283971252</v>
      </c>
      <c r="G48" s="4562"/>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8" thickBot="1">
      <c r="A49" s="1662" t="s">
        <v>467</v>
      </c>
      <c r="B49" s="1667">
        <v>275</v>
      </c>
      <c r="C49" s="1667">
        <v>232</v>
      </c>
      <c r="D49" s="1667">
        <f t="shared" si="246"/>
        <v>232</v>
      </c>
      <c r="E49" s="1667">
        <v>376</v>
      </c>
      <c r="F49" s="1668">
        <v>213</v>
      </c>
      <c r="G49" s="4560">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1">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1">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8"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2">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8" thickBot="1">
      <c r="A53" s="1662" t="s">
        <v>471</v>
      </c>
      <c r="B53" s="1667">
        <v>269</v>
      </c>
      <c r="C53" s="1667">
        <v>221</v>
      </c>
      <c r="D53" s="1667">
        <f t="shared" si="246"/>
        <v>221</v>
      </c>
      <c r="E53" s="1667">
        <v>373</v>
      </c>
      <c r="F53" s="1668">
        <v>196</v>
      </c>
      <c r="G53" s="4560">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1">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1">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8"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2">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8" thickBot="1">
      <c r="A57" s="1662" t="s">
        <v>475</v>
      </c>
      <c r="B57" s="1667">
        <v>220</v>
      </c>
      <c r="C57" s="1667">
        <v>187</v>
      </c>
      <c r="D57" s="1667">
        <f t="shared" si="246"/>
        <v>187</v>
      </c>
      <c r="E57" s="1667">
        <v>301</v>
      </c>
      <c r="F57" s="1668">
        <v>168</v>
      </c>
      <c r="G57" s="4560">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1">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1">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2">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8" thickBot="1">
      <c r="A61" s="1662" t="s">
        <v>479</v>
      </c>
      <c r="B61" s="1689">
        <v>214</v>
      </c>
      <c r="C61" s="1689">
        <v>188</v>
      </c>
      <c r="D61" s="1689">
        <f t="shared" si="246"/>
        <v>188</v>
      </c>
      <c r="E61" s="1689">
        <v>289</v>
      </c>
      <c r="F61" s="1690">
        <v>166</v>
      </c>
      <c r="G61" s="4560">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1">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1">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8"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2">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8" thickBot="1">
      <c r="A65" s="1662" t="s">
        <v>483</v>
      </c>
      <c r="B65" s="1667">
        <v>188</v>
      </c>
      <c r="C65" s="1667">
        <v>165</v>
      </c>
      <c r="D65" s="1667">
        <f t="shared" si="246"/>
        <v>165</v>
      </c>
      <c r="E65" s="1667">
        <v>254</v>
      </c>
      <c r="F65" s="1668">
        <v>148</v>
      </c>
      <c r="G65" s="4560">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1">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1">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2">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8" thickBot="1">
      <c r="A69" s="1662" t="s">
        <v>487</v>
      </c>
      <c r="B69" s="1676">
        <v>159</v>
      </c>
      <c r="C69" s="1676">
        <v>141</v>
      </c>
      <c r="D69" s="1676">
        <f t="shared" si="246"/>
        <v>141</v>
      </c>
      <c r="E69" s="1676">
        <v>195</v>
      </c>
      <c r="F69" s="1677">
        <v>122</v>
      </c>
      <c r="G69" s="4560">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1">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1">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2">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8" thickBot="1">
      <c r="A73" s="1662" t="s">
        <v>491</v>
      </c>
      <c r="B73" s="1676">
        <v>138</v>
      </c>
      <c r="C73" s="1676">
        <v>131</v>
      </c>
      <c r="D73" s="1676">
        <f t="shared" si="246"/>
        <v>131</v>
      </c>
      <c r="E73" s="1676">
        <v>155</v>
      </c>
      <c r="F73" s="1677">
        <v>114</v>
      </c>
      <c r="G73" s="4560">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1">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1">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2">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8" thickBot="1">
      <c r="A77" s="1662" t="s">
        <v>495</v>
      </c>
      <c r="B77" s="1689">
        <v>121</v>
      </c>
      <c r="C77" s="1689">
        <v>122</v>
      </c>
      <c r="D77" s="1689">
        <f t="shared" si="246"/>
        <v>122</v>
      </c>
      <c r="E77" s="1689">
        <v>124</v>
      </c>
      <c r="F77" s="1690">
        <v>107</v>
      </c>
      <c r="G77" s="4560">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1">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1">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8"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2">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8" thickBot="1">
      <c r="A81" s="1662" t="s">
        <v>499</v>
      </c>
      <c r="B81" s="1705">
        <v>111</v>
      </c>
      <c r="C81" s="1705">
        <v>114</v>
      </c>
      <c r="D81" s="1705">
        <f t="shared" si="246"/>
        <v>114</v>
      </c>
      <c r="E81" s="1705">
        <v>108</v>
      </c>
      <c r="F81" s="1706">
        <v>104</v>
      </c>
      <c r="G81" s="4560">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1">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1">
        <v>2003</v>
      </c>
      <c r="H83" s="3136">
        <v>2</v>
      </c>
      <c r="I83" s="1707"/>
      <c r="J83" s="1707"/>
      <c r="K83" s="1707"/>
      <c r="L83" s="1707"/>
      <c r="X83" s="1699"/>
      <c r="Y83" s="1699"/>
      <c r="Z83" s="1699"/>
    </row>
    <row r="84" spans="1:26" ht="13.8" thickBot="1">
      <c r="A84" s="1662" t="s">
        <v>502</v>
      </c>
      <c r="B84" s="1709">
        <f t="shared" si="282"/>
        <v>107.25</v>
      </c>
      <c r="C84" s="1709">
        <f t="shared" si="282"/>
        <v>108.75</v>
      </c>
      <c r="D84" s="1709">
        <f t="shared" si="246"/>
        <v>108.75</v>
      </c>
      <c r="E84" s="1709">
        <f t="shared" si="283"/>
        <v>105.75</v>
      </c>
      <c r="F84" s="1709">
        <f t="shared" si="283"/>
        <v>102.5</v>
      </c>
      <c r="G84" s="4562">
        <v>2003</v>
      </c>
      <c r="H84" s="3144">
        <v>1</v>
      </c>
      <c r="I84" s="1707"/>
      <c r="J84" s="1707"/>
      <c r="K84" s="1707"/>
      <c r="L84" s="1707"/>
      <c r="S84" s="1664"/>
      <c r="T84" s="1654"/>
      <c r="U84" s="1654"/>
      <c r="X84" s="1699"/>
      <c r="Y84" s="1699"/>
      <c r="Z84" s="1699"/>
    </row>
    <row r="85" spans="1:26" ht="13.8" thickBot="1">
      <c r="A85" s="1662" t="s">
        <v>503</v>
      </c>
      <c r="B85" s="1710">
        <v>106</v>
      </c>
      <c r="C85" s="1710">
        <v>107</v>
      </c>
      <c r="D85" s="1710">
        <f t="shared" si="246"/>
        <v>107</v>
      </c>
      <c r="E85" s="1710">
        <v>105</v>
      </c>
      <c r="F85" s="1711">
        <v>102</v>
      </c>
      <c r="G85" s="4560">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1">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1">
        <v>2002</v>
      </c>
      <c r="H87" s="3136">
        <v>2</v>
      </c>
      <c r="I87" s="1707"/>
      <c r="J87" s="1707"/>
      <c r="K87" s="1707"/>
      <c r="L87" s="1707"/>
      <c r="X87" s="1699"/>
      <c r="Y87" s="1699"/>
      <c r="Z87" s="1699"/>
    </row>
    <row r="88" spans="1:26" s="1680" customFormat="1" ht="13.8" thickBot="1">
      <c r="A88" s="1678" t="s">
        <v>506</v>
      </c>
      <c r="B88" s="1683">
        <f t="shared" si="284"/>
        <v>103</v>
      </c>
      <c r="C88" s="1683">
        <f t="shared" si="284"/>
        <v>104</v>
      </c>
      <c r="D88" s="1683">
        <f t="shared" si="246"/>
        <v>104</v>
      </c>
      <c r="E88" s="1683">
        <f t="shared" si="285"/>
        <v>103.5</v>
      </c>
      <c r="F88" s="1683">
        <f t="shared" si="285"/>
        <v>100.5</v>
      </c>
      <c r="G88" s="4562">
        <v>2002</v>
      </c>
      <c r="H88" s="3145">
        <v>1</v>
      </c>
      <c r="I88" s="1712"/>
      <c r="J88" s="1712"/>
      <c r="K88" s="1712"/>
      <c r="L88" s="1712"/>
      <c r="N88" s="1713"/>
      <c r="S88" s="1713"/>
      <c r="X88" s="1714"/>
      <c r="Y88" s="1714"/>
      <c r="Z88" s="1714"/>
    </row>
    <row r="89" spans="1:26" ht="13.8"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8"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8"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61" t="str">
        <f>IF(项目基本情况!B9="房地产市场价值","估价结果一览表","结果表-2")</f>
        <v>结果表-2</v>
      </c>
      <c r="B1" s="4161"/>
      <c r="C1" s="4161"/>
      <c r="D1" s="4161"/>
      <c r="E1" s="4161"/>
      <c r="F1" s="4161"/>
      <c r="G1" s="4161"/>
      <c r="H1" s="4161"/>
      <c r="I1" s="4161"/>
    </row>
    <row r="2" spans="1:9" ht="30" customHeight="1" thickTop="1">
      <c r="A2" s="4162" t="s">
        <v>915</v>
      </c>
      <c r="B2" s="4162" t="s">
        <v>916</v>
      </c>
      <c r="C2" s="4162" t="s">
        <v>917</v>
      </c>
      <c r="D2" s="4162" t="str">
        <f>结果表!D116</f>
        <v>出让国有建设用地使用权价值</v>
      </c>
      <c r="E2" s="4162"/>
      <c r="F2" s="4162">
        <f>结果表!F116</f>
        <v>0</v>
      </c>
      <c r="G2" s="4162"/>
      <c r="H2" s="4162" t="str">
        <f>IF(项目基本情况!B9="房地产市场价值","房地产市场价值","房地产价值")</f>
        <v>房地产价值</v>
      </c>
      <c r="I2" s="4162"/>
    </row>
    <row r="3" spans="1:9" ht="15.6">
      <c r="A3" s="4157"/>
      <c r="B3" s="4157"/>
      <c r="C3" s="4157"/>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48212</v>
      </c>
      <c r="I4" s="572">
        <f ca="1">结果表!I118</f>
        <v>48244</v>
      </c>
    </row>
    <row r="5" spans="1:9" ht="30" customHeight="1">
      <c r="A5" s="4157" t="s">
        <v>914</v>
      </c>
      <c r="B5" s="4157"/>
      <c r="C5" s="4157"/>
      <c r="D5" s="4157" t="e">
        <f ca="1">结果表!D119</f>
        <v>#REF!</v>
      </c>
      <c r="E5" s="4157"/>
      <c r="F5" s="4157" t="e">
        <f ca="1">结果表!F119</f>
        <v>#REF!</v>
      </c>
      <c r="G5" s="4157"/>
      <c r="H5" s="4157" t="str">
        <f ca="1">结果表!H119</f>
        <v>肆亿捌仟贰佰壹拾贰万元整</v>
      </c>
      <c r="I5" s="4157"/>
    </row>
    <row r="6" spans="1:9" ht="15.6">
      <c r="A6" s="4156" t="str">
        <f>结果表!A120</f>
        <v>估价师知悉的法定优先受偿款</v>
      </c>
      <c r="B6" s="4156"/>
      <c r="C6" s="4156"/>
      <c r="D6" s="4156">
        <f>结果表!D120</f>
        <v>1638</v>
      </c>
      <c r="E6" s="4156"/>
      <c r="F6" s="4156"/>
      <c r="G6" s="4156"/>
      <c r="H6" s="4156"/>
      <c r="I6" s="4156"/>
    </row>
    <row r="7" spans="1:9" ht="15">
      <c r="A7" s="4157" t="s">
        <v>914</v>
      </c>
      <c r="B7" s="4157"/>
      <c r="C7" s="4157"/>
      <c r="D7" s="4158" t="str">
        <f>结果表!D121</f>
        <v>壹仟陆佰叁拾捌万元整</v>
      </c>
      <c r="E7" s="4159"/>
      <c r="F7" s="4159"/>
      <c r="G7" s="4159"/>
      <c r="H7" s="4159"/>
      <c r="I7" s="4160"/>
    </row>
    <row r="8" spans="1:9" ht="15.6">
      <c r="A8" s="4156" t="str">
        <f>结果表!A122</f>
        <v>房地产抵押价值</v>
      </c>
      <c r="B8" s="4156"/>
      <c r="C8" s="4156"/>
      <c r="D8" s="4156">
        <f ca="1">结果表!D122</f>
        <v>46574</v>
      </c>
      <c r="E8" s="4156"/>
      <c r="F8" s="4156"/>
      <c r="G8" s="4156"/>
      <c r="H8" s="4156"/>
      <c r="I8" s="4156"/>
    </row>
    <row r="9" spans="1:9" ht="15">
      <c r="A9" s="4157" t="s">
        <v>914</v>
      </c>
      <c r="B9" s="4157"/>
      <c r="C9" s="4157"/>
      <c r="D9" s="4157" t="str">
        <f ca="1">结果表!D123</f>
        <v>肆亿陆仟伍佰柒拾肆万元整</v>
      </c>
      <c r="E9" s="4157"/>
      <c r="F9" s="4157"/>
      <c r="G9" s="4157"/>
      <c r="H9" s="4157"/>
      <c r="I9" s="4157"/>
    </row>
    <row r="10" spans="1:9" ht="15.6">
      <c r="A10" s="4156" t="str">
        <f>结果表!A124</f>
        <v/>
      </c>
      <c r="B10" s="4156"/>
      <c r="C10" s="4156"/>
      <c r="D10" s="4156" t="str">
        <f>结果表!D124</f>
        <v>——</v>
      </c>
      <c r="E10" s="4156"/>
      <c r="F10" s="4156"/>
      <c r="G10" s="4156"/>
      <c r="H10" s="4156"/>
      <c r="I10" s="4156"/>
    </row>
    <row r="11" spans="1:9" ht="15">
      <c r="A11" s="4157" t="s">
        <v>914</v>
      </c>
      <c r="B11" s="4157"/>
      <c r="C11" s="4157"/>
      <c r="D11" s="4157" t="e">
        <f>结果表!D125</f>
        <v>#VALUE!</v>
      </c>
      <c r="E11" s="4157"/>
      <c r="F11" s="4157"/>
      <c r="G11" s="4157"/>
      <c r="H11" s="4157"/>
      <c r="I11" s="4157"/>
    </row>
    <row r="12" spans="1:9" ht="15.6">
      <c r="A12" s="4156" t="str">
        <f>结果表!A126</f>
        <v/>
      </c>
      <c r="B12" s="4156"/>
      <c r="C12" s="4156"/>
      <c r="D12" s="4156" t="str">
        <f>结果表!D126</f>
        <v>——</v>
      </c>
      <c r="E12" s="4156"/>
      <c r="F12" s="4156"/>
      <c r="G12" s="4156"/>
      <c r="H12" s="4156"/>
      <c r="I12" s="4156"/>
    </row>
    <row r="13" spans="1:9" ht="15.6" thickBot="1">
      <c r="A13" s="4154" t="s">
        <v>914</v>
      </c>
      <c r="B13" s="4154"/>
      <c r="C13" s="4154"/>
      <c r="D13" s="4154" t="e">
        <f>结果表!D127</f>
        <v>#VALUE!</v>
      </c>
      <c r="E13" s="4154"/>
      <c r="F13" s="4154"/>
      <c r="G13" s="4154"/>
      <c r="H13" s="4154"/>
      <c r="I13" s="4154"/>
    </row>
    <row r="14" spans="1:9" ht="14.4" thickTop="1">
      <c r="A14" s="4155" t="s">
        <v>919</v>
      </c>
      <c r="B14" s="4155"/>
      <c r="C14" s="4155"/>
      <c r="D14" s="4155"/>
      <c r="E14" s="4155"/>
      <c r="F14" s="4155"/>
      <c r="G14" s="4155"/>
      <c r="H14" s="4155"/>
      <c r="I14" s="4155"/>
    </row>
    <row r="16" spans="1:9" ht="17.399999999999999">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71" t="s">
        <v>2740</v>
      </c>
      <c r="B1" s="4571"/>
      <c r="C1" s="4571"/>
      <c r="D1" s="4571"/>
      <c r="E1" s="4571"/>
      <c r="F1" s="4571"/>
      <c r="G1" s="4572"/>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1.4"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69"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1.4" thickBot="1">
      <c r="A4" s="4570"/>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1.4"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1.4"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1.4"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1.4"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1.4"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1.4"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H7:I8"/>
    </sheetView>
  </sheetViews>
  <sheetFormatPr defaultRowHeight="14.4"/>
  <cols>
    <col min="1" max="1" width="4.88671875" style="867" customWidth="1"/>
    <col min="2" max="2" width="13.21875" style="869" customWidth="1"/>
    <col min="3" max="3" width="15.6640625" style="869" customWidth="1"/>
    <col min="4" max="4" width="9.33203125" style="869" bestFit="1" customWidth="1"/>
    <col min="5" max="5" width="13.44140625" style="869" customWidth="1"/>
    <col min="6" max="6" width="9" style="869"/>
    <col min="7" max="7" width="9.33203125" style="869" bestFit="1" customWidth="1"/>
    <col min="8" max="8" width="12.21875" style="869" customWidth="1"/>
    <col min="9" max="9" width="9" style="869"/>
    <col min="10" max="10" width="9.33203125" style="869" bestFit="1" customWidth="1"/>
    <col min="11" max="11" width="4" style="867" customWidth="1"/>
    <col min="12" max="12" width="5.109375" style="869" customWidth="1"/>
    <col min="13" max="13" width="13.77734375" style="869" customWidth="1"/>
    <col min="14" max="256" width="9" style="869"/>
    <col min="257" max="257" width="4.88671875" style="864" customWidth="1"/>
    <col min="258" max="258" width="13.21875" style="864" customWidth="1"/>
    <col min="259" max="259" width="15.6640625" style="864" customWidth="1"/>
    <col min="260" max="260" width="9.33203125" style="864" bestFit="1" customWidth="1"/>
    <col min="261" max="261" width="13.44140625" style="864" customWidth="1"/>
    <col min="262" max="262" width="9" style="864"/>
    <col min="263" max="263" width="9.33203125" style="864" bestFit="1" customWidth="1"/>
    <col min="264" max="265" width="9" style="864"/>
    <col min="266" max="266" width="9.33203125" style="864" bestFit="1" customWidth="1"/>
    <col min="267" max="267" width="4" style="864" customWidth="1"/>
    <col min="268" max="268" width="5.109375" style="864" customWidth="1"/>
    <col min="269" max="269" width="13.77734375" style="864" customWidth="1"/>
    <col min="270" max="512" width="9" style="864"/>
    <col min="513" max="513" width="4.88671875" style="864" customWidth="1"/>
    <col min="514" max="514" width="13.21875" style="864" customWidth="1"/>
    <col min="515" max="515" width="15.6640625" style="864" customWidth="1"/>
    <col min="516" max="516" width="9.33203125" style="864" bestFit="1" customWidth="1"/>
    <col min="517" max="517" width="13.44140625" style="864" customWidth="1"/>
    <col min="518" max="518" width="9" style="864"/>
    <col min="519" max="519" width="9.33203125" style="864" bestFit="1" customWidth="1"/>
    <col min="520" max="521" width="9" style="864"/>
    <col min="522" max="522" width="9.33203125" style="864" bestFit="1" customWidth="1"/>
    <col min="523" max="523" width="4" style="864" customWidth="1"/>
    <col min="524" max="524" width="5.109375" style="864" customWidth="1"/>
    <col min="525" max="525" width="13.77734375" style="864" customWidth="1"/>
    <col min="526" max="768" width="9" style="864"/>
    <col min="769" max="769" width="4.88671875" style="864" customWidth="1"/>
    <col min="770" max="770" width="13.21875" style="864" customWidth="1"/>
    <col min="771" max="771" width="15.6640625" style="864" customWidth="1"/>
    <col min="772" max="772" width="9.33203125" style="864" bestFit="1" customWidth="1"/>
    <col min="773" max="773" width="13.44140625" style="864" customWidth="1"/>
    <col min="774" max="774" width="9" style="864"/>
    <col min="775" max="775" width="9.33203125" style="864" bestFit="1" customWidth="1"/>
    <col min="776" max="777" width="9" style="864"/>
    <col min="778" max="778" width="9.33203125" style="864" bestFit="1" customWidth="1"/>
    <col min="779" max="779" width="4" style="864" customWidth="1"/>
    <col min="780" max="780" width="5.109375" style="864" customWidth="1"/>
    <col min="781" max="781" width="13.77734375" style="864" customWidth="1"/>
    <col min="782" max="1024" width="9" style="864"/>
    <col min="1025" max="1025" width="4.88671875" style="864" customWidth="1"/>
    <col min="1026" max="1026" width="13.21875" style="864" customWidth="1"/>
    <col min="1027" max="1027" width="15.6640625" style="864" customWidth="1"/>
    <col min="1028" max="1028" width="9.33203125" style="864" bestFit="1" customWidth="1"/>
    <col min="1029" max="1029" width="13.44140625" style="864" customWidth="1"/>
    <col min="1030" max="1030" width="9" style="864"/>
    <col min="1031" max="1031" width="9.33203125" style="864" bestFit="1" customWidth="1"/>
    <col min="1032" max="1033" width="9" style="864"/>
    <col min="1034" max="1034" width="9.33203125" style="864" bestFit="1" customWidth="1"/>
    <col min="1035" max="1035" width="4" style="864" customWidth="1"/>
    <col min="1036" max="1036" width="5.109375" style="864" customWidth="1"/>
    <col min="1037" max="1037" width="13.77734375" style="864" customWidth="1"/>
    <col min="1038" max="1280" width="9" style="864"/>
    <col min="1281" max="1281" width="4.88671875" style="864" customWidth="1"/>
    <col min="1282" max="1282" width="13.21875" style="864" customWidth="1"/>
    <col min="1283" max="1283" width="15.6640625" style="864" customWidth="1"/>
    <col min="1284" max="1284" width="9.33203125" style="864" bestFit="1" customWidth="1"/>
    <col min="1285" max="1285" width="13.44140625" style="864" customWidth="1"/>
    <col min="1286" max="1286" width="9" style="864"/>
    <col min="1287" max="1287" width="9.33203125" style="864" bestFit="1" customWidth="1"/>
    <col min="1288" max="1289" width="9" style="864"/>
    <col min="1290" max="1290" width="9.33203125" style="864" bestFit="1" customWidth="1"/>
    <col min="1291" max="1291" width="4" style="864" customWidth="1"/>
    <col min="1292" max="1292" width="5.109375" style="864" customWidth="1"/>
    <col min="1293" max="1293" width="13.77734375" style="864" customWidth="1"/>
    <col min="1294" max="1536" width="9" style="864"/>
    <col min="1537" max="1537" width="4.88671875" style="864" customWidth="1"/>
    <col min="1538" max="1538" width="13.21875" style="864" customWidth="1"/>
    <col min="1539" max="1539" width="15.6640625" style="864" customWidth="1"/>
    <col min="1540" max="1540" width="9.33203125" style="864" bestFit="1" customWidth="1"/>
    <col min="1541" max="1541" width="13.44140625" style="864" customWidth="1"/>
    <col min="1542" max="1542" width="9" style="864"/>
    <col min="1543" max="1543" width="9.33203125" style="864" bestFit="1" customWidth="1"/>
    <col min="1544" max="1545" width="9" style="864"/>
    <col min="1546" max="1546" width="9.33203125" style="864" bestFit="1" customWidth="1"/>
    <col min="1547" max="1547" width="4" style="864" customWidth="1"/>
    <col min="1548" max="1548" width="5.109375" style="864" customWidth="1"/>
    <col min="1549" max="1549" width="13.77734375" style="864" customWidth="1"/>
    <col min="1550" max="1792" width="9" style="864"/>
    <col min="1793" max="1793" width="4.88671875" style="864" customWidth="1"/>
    <col min="1794" max="1794" width="13.21875" style="864" customWidth="1"/>
    <col min="1795" max="1795" width="15.6640625" style="864" customWidth="1"/>
    <col min="1796" max="1796" width="9.33203125" style="864" bestFit="1" customWidth="1"/>
    <col min="1797" max="1797" width="13.44140625" style="864" customWidth="1"/>
    <col min="1798" max="1798" width="9" style="864"/>
    <col min="1799" max="1799" width="9.33203125" style="864" bestFit="1" customWidth="1"/>
    <col min="1800" max="1801" width="9" style="864"/>
    <col min="1802" max="1802" width="9.33203125" style="864" bestFit="1" customWidth="1"/>
    <col min="1803" max="1803" width="4" style="864" customWidth="1"/>
    <col min="1804" max="1804" width="5.109375" style="864" customWidth="1"/>
    <col min="1805" max="1805" width="13.77734375" style="864" customWidth="1"/>
    <col min="1806" max="2048" width="9" style="864"/>
    <col min="2049" max="2049" width="4.88671875" style="864" customWidth="1"/>
    <col min="2050" max="2050" width="13.21875" style="864" customWidth="1"/>
    <col min="2051" max="2051" width="15.6640625" style="864" customWidth="1"/>
    <col min="2052" max="2052" width="9.33203125" style="864" bestFit="1" customWidth="1"/>
    <col min="2053" max="2053" width="13.44140625" style="864" customWidth="1"/>
    <col min="2054" max="2054" width="9" style="864"/>
    <col min="2055" max="2055" width="9.33203125" style="864" bestFit="1" customWidth="1"/>
    <col min="2056" max="2057" width="9" style="864"/>
    <col min="2058" max="2058" width="9.33203125" style="864" bestFit="1" customWidth="1"/>
    <col min="2059" max="2059" width="4" style="864" customWidth="1"/>
    <col min="2060" max="2060" width="5.109375" style="864" customWidth="1"/>
    <col min="2061" max="2061" width="13.77734375" style="864" customWidth="1"/>
    <col min="2062" max="2304" width="9" style="864"/>
    <col min="2305" max="2305" width="4.88671875" style="864" customWidth="1"/>
    <col min="2306" max="2306" width="13.21875" style="864" customWidth="1"/>
    <col min="2307" max="2307" width="15.6640625" style="864" customWidth="1"/>
    <col min="2308" max="2308" width="9.33203125" style="864" bestFit="1" customWidth="1"/>
    <col min="2309" max="2309" width="13.44140625" style="864" customWidth="1"/>
    <col min="2310" max="2310" width="9" style="864"/>
    <col min="2311" max="2311" width="9.33203125" style="864" bestFit="1" customWidth="1"/>
    <col min="2312" max="2313" width="9" style="864"/>
    <col min="2314" max="2314" width="9.33203125" style="864" bestFit="1" customWidth="1"/>
    <col min="2315" max="2315" width="4" style="864" customWidth="1"/>
    <col min="2316" max="2316" width="5.109375" style="864" customWidth="1"/>
    <col min="2317" max="2317" width="13.77734375" style="864" customWidth="1"/>
    <col min="2318" max="2560" width="9" style="864"/>
    <col min="2561" max="2561" width="4.88671875" style="864" customWidth="1"/>
    <col min="2562" max="2562" width="13.21875" style="864" customWidth="1"/>
    <col min="2563" max="2563" width="15.6640625" style="864" customWidth="1"/>
    <col min="2564" max="2564" width="9.33203125" style="864" bestFit="1" customWidth="1"/>
    <col min="2565" max="2565" width="13.44140625" style="864" customWidth="1"/>
    <col min="2566" max="2566" width="9" style="864"/>
    <col min="2567" max="2567" width="9.33203125" style="864" bestFit="1" customWidth="1"/>
    <col min="2568" max="2569" width="9" style="864"/>
    <col min="2570" max="2570" width="9.33203125" style="864" bestFit="1" customWidth="1"/>
    <col min="2571" max="2571" width="4" style="864" customWidth="1"/>
    <col min="2572" max="2572" width="5.109375" style="864" customWidth="1"/>
    <col min="2573" max="2573" width="13.77734375" style="864" customWidth="1"/>
    <col min="2574" max="2816" width="9" style="864"/>
    <col min="2817" max="2817" width="4.88671875" style="864" customWidth="1"/>
    <col min="2818" max="2818" width="13.21875" style="864" customWidth="1"/>
    <col min="2819" max="2819" width="15.6640625" style="864" customWidth="1"/>
    <col min="2820" max="2820" width="9.33203125" style="864" bestFit="1" customWidth="1"/>
    <col min="2821" max="2821" width="13.44140625" style="864" customWidth="1"/>
    <col min="2822" max="2822" width="9" style="864"/>
    <col min="2823" max="2823" width="9.33203125" style="864" bestFit="1" customWidth="1"/>
    <col min="2824" max="2825" width="9" style="864"/>
    <col min="2826" max="2826" width="9.33203125" style="864" bestFit="1" customWidth="1"/>
    <col min="2827" max="2827" width="4" style="864" customWidth="1"/>
    <col min="2828" max="2828" width="5.109375" style="864" customWidth="1"/>
    <col min="2829" max="2829" width="13.77734375" style="864" customWidth="1"/>
    <col min="2830" max="3072" width="9" style="864"/>
    <col min="3073" max="3073" width="4.88671875" style="864" customWidth="1"/>
    <col min="3074" max="3074" width="13.21875" style="864" customWidth="1"/>
    <col min="3075" max="3075" width="15.6640625" style="864" customWidth="1"/>
    <col min="3076" max="3076" width="9.33203125" style="864" bestFit="1" customWidth="1"/>
    <col min="3077" max="3077" width="13.44140625" style="864" customWidth="1"/>
    <col min="3078" max="3078" width="9" style="864"/>
    <col min="3079" max="3079" width="9.33203125" style="864" bestFit="1" customWidth="1"/>
    <col min="3080" max="3081" width="9" style="864"/>
    <col min="3082" max="3082" width="9.33203125" style="864" bestFit="1" customWidth="1"/>
    <col min="3083" max="3083" width="4" style="864" customWidth="1"/>
    <col min="3084" max="3084" width="5.109375" style="864" customWidth="1"/>
    <col min="3085" max="3085" width="13.77734375" style="864" customWidth="1"/>
    <col min="3086" max="3328" width="9" style="864"/>
    <col min="3329" max="3329" width="4.88671875" style="864" customWidth="1"/>
    <col min="3330" max="3330" width="13.21875" style="864" customWidth="1"/>
    <col min="3331" max="3331" width="15.6640625" style="864" customWidth="1"/>
    <col min="3332" max="3332" width="9.33203125" style="864" bestFit="1" customWidth="1"/>
    <col min="3333" max="3333" width="13.44140625" style="864" customWidth="1"/>
    <col min="3334" max="3334" width="9" style="864"/>
    <col min="3335" max="3335" width="9.33203125" style="864" bestFit="1" customWidth="1"/>
    <col min="3336" max="3337" width="9" style="864"/>
    <col min="3338" max="3338" width="9.33203125" style="864" bestFit="1" customWidth="1"/>
    <col min="3339" max="3339" width="4" style="864" customWidth="1"/>
    <col min="3340" max="3340" width="5.109375" style="864" customWidth="1"/>
    <col min="3341" max="3341" width="13.77734375" style="864" customWidth="1"/>
    <col min="3342" max="3584" width="9" style="864"/>
    <col min="3585" max="3585" width="4.88671875" style="864" customWidth="1"/>
    <col min="3586" max="3586" width="13.21875" style="864" customWidth="1"/>
    <col min="3587" max="3587" width="15.6640625" style="864" customWidth="1"/>
    <col min="3588" max="3588" width="9.33203125" style="864" bestFit="1" customWidth="1"/>
    <col min="3589" max="3589" width="13.44140625" style="864" customWidth="1"/>
    <col min="3590" max="3590" width="9" style="864"/>
    <col min="3591" max="3591" width="9.33203125" style="864" bestFit="1" customWidth="1"/>
    <col min="3592" max="3593" width="9" style="864"/>
    <col min="3594" max="3594" width="9.33203125" style="864" bestFit="1" customWidth="1"/>
    <col min="3595" max="3595" width="4" style="864" customWidth="1"/>
    <col min="3596" max="3596" width="5.109375" style="864" customWidth="1"/>
    <col min="3597" max="3597" width="13.77734375" style="864" customWidth="1"/>
    <col min="3598" max="3840" width="9" style="864"/>
    <col min="3841" max="3841" width="4.88671875" style="864" customWidth="1"/>
    <col min="3842" max="3842" width="13.21875" style="864" customWidth="1"/>
    <col min="3843" max="3843" width="15.6640625" style="864" customWidth="1"/>
    <col min="3844" max="3844" width="9.33203125" style="864" bestFit="1" customWidth="1"/>
    <col min="3845" max="3845" width="13.44140625" style="864" customWidth="1"/>
    <col min="3846" max="3846" width="9" style="864"/>
    <col min="3847" max="3847" width="9.33203125" style="864" bestFit="1" customWidth="1"/>
    <col min="3848" max="3849" width="9" style="864"/>
    <col min="3850" max="3850" width="9.33203125" style="864" bestFit="1" customWidth="1"/>
    <col min="3851" max="3851" width="4" style="864" customWidth="1"/>
    <col min="3852" max="3852" width="5.109375" style="864" customWidth="1"/>
    <col min="3853" max="3853" width="13.77734375" style="864" customWidth="1"/>
    <col min="3854" max="4096" width="9" style="864"/>
    <col min="4097" max="4097" width="4.88671875" style="864" customWidth="1"/>
    <col min="4098" max="4098" width="13.21875" style="864" customWidth="1"/>
    <col min="4099" max="4099" width="15.6640625" style="864" customWidth="1"/>
    <col min="4100" max="4100" width="9.33203125" style="864" bestFit="1" customWidth="1"/>
    <col min="4101" max="4101" width="13.44140625" style="864" customWidth="1"/>
    <col min="4102" max="4102" width="9" style="864"/>
    <col min="4103" max="4103" width="9.33203125" style="864" bestFit="1" customWidth="1"/>
    <col min="4104" max="4105" width="9" style="864"/>
    <col min="4106" max="4106" width="9.33203125" style="864" bestFit="1" customWidth="1"/>
    <col min="4107" max="4107" width="4" style="864" customWidth="1"/>
    <col min="4108" max="4108" width="5.109375" style="864" customWidth="1"/>
    <col min="4109" max="4109" width="13.77734375" style="864" customWidth="1"/>
    <col min="4110" max="4352" width="9" style="864"/>
    <col min="4353" max="4353" width="4.88671875" style="864" customWidth="1"/>
    <col min="4354" max="4354" width="13.21875" style="864" customWidth="1"/>
    <col min="4355" max="4355" width="15.6640625" style="864" customWidth="1"/>
    <col min="4356" max="4356" width="9.33203125" style="864" bestFit="1" customWidth="1"/>
    <col min="4357" max="4357" width="13.44140625" style="864" customWidth="1"/>
    <col min="4358" max="4358" width="9" style="864"/>
    <col min="4359" max="4359" width="9.33203125" style="864" bestFit="1" customWidth="1"/>
    <col min="4360" max="4361" width="9" style="864"/>
    <col min="4362" max="4362" width="9.33203125" style="864" bestFit="1" customWidth="1"/>
    <col min="4363" max="4363" width="4" style="864" customWidth="1"/>
    <col min="4364" max="4364" width="5.109375" style="864" customWidth="1"/>
    <col min="4365" max="4365" width="13.77734375" style="864" customWidth="1"/>
    <col min="4366" max="4608" width="9" style="864"/>
    <col min="4609" max="4609" width="4.88671875" style="864" customWidth="1"/>
    <col min="4610" max="4610" width="13.21875" style="864" customWidth="1"/>
    <col min="4611" max="4611" width="15.6640625" style="864" customWidth="1"/>
    <col min="4612" max="4612" width="9.33203125" style="864" bestFit="1" customWidth="1"/>
    <col min="4613" max="4613" width="13.44140625" style="864" customWidth="1"/>
    <col min="4614" max="4614" width="9" style="864"/>
    <col min="4615" max="4615" width="9.33203125" style="864" bestFit="1" customWidth="1"/>
    <col min="4616" max="4617" width="9" style="864"/>
    <col min="4618" max="4618" width="9.33203125" style="864" bestFit="1" customWidth="1"/>
    <col min="4619" max="4619" width="4" style="864" customWidth="1"/>
    <col min="4620" max="4620" width="5.109375" style="864" customWidth="1"/>
    <col min="4621" max="4621" width="13.77734375" style="864" customWidth="1"/>
    <col min="4622" max="4864" width="9" style="864"/>
    <col min="4865" max="4865" width="4.88671875" style="864" customWidth="1"/>
    <col min="4866" max="4866" width="13.21875" style="864" customWidth="1"/>
    <col min="4867" max="4867" width="15.6640625" style="864" customWidth="1"/>
    <col min="4868" max="4868" width="9.33203125" style="864" bestFit="1" customWidth="1"/>
    <col min="4869" max="4869" width="13.44140625" style="864" customWidth="1"/>
    <col min="4870" max="4870" width="9" style="864"/>
    <col min="4871" max="4871" width="9.33203125" style="864" bestFit="1" customWidth="1"/>
    <col min="4872" max="4873" width="9" style="864"/>
    <col min="4874" max="4874" width="9.33203125" style="864" bestFit="1" customWidth="1"/>
    <col min="4875" max="4875" width="4" style="864" customWidth="1"/>
    <col min="4876" max="4876" width="5.109375" style="864" customWidth="1"/>
    <col min="4877" max="4877" width="13.77734375" style="864" customWidth="1"/>
    <col min="4878" max="5120" width="9" style="864"/>
    <col min="5121" max="5121" width="4.88671875" style="864" customWidth="1"/>
    <col min="5122" max="5122" width="13.21875" style="864" customWidth="1"/>
    <col min="5123" max="5123" width="15.6640625" style="864" customWidth="1"/>
    <col min="5124" max="5124" width="9.33203125" style="864" bestFit="1" customWidth="1"/>
    <col min="5125" max="5125" width="13.44140625" style="864" customWidth="1"/>
    <col min="5126" max="5126" width="9" style="864"/>
    <col min="5127" max="5127" width="9.33203125" style="864" bestFit="1" customWidth="1"/>
    <col min="5128" max="5129" width="9" style="864"/>
    <col min="5130" max="5130" width="9.33203125" style="864" bestFit="1" customWidth="1"/>
    <col min="5131" max="5131" width="4" style="864" customWidth="1"/>
    <col min="5132" max="5132" width="5.109375" style="864" customWidth="1"/>
    <col min="5133" max="5133" width="13.77734375" style="864" customWidth="1"/>
    <col min="5134" max="5376" width="9" style="864"/>
    <col min="5377" max="5377" width="4.88671875" style="864" customWidth="1"/>
    <col min="5378" max="5378" width="13.21875" style="864" customWidth="1"/>
    <col min="5379" max="5379" width="15.6640625" style="864" customWidth="1"/>
    <col min="5380" max="5380" width="9.33203125" style="864" bestFit="1" customWidth="1"/>
    <col min="5381" max="5381" width="13.44140625" style="864" customWidth="1"/>
    <col min="5382" max="5382" width="9" style="864"/>
    <col min="5383" max="5383" width="9.33203125" style="864" bestFit="1" customWidth="1"/>
    <col min="5384" max="5385" width="9" style="864"/>
    <col min="5386" max="5386" width="9.33203125" style="864" bestFit="1" customWidth="1"/>
    <col min="5387" max="5387" width="4" style="864" customWidth="1"/>
    <col min="5388" max="5388" width="5.109375" style="864" customWidth="1"/>
    <col min="5389" max="5389" width="13.77734375" style="864" customWidth="1"/>
    <col min="5390" max="5632" width="9" style="864"/>
    <col min="5633" max="5633" width="4.88671875" style="864" customWidth="1"/>
    <col min="5634" max="5634" width="13.21875" style="864" customWidth="1"/>
    <col min="5635" max="5635" width="15.6640625" style="864" customWidth="1"/>
    <col min="5636" max="5636" width="9.33203125" style="864" bestFit="1" customWidth="1"/>
    <col min="5637" max="5637" width="13.44140625" style="864" customWidth="1"/>
    <col min="5638" max="5638" width="9" style="864"/>
    <col min="5639" max="5639" width="9.33203125" style="864" bestFit="1" customWidth="1"/>
    <col min="5640" max="5641" width="9" style="864"/>
    <col min="5642" max="5642" width="9.33203125" style="864" bestFit="1" customWidth="1"/>
    <col min="5643" max="5643" width="4" style="864" customWidth="1"/>
    <col min="5644" max="5644" width="5.109375" style="864" customWidth="1"/>
    <col min="5645" max="5645" width="13.77734375" style="864" customWidth="1"/>
    <col min="5646" max="5888" width="9" style="864"/>
    <col min="5889" max="5889" width="4.88671875" style="864" customWidth="1"/>
    <col min="5890" max="5890" width="13.21875" style="864" customWidth="1"/>
    <col min="5891" max="5891" width="15.6640625" style="864" customWidth="1"/>
    <col min="5892" max="5892" width="9.33203125" style="864" bestFit="1" customWidth="1"/>
    <col min="5893" max="5893" width="13.44140625" style="864" customWidth="1"/>
    <col min="5894" max="5894" width="9" style="864"/>
    <col min="5895" max="5895" width="9.33203125" style="864" bestFit="1" customWidth="1"/>
    <col min="5896" max="5897" width="9" style="864"/>
    <col min="5898" max="5898" width="9.33203125" style="864" bestFit="1" customWidth="1"/>
    <col min="5899" max="5899" width="4" style="864" customWidth="1"/>
    <col min="5900" max="5900" width="5.109375" style="864" customWidth="1"/>
    <col min="5901" max="5901" width="13.77734375" style="864" customWidth="1"/>
    <col min="5902" max="6144" width="9" style="864"/>
    <col min="6145" max="6145" width="4.88671875" style="864" customWidth="1"/>
    <col min="6146" max="6146" width="13.21875" style="864" customWidth="1"/>
    <col min="6147" max="6147" width="15.6640625" style="864" customWidth="1"/>
    <col min="6148" max="6148" width="9.33203125" style="864" bestFit="1" customWidth="1"/>
    <col min="6149" max="6149" width="13.44140625" style="864" customWidth="1"/>
    <col min="6150" max="6150" width="9" style="864"/>
    <col min="6151" max="6151" width="9.33203125" style="864" bestFit="1" customWidth="1"/>
    <col min="6152" max="6153" width="9" style="864"/>
    <col min="6154" max="6154" width="9.33203125" style="864" bestFit="1" customWidth="1"/>
    <col min="6155" max="6155" width="4" style="864" customWidth="1"/>
    <col min="6156" max="6156" width="5.109375" style="864" customWidth="1"/>
    <col min="6157" max="6157" width="13.77734375" style="864" customWidth="1"/>
    <col min="6158" max="6400" width="9" style="864"/>
    <col min="6401" max="6401" width="4.88671875" style="864" customWidth="1"/>
    <col min="6402" max="6402" width="13.21875" style="864" customWidth="1"/>
    <col min="6403" max="6403" width="15.6640625" style="864" customWidth="1"/>
    <col min="6404" max="6404" width="9.33203125" style="864" bestFit="1" customWidth="1"/>
    <col min="6405" max="6405" width="13.44140625" style="864" customWidth="1"/>
    <col min="6406" max="6406" width="9" style="864"/>
    <col min="6407" max="6407" width="9.33203125" style="864" bestFit="1" customWidth="1"/>
    <col min="6408" max="6409" width="9" style="864"/>
    <col min="6410" max="6410" width="9.33203125" style="864" bestFit="1" customWidth="1"/>
    <col min="6411" max="6411" width="4" style="864" customWidth="1"/>
    <col min="6412" max="6412" width="5.109375" style="864" customWidth="1"/>
    <col min="6413" max="6413" width="13.77734375" style="864" customWidth="1"/>
    <col min="6414" max="6656" width="9" style="864"/>
    <col min="6657" max="6657" width="4.88671875" style="864" customWidth="1"/>
    <col min="6658" max="6658" width="13.21875" style="864" customWidth="1"/>
    <col min="6659" max="6659" width="15.6640625" style="864" customWidth="1"/>
    <col min="6660" max="6660" width="9.33203125" style="864" bestFit="1" customWidth="1"/>
    <col min="6661" max="6661" width="13.44140625" style="864" customWidth="1"/>
    <col min="6662" max="6662" width="9" style="864"/>
    <col min="6663" max="6663" width="9.33203125" style="864" bestFit="1" customWidth="1"/>
    <col min="6664" max="6665" width="9" style="864"/>
    <col min="6666" max="6666" width="9.33203125" style="864" bestFit="1" customWidth="1"/>
    <col min="6667" max="6667" width="4" style="864" customWidth="1"/>
    <col min="6668" max="6668" width="5.109375" style="864" customWidth="1"/>
    <col min="6669" max="6669" width="13.77734375" style="864" customWidth="1"/>
    <col min="6670" max="6912" width="9" style="864"/>
    <col min="6913" max="6913" width="4.88671875" style="864" customWidth="1"/>
    <col min="6914" max="6914" width="13.21875" style="864" customWidth="1"/>
    <col min="6915" max="6915" width="15.6640625" style="864" customWidth="1"/>
    <col min="6916" max="6916" width="9.33203125" style="864" bestFit="1" customWidth="1"/>
    <col min="6917" max="6917" width="13.44140625" style="864" customWidth="1"/>
    <col min="6918" max="6918" width="9" style="864"/>
    <col min="6919" max="6919" width="9.33203125" style="864" bestFit="1" customWidth="1"/>
    <col min="6920" max="6921" width="9" style="864"/>
    <col min="6922" max="6922" width="9.33203125" style="864" bestFit="1" customWidth="1"/>
    <col min="6923" max="6923" width="4" style="864" customWidth="1"/>
    <col min="6924" max="6924" width="5.109375" style="864" customWidth="1"/>
    <col min="6925" max="6925" width="13.77734375" style="864" customWidth="1"/>
    <col min="6926" max="7168" width="9" style="864"/>
    <col min="7169" max="7169" width="4.88671875" style="864" customWidth="1"/>
    <col min="7170" max="7170" width="13.21875" style="864" customWidth="1"/>
    <col min="7171" max="7171" width="15.6640625" style="864" customWidth="1"/>
    <col min="7172" max="7172" width="9.33203125" style="864" bestFit="1" customWidth="1"/>
    <col min="7173" max="7173" width="13.44140625" style="864" customWidth="1"/>
    <col min="7174" max="7174" width="9" style="864"/>
    <col min="7175" max="7175" width="9.33203125" style="864" bestFit="1" customWidth="1"/>
    <col min="7176" max="7177" width="9" style="864"/>
    <col min="7178" max="7178" width="9.33203125" style="864" bestFit="1" customWidth="1"/>
    <col min="7179" max="7179" width="4" style="864" customWidth="1"/>
    <col min="7180" max="7180" width="5.109375" style="864" customWidth="1"/>
    <col min="7181" max="7181" width="13.77734375" style="864" customWidth="1"/>
    <col min="7182" max="7424" width="9" style="864"/>
    <col min="7425" max="7425" width="4.88671875" style="864" customWidth="1"/>
    <col min="7426" max="7426" width="13.21875" style="864" customWidth="1"/>
    <col min="7427" max="7427" width="15.6640625" style="864" customWidth="1"/>
    <col min="7428" max="7428" width="9.33203125" style="864" bestFit="1" customWidth="1"/>
    <col min="7429" max="7429" width="13.44140625" style="864" customWidth="1"/>
    <col min="7430" max="7430" width="9" style="864"/>
    <col min="7431" max="7431" width="9.33203125" style="864" bestFit="1" customWidth="1"/>
    <col min="7432" max="7433" width="9" style="864"/>
    <col min="7434" max="7434" width="9.33203125" style="864" bestFit="1" customWidth="1"/>
    <col min="7435" max="7435" width="4" style="864" customWidth="1"/>
    <col min="7436" max="7436" width="5.109375" style="864" customWidth="1"/>
    <col min="7437" max="7437" width="13.77734375" style="864" customWidth="1"/>
    <col min="7438" max="7680" width="9" style="864"/>
    <col min="7681" max="7681" width="4.88671875" style="864" customWidth="1"/>
    <col min="7682" max="7682" width="13.21875" style="864" customWidth="1"/>
    <col min="7683" max="7683" width="15.6640625" style="864" customWidth="1"/>
    <col min="7684" max="7684" width="9.33203125" style="864" bestFit="1" customWidth="1"/>
    <col min="7685" max="7685" width="13.44140625" style="864" customWidth="1"/>
    <col min="7686" max="7686" width="9" style="864"/>
    <col min="7687" max="7687" width="9.33203125" style="864" bestFit="1" customWidth="1"/>
    <col min="7688" max="7689" width="9" style="864"/>
    <col min="7690" max="7690" width="9.33203125" style="864" bestFit="1" customWidth="1"/>
    <col min="7691" max="7691" width="4" style="864" customWidth="1"/>
    <col min="7692" max="7692" width="5.109375" style="864" customWidth="1"/>
    <col min="7693" max="7693" width="13.77734375" style="864" customWidth="1"/>
    <col min="7694" max="7936" width="9" style="864"/>
    <col min="7937" max="7937" width="4.88671875" style="864" customWidth="1"/>
    <col min="7938" max="7938" width="13.21875" style="864" customWidth="1"/>
    <col min="7939" max="7939" width="15.6640625" style="864" customWidth="1"/>
    <col min="7940" max="7940" width="9.33203125" style="864" bestFit="1" customWidth="1"/>
    <col min="7941" max="7941" width="13.44140625" style="864" customWidth="1"/>
    <col min="7942" max="7942" width="9" style="864"/>
    <col min="7943" max="7943" width="9.33203125" style="864" bestFit="1" customWidth="1"/>
    <col min="7944" max="7945" width="9" style="864"/>
    <col min="7946" max="7946" width="9.33203125" style="864" bestFit="1" customWidth="1"/>
    <col min="7947" max="7947" width="4" style="864" customWidth="1"/>
    <col min="7948" max="7948" width="5.109375" style="864" customWidth="1"/>
    <col min="7949" max="7949" width="13.77734375" style="864" customWidth="1"/>
    <col min="7950" max="8192" width="9" style="864"/>
    <col min="8193" max="8193" width="4.88671875" style="864" customWidth="1"/>
    <col min="8194" max="8194" width="13.21875" style="864" customWidth="1"/>
    <col min="8195" max="8195" width="15.6640625" style="864" customWidth="1"/>
    <col min="8196" max="8196" width="9.33203125" style="864" bestFit="1" customWidth="1"/>
    <col min="8197" max="8197" width="13.44140625" style="864" customWidth="1"/>
    <col min="8198" max="8198" width="9" style="864"/>
    <col min="8199" max="8199" width="9.33203125" style="864" bestFit="1" customWidth="1"/>
    <col min="8200" max="8201" width="9" style="864"/>
    <col min="8202" max="8202" width="9.33203125" style="864" bestFit="1" customWidth="1"/>
    <col min="8203" max="8203" width="4" style="864" customWidth="1"/>
    <col min="8204" max="8204" width="5.109375" style="864" customWidth="1"/>
    <col min="8205" max="8205" width="13.77734375" style="864" customWidth="1"/>
    <col min="8206" max="8448" width="9" style="864"/>
    <col min="8449" max="8449" width="4.88671875" style="864" customWidth="1"/>
    <col min="8450" max="8450" width="13.21875" style="864" customWidth="1"/>
    <col min="8451" max="8451" width="15.6640625" style="864" customWidth="1"/>
    <col min="8452" max="8452" width="9.33203125" style="864" bestFit="1" customWidth="1"/>
    <col min="8453" max="8453" width="13.44140625" style="864" customWidth="1"/>
    <col min="8454" max="8454" width="9" style="864"/>
    <col min="8455" max="8455" width="9.33203125" style="864" bestFit="1" customWidth="1"/>
    <col min="8456" max="8457" width="9" style="864"/>
    <col min="8458" max="8458" width="9.33203125" style="864" bestFit="1" customWidth="1"/>
    <col min="8459" max="8459" width="4" style="864" customWidth="1"/>
    <col min="8460" max="8460" width="5.109375" style="864" customWidth="1"/>
    <col min="8461" max="8461" width="13.77734375" style="864" customWidth="1"/>
    <col min="8462" max="8704" width="9" style="864"/>
    <col min="8705" max="8705" width="4.88671875" style="864" customWidth="1"/>
    <col min="8706" max="8706" width="13.21875" style="864" customWidth="1"/>
    <col min="8707" max="8707" width="15.6640625" style="864" customWidth="1"/>
    <col min="8708" max="8708" width="9.33203125" style="864" bestFit="1" customWidth="1"/>
    <col min="8709" max="8709" width="13.44140625" style="864" customWidth="1"/>
    <col min="8710" max="8710" width="9" style="864"/>
    <col min="8711" max="8711" width="9.33203125" style="864" bestFit="1" customWidth="1"/>
    <col min="8712" max="8713" width="9" style="864"/>
    <col min="8714" max="8714" width="9.33203125" style="864" bestFit="1" customWidth="1"/>
    <col min="8715" max="8715" width="4" style="864" customWidth="1"/>
    <col min="8716" max="8716" width="5.109375" style="864" customWidth="1"/>
    <col min="8717" max="8717" width="13.77734375" style="864" customWidth="1"/>
    <col min="8718" max="8960" width="9" style="864"/>
    <col min="8961" max="8961" width="4.88671875" style="864" customWidth="1"/>
    <col min="8962" max="8962" width="13.21875" style="864" customWidth="1"/>
    <col min="8963" max="8963" width="15.6640625" style="864" customWidth="1"/>
    <col min="8964" max="8964" width="9.33203125" style="864" bestFit="1" customWidth="1"/>
    <col min="8965" max="8965" width="13.44140625" style="864" customWidth="1"/>
    <col min="8966" max="8966" width="9" style="864"/>
    <col min="8967" max="8967" width="9.33203125" style="864" bestFit="1" customWidth="1"/>
    <col min="8968" max="8969" width="9" style="864"/>
    <col min="8970" max="8970" width="9.33203125" style="864" bestFit="1" customWidth="1"/>
    <col min="8971" max="8971" width="4" style="864" customWidth="1"/>
    <col min="8972" max="8972" width="5.109375" style="864" customWidth="1"/>
    <col min="8973" max="8973" width="13.77734375" style="864" customWidth="1"/>
    <col min="8974" max="9216" width="9" style="864"/>
    <col min="9217" max="9217" width="4.88671875" style="864" customWidth="1"/>
    <col min="9218" max="9218" width="13.21875" style="864" customWidth="1"/>
    <col min="9219" max="9219" width="15.6640625" style="864" customWidth="1"/>
    <col min="9220" max="9220" width="9.33203125" style="864" bestFit="1" customWidth="1"/>
    <col min="9221" max="9221" width="13.44140625" style="864" customWidth="1"/>
    <col min="9222" max="9222" width="9" style="864"/>
    <col min="9223" max="9223" width="9.33203125" style="864" bestFit="1" customWidth="1"/>
    <col min="9224" max="9225" width="9" style="864"/>
    <col min="9226" max="9226" width="9.33203125" style="864" bestFit="1" customWidth="1"/>
    <col min="9227" max="9227" width="4" style="864" customWidth="1"/>
    <col min="9228" max="9228" width="5.109375" style="864" customWidth="1"/>
    <col min="9229" max="9229" width="13.77734375" style="864" customWidth="1"/>
    <col min="9230" max="9472" width="9" style="864"/>
    <col min="9473" max="9473" width="4.88671875" style="864" customWidth="1"/>
    <col min="9474" max="9474" width="13.21875" style="864" customWidth="1"/>
    <col min="9475" max="9475" width="15.6640625" style="864" customWidth="1"/>
    <col min="9476" max="9476" width="9.33203125" style="864" bestFit="1" customWidth="1"/>
    <col min="9477" max="9477" width="13.44140625" style="864" customWidth="1"/>
    <col min="9478" max="9478" width="9" style="864"/>
    <col min="9479" max="9479" width="9.33203125" style="864" bestFit="1" customWidth="1"/>
    <col min="9480" max="9481" width="9" style="864"/>
    <col min="9482" max="9482" width="9.33203125" style="864" bestFit="1" customWidth="1"/>
    <col min="9483" max="9483" width="4" style="864" customWidth="1"/>
    <col min="9484" max="9484" width="5.109375" style="864" customWidth="1"/>
    <col min="9485" max="9485" width="13.77734375" style="864" customWidth="1"/>
    <col min="9486" max="9728" width="9" style="864"/>
    <col min="9729" max="9729" width="4.88671875" style="864" customWidth="1"/>
    <col min="9730" max="9730" width="13.21875" style="864" customWidth="1"/>
    <col min="9731" max="9731" width="15.6640625" style="864" customWidth="1"/>
    <col min="9732" max="9732" width="9.33203125" style="864" bestFit="1" customWidth="1"/>
    <col min="9733" max="9733" width="13.44140625" style="864" customWidth="1"/>
    <col min="9734" max="9734" width="9" style="864"/>
    <col min="9735" max="9735" width="9.33203125" style="864" bestFit="1" customWidth="1"/>
    <col min="9736" max="9737" width="9" style="864"/>
    <col min="9738" max="9738" width="9.33203125" style="864" bestFit="1" customWidth="1"/>
    <col min="9739" max="9739" width="4" style="864" customWidth="1"/>
    <col min="9740" max="9740" width="5.109375" style="864" customWidth="1"/>
    <col min="9741" max="9741" width="13.77734375" style="864" customWidth="1"/>
    <col min="9742" max="9984" width="9" style="864"/>
    <col min="9985" max="9985" width="4.88671875" style="864" customWidth="1"/>
    <col min="9986" max="9986" width="13.21875" style="864" customWidth="1"/>
    <col min="9987" max="9987" width="15.6640625" style="864" customWidth="1"/>
    <col min="9988" max="9988" width="9.33203125" style="864" bestFit="1" customWidth="1"/>
    <col min="9989" max="9989" width="13.44140625" style="864" customWidth="1"/>
    <col min="9990" max="9990" width="9" style="864"/>
    <col min="9991" max="9991" width="9.33203125" style="864" bestFit="1" customWidth="1"/>
    <col min="9992" max="9993" width="9" style="864"/>
    <col min="9994" max="9994" width="9.33203125" style="864" bestFit="1" customWidth="1"/>
    <col min="9995" max="9995" width="4" style="864" customWidth="1"/>
    <col min="9996" max="9996" width="5.109375" style="864" customWidth="1"/>
    <col min="9997" max="9997" width="13.77734375" style="864" customWidth="1"/>
    <col min="9998" max="10240" width="9" style="864"/>
    <col min="10241" max="10241" width="4.88671875" style="864" customWidth="1"/>
    <col min="10242" max="10242" width="13.21875" style="864" customWidth="1"/>
    <col min="10243" max="10243" width="15.6640625" style="864" customWidth="1"/>
    <col min="10244" max="10244" width="9.33203125" style="864" bestFit="1" customWidth="1"/>
    <col min="10245" max="10245" width="13.44140625" style="864" customWidth="1"/>
    <col min="10246" max="10246" width="9" style="864"/>
    <col min="10247" max="10247" width="9.33203125" style="864" bestFit="1" customWidth="1"/>
    <col min="10248" max="10249" width="9" style="864"/>
    <col min="10250" max="10250" width="9.33203125" style="864" bestFit="1" customWidth="1"/>
    <col min="10251" max="10251" width="4" style="864" customWidth="1"/>
    <col min="10252" max="10252" width="5.109375" style="864" customWidth="1"/>
    <col min="10253" max="10253" width="13.77734375" style="864" customWidth="1"/>
    <col min="10254" max="10496" width="9" style="864"/>
    <col min="10497" max="10497" width="4.88671875" style="864" customWidth="1"/>
    <col min="10498" max="10498" width="13.21875" style="864" customWidth="1"/>
    <col min="10499" max="10499" width="15.6640625" style="864" customWidth="1"/>
    <col min="10500" max="10500" width="9.33203125" style="864" bestFit="1" customWidth="1"/>
    <col min="10501" max="10501" width="13.44140625" style="864" customWidth="1"/>
    <col min="10502" max="10502" width="9" style="864"/>
    <col min="10503" max="10503" width="9.33203125" style="864" bestFit="1" customWidth="1"/>
    <col min="10504" max="10505" width="9" style="864"/>
    <col min="10506" max="10506" width="9.33203125" style="864" bestFit="1" customWidth="1"/>
    <col min="10507" max="10507" width="4" style="864" customWidth="1"/>
    <col min="10508" max="10508" width="5.109375" style="864" customWidth="1"/>
    <col min="10509" max="10509" width="13.77734375" style="864" customWidth="1"/>
    <col min="10510" max="10752" width="9" style="864"/>
    <col min="10753" max="10753" width="4.88671875" style="864" customWidth="1"/>
    <col min="10754" max="10754" width="13.21875" style="864" customWidth="1"/>
    <col min="10755" max="10755" width="15.6640625" style="864" customWidth="1"/>
    <col min="10756" max="10756" width="9.33203125" style="864" bestFit="1" customWidth="1"/>
    <col min="10757" max="10757" width="13.44140625" style="864" customWidth="1"/>
    <col min="10758" max="10758" width="9" style="864"/>
    <col min="10759" max="10759" width="9.33203125" style="864" bestFit="1" customWidth="1"/>
    <col min="10760" max="10761" width="9" style="864"/>
    <col min="10762" max="10762" width="9.33203125" style="864" bestFit="1" customWidth="1"/>
    <col min="10763" max="10763" width="4" style="864" customWidth="1"/>
    <col min="10764" max="10764" width="5.109375" style="864" customWidth="1"/>
    <col min="10765" max="10765" width="13.77734375" style="864" customWidth="1"/>
    <col min="10766" max="11008" width="9" style="864"/>
    <col min="11009" max="11009" width="4.88671875" style="864" customWidth="1"/>
    <col min="11010" max="11010" width="13.21875" style="864" customWidth="1"/>
    <col min="11011" max="11011" width="15.6640625" style="864" customWidth="1"/>
    <col min="11012" max="11012" width="9.33203125" style="864" bestFit="1" customWidth="1"/>
    <col min="11013" max="11013" width="13.44140625" style="864" customWidth="1"/>
    <col min="11014" max="11014" width="9" style="864"/>
    <col min="11015" max="11015" width="9.33203125" style="864" bestFit="1" customWidth="1"/>
    <col min="11016" max="11017" width="9" style="864"/>
    <col min="11018" max="11018" width="9.33203125" style="864" bestFit="1" customWidth="1"/>
    <col min="11019" max="11019" width="4" style="864" customWidth="1"/>
    <col min="11020" max="11020" width="5.109375" style="864" customWidth="1"/>
    <col min="11021" max="11021" width="13.77734375" style="864" customWidth="1"/>
    <col min="11022" max="11264" width="9" style="864"/>
    <col min="11265" max="11265" width="4.88671875" style="864" customWidth="1"/>
    <col min="11266" max="11266" width="13.21875" style="864" customWidth="1"/>
    <col min="11267" max="11267" width="15.6640625" style="864" customWidth="1"/>
    <col min="11268" max="11268" width="9.33203125" style="864" bestFit="1" customWidth="1"/>
    <col min="11269" max="11269" width="13.44140625" style="864" customWidth="1"/>
    <col min="11270" max="11270" width="9" style="864"/>
    <col min="11271" max="11271" width="9.33203125" style="864" bestFit="1" customWidth="1"/>
    <col min="11272" max="11273" width="9" style="864"/>
    <col min="11274" max="11274" width="9.33203125" style="864" bestFit="1" customWidth="1"/>
    <col min="11275" max="11275" width="4" style="864" customWidth="1"/>
    <col min="11276" max="11276" width="5.109375" style="864" customWidth="1"/>
    <col min="11277" max="11277" width="13.77734375" style="864" customWidth="1"/>
    <col min="11278" max="11520" width="9" style="864"/>
    <col min="11521" max="11521" width="4.88671875" style="864" customWidth="1"/>
    <col min="11522" max="11522" width="13.21875" style="864" customWidth="1"/>
    <col min="11523" max="11523" width="15.6640625" style="864" customWidth="1"/>
    <col min="11524" max="11524" width="9.33203125" style="864" bestFit="1" customWidth="1"/>
    <col min="11525" max="11525" width="13.44140625" style="864" customWidth="1"/>
    <col min="11526" max="11526" width="9" style="864"/>
    <col min="11527" max="11527" width="9.33203125" style="864" bestFit="1" customWidth="1"/>
    <col min="11528" max="11529" width="9" style="864"/>
    <col min="11530" max="11530" width="9.33203125" style="864" bestFit="1" customWidth="1"/>
    <col min="11531" max="11531" width="4" style="864" customWidth="1"/>
    <col min="11532" max="11532" width="5.109375" style="864" customWidth="1"/>
    <col min="11533" max="11533" width="13.77734375" style="864" customWidth="1"/>
    <col min="11534" max="11776" width="9" style="864"/>
    <col min="11777" max="11777" width="4.88671875" style="864" customWidth="1"/>
    <col min="11778" max="11778" width="13.21875" style="864" customWidth="1"/>
    <col min="11779" max="11779" width="15.6640625" style="864" customWidth="1"/>
    <col min="11780" max="11780" width="9.33203125" style="864" bestFit="1" customWidth="1"/>
    <col min="11781" max="11781" width="13.44140625" style="864" customWidth="1"/>
    <col min="11782" max="11782" width="9" style="864"/>
    <col min="11783" max="11783" width="9.33203125" style="864" bestFit="1" customWidth="1"/>
    <col min="11784" max="11785" width="9" style="864"/>
    <col min="11786" max="11786" width="9.33203125" style="864" bestFit="1" customWidth="1"/>
    <col min="11787" max="11787" width="4" style="864" customWidth="1"/>
    <col min="11788" max="11788" width="5.109375" style="864" customWidth="1"/>
    <col min="11789" max="11789" width="13.77734375" style="864" customWidth="1"/>
    <col min="11790" max="12032" width="9" style="864"/>
    <col min="12033" max="12033" width="4.88671875" style="864" customWidth="1"/>
    <col min="12034" max="12034" width="13.21875" style="864" customWidth="1"/>
    <col min="12035" max="12035" width="15.6640625" style="864" customWidth="1"/>
    <col min="12036" max="12036" width="9.33203125" style="864" bestFit="1" customWidth="1"/>
    <col min="12037" max="12037" width="13.44140625" style="864" customWidth="1"/>
    <col min="12038" max="12038" width="9" style="864"/>
    <col min="12039" max="12039" width="9.33203125" style="864" bestFit="1" customWidth="1"/>
    <col min="12040" max="12041" width="9" style="864"/>
    <col min="12042" max="12042" width="9.33203125" style="864" bestFit="1" customWidth="1"/>
    <col min="12043" max="12043" width="4" style="864" customWidth="1"/>
    <col min="12044" max="12044" width="5.109375" style="864" customWidth="1"/>
    <col min="12045" max="12045" width="13.77734375" style="864" customWidth="1"/>
    <col min="12046" max="12288" width="9" style="864"/>
    <col min="12289" max="12289" width="4.88671875" style="864" customWidth="1"/>
    <col min="12290" max="12290" width="13.21875" style="864" customWidth="1"/>
    <col min="12291" max="12291" width="15.6640625" style="864" customWidth="1"/>
    <col min="12292" max="12292" width="9.33203125" style="864" bestFit="1" customWidth="1"/>
    <col min="12293" max="12293" width="13.44140625" style="864" customWidth="1"/>
    <col min="12294" max="12294" width="9" style="864"/>
    <col min="12295" max="12295" width="9.33203125" style="864" bestFit="1" customWidth="1"/>
    <col min="12296" max="12297" width="9" style="864"/>
    <col min="12298" max="12298" width="9.33203125" style="864" bestFit="1" customWidth="1"/>
    <col min="12299" max="12299" width="4" style="864" customWidth="1"/>
    <col min="12300" max="12300" width="5.109375" style="864" customWidth="1"/>
    <col min="12301" max="12301" width="13.77734375" style="864" customWidth="1"/>
    <col min="12302" max="12544" width="9" style="864"/>
    <col min="12545" max="12545" width="4.88671875" style="864" customWidth="1"/>
    <col min="12546" max="12546" width="13.21875" style="864" customWidth="1"/>
    <col min="12547" max="12547" width="15.6640625" style="864" customWidth="1"/>
    <col min="12548" max="12548" width="9.33203125" style="864" bestFit="1" customWidth="1"/>
    <col min="12549" max="12549" width="13.44140625" style="864" customWidth="1"/>
    <col min="12550" max="12550" width="9" style="864"/>
    <col min="12551" max="12551" width="9.33203125" style="864" bestFit="1" customWidth="1"/>
    <col min="12552" max="12553" width="9" style="864"/>
    <col min="12554" max="12554" width="9.33203125" style="864" bestFit="1" customWidth="1"/>
    <col min="12555" max="12555" width="4" style="864" customWidth="1"/>
    <col min="12556" max="12556" width="5.109375" style="864" customWidth="1"/>
    <col min="12557" max="12557" width="13.77734375" style="864" customWidth="1"/>
    <col min="12558" max="12800" width="9" style="864"/>
    <col min="12801" max="12801" width="4.88671875" style="864" customWidth="1"/>
    <col min="12802" max="12802" width="13.21875" style="864" customWidth="1"/>
    <col min="12803" max="12803" width="15.6640625" style="864" customWidth="1"/>
    <col min="12804" max="12804" width="9.33203125" style="864" bestFit="1" customWidth="1"/>
    <col min="12805" max="12805" width="13.44140625" style="864" customWidth="1"/>
    <col min="12806" max="12806" width="9" style="864"/>
    <col min="12807" max="12807" width="9.33203125" style="864" bestFit="1" customWidth="1"/>
    <col min="12808" max="12809" width="9" style="864"/>
    <col min="12810" max="12810" width="9.33203125" style="864" bestFit="1" customWidth="1"/>
    <col min="12811" max="12811" width="4" style="864" customWidth="1"/>
    <col min="12812" max="12812" width="5.109375" style="864" customWidth="1"/>
    <col min="12813" max="12813" width="13.77734375" style="864" customWidth="1"/>
    <col min="12814" max="13056" width="9" style="864"/>
    <col min="13057" max="13057" width="4.88671875" style="864" customWidth="1"/>
    <col min="13058" max="13058" width="13.21875" style="864" customWidth="1"/>
    <col min="13059" max="13059" width="15.6640625" style="864" customWidth="1"/>
    <col min="13060" max="13060" width="9.33203125" style="864" bestFit="1" customWidth="1"/>
    <col min="13061" max="13061" width="13.44140625" style="864" customWidth="1"/>
    <col min="13062" max="13062" width="9" style="864"/>
    <col min="13063" max="13063" width="9.33203125" style="864" bestFit="1" customWidth="1"/>
    <col min="13064" max="13065" width="9" style="864"/>
    <col min="13066" max="13066" width="9.33203125" style="864" bestFit="1" customWidth="1"/>
    <col min="13067" max="13067" width="4" style="864" customWidth="1"/>
    <col min="13068" max="13068" width="5.109375" style="864" customWidth="1"/>
    <col min="13069" max="13069" width="13.77734375" style="864" customWidth="1"/>
    <col min="13070" max="13312" width="9" style="864"/>
    <col min="13313" max="13313" width="4.88671875" style="864" customWidth="1"/>
    <col min="13314" max="13314" width="13.21875" style="864" customWidth="1"/>
    <col min="13315" max="13315" width="15.6640625" style="864" customWidth="1"/>
    <col min="13316" max="13316" width="9.33203125" style="864" bestFit="1" customWidth="1"/>
    <col min="13317" max="13317" width="13.44140625" style="864" customWidth="1"/>
    <col min="13318" max="13318" width="9" style="864"/>
    <col min="13319" max="13319" width="9.33203125" style="864" bestFit="1" customWidth="1"/>
    <col min="13320" max="13321" width="9" style="864"/>
    <col min="13322" max="13322" width="9.33203125" style="864" bestFit="1" customWidth="1"/>
    <col min="13323" max="13323" width="4" style="864" customWidth="1"/>
    <col min="13324" max="13324" width="5.109375" style="864" customWidth="1"/>
    <col min="13325" max="13325" width="13.77734375" style="864" customWidth="1"/>
    <col min="13326" max="13568" width="9" style="864"/>
    <col min="13569" max="13569" width="4.88671875" style="864" customWidth="1"/>
    <col min="13570" max="13570" width="13.21875" style="864" customWidth="1"/>
    <col min="13571" max="13571" width="15.6640625" style="864" customWidth="1"/>
    <col min="13572" max="13572" width="9.33203125" style="864" bestFit="1" customWidth="1"/>
    <col min="13573" max="13573" width="13.44140625" style="864" customWidth="1"/>
    <col min="13574" max="13574" width="9" style="864"/>
    <col min="13575" max="13575" width="9.33203125" style="864" bestFit="1" customWidth="1"/>
    <col min="13576" max="13577" width="9" style="864"/>
    <col min="13578" max="13578" width="9.33203125" style="864" bestFit="1" customWidth="1"/>
    <col min="13579" max="13579" width="4" style="864" customWidth="1"/>
    <col min="13580" max="13580" width="5.109375" style="864" customWidth="1"/>
    <col min="13581" max="13581" width="13.77734375" style="864" customWidth="1"/>
    <col min="13582" max="13824" width="9" style="864"/>
    <col min="13825" max="13825" width="4.88671875" style="864" customWidth="1"/>
    <col min="13826" max="13826" width="13.21875" style="864" customWidth="1"/>
    <col min="13827" max="13827" width="15.6640625" style="864" customWidth="1"/>
    <col min="13828" max="13828" width="9.33203125" style="864" bestFit="1" customWidth="1"/>
    <col min="13829" max="13829" width="13.44140625" style="864" customWidth="1"/>
    <col min="13830" max="13830" width="9" style="864"/>
    <col min="13831" max="13831" width="9.33203125" style="864" bestFit="1" customWidth="1"/>
    <col min="13832" max="13833" width="9" style="864"/>
    <col min="13834" max="13834" width="9.33203125" style="864" bestFit="1" customWidth="1"/>
    <col min="13835" max="13835" width="4" style="864" customWidth="1"/>
    <col min="13836" max="13836" width="5.109375" style="864" customWidth="1"/>
    <col min="13837" max="13837" width="13.77734375" style="864" customWidth="1"/>
    <col min="13838" max="14080" width="9" style="864"/>
    <col min="14081" max="14081" width="4.88671875" style="864" customWidth="1"/>
    <col min="14082" max="14082" width="13.21875" style="864" customWidth="1"/>
    <col min="14083" max="14083" width="15.6640625" style="864" customWidth="1"/>
    <col min="14084" max="14084" width="9.33203125" style="864" bestFit="1" customWidth="1"/>
    <col min="14085" max="14085" width="13.44140625" style="864" customWidth="1"/>
    <col min="14086" max="14086" width="9" style="864"/>
    <col min="14087" max="14087" width="9.33203125" style="864" bestFit="1" customWidth="1"/>
    <col min="14088" max="14089" width="9" style="864"/>
    <col min="14090" max="14090" width="9.33203125" style="864" bestFit="1" customWidth="1"/>
    <col min="14091" max="14091" width="4" style="864" customWidth="1"/>
    <col min="14092" max="14092" width="5.109375" style="864" customWidth="1"/>
    <col min="14093" max="14093" width="13.77734375" style="864" customWidth="1"/>
    <col min="14094" max="14336" width="9" style="864"/>
    <col min="14337" max="14337" width="4.88671875" style="864" customWidth="1"/>
    <col min="14338" max="14338" width="13.21875" style="864" customWidth="1"/>
    <col min="14339" max="14339" width="15.6640625" style="864" customWidth="1"/>
    <col min="14340" max="14340" width="9.33203125" style="864" bestFit="1" customWidth="1"/>
    <col min="14341" max="14341" width="13.44140625" style="864" customWidth="1"/>
    <col min="14342" max="14342" width="9" style="864"/>
    <col min="14343" max="14343" width="9.33203125" style="864" bestFit="1" customWidth="1"/>
    <col min="14344" max="14345" width="9" style="864"/>
    <col min="14346" max="14346" width="9.33203125" style="864" bestFit="1" customWidth="1"/>
    <col min="14347" max="14347" width="4" style="864" customWidth="1"/>
    <col min="14348" max="14348" width="5.109375" style="864" customWidth="1"/>
    <col min="14349" max="14349" width="13.77734375" style="864" customWidth="1"/>
    <col min="14350" max="14592" width="9" style="864"/>
    <col min="14593" max="14593" width="4.88671875" style="864" customWidth="1"/>
    <col min="14594" max="14594" width="13.21875" style="864" customWidth="1"/>
    <col min="14595" max="14595" width="15.6640625" style="864" customWidth="1"/>
    <col min="14596" max="14596" width="9.33203125" style="864" bestFit="1" customWidth="1"/>
    <col min="14597" max="14597" width="13.44140625" style="864" customWidth="1"/>
    <col min="14598" max="14598" width="9" style="864"/>
    <col min="14599" max="14599" width="9.33203125" style="864" bestFit="1" customWidth="1"/>
    <col min="14600" max="14601" width="9" style="864"/>
    <col min="14602" max="14602" width="9.33203125" style="864" bestFit="1" customWidth="1"/>
    <col min="14603" max="14603" width="4" style="864" customWidth="1"/>
    <col min="14604" max="14604" width="5.109375" style="864" customWidth="1"/>
    <col min="14605" max="14605" width="13.77734375" style="864" customWidth="1"/>
    <col min="14606" max="14848" width="9" style="864"/>
    <col min="14849" max="14849" width="4.88671875" style="864" customWidth="1"/>
    <col min="14850" max="14850" width="13.21875" style="864" customWidth="1"/>
    <col min="14851" max="14851" width="15.6640625" style="864" customWidth="1"/>
    <col min="14852" max="14852" width="9.33203125" style="864" bestFit="1" customWidth="1"/>
    <col min="14853" max="14853" width="13.44140625" style="864" customWidth="1"/>
    <col min="14854" max="14854" width="9" style="864"/>
    <col min="14855" max="14855" width="9.33203125" style="864" bestFit="1" customWidth="1"/>
    <col min="14856" max="14857" width="9" style="864"/>
    <col min="14858" max="14858" width="9.33203125" style="864" bestFit="1" customWidth="1"/>
    <col min="14859" max="14859" width="4" style="864" customWidth="1"/>
    <col min="14860" max="14860" width="5.109375" style="864" customWidth="1"/>
    <col min="14861" max="14861" width="13.77734375" style="864" customWidth="1"/>
    <col min="14862" max="15104" width="9" style="864"/>
    <col min="15105" max="15105" width="4.88671875" style="864" customWidth="1"/>
    <col min="15106" max="15106" width="13.21875" style="864" customWidth="1"/>
    <col min="15107" max="15107" width="15.6640625" style="864" customWidth="1"/>
    <col min="15108" max="15108" width="9.33203125" style="864" bestFit="1" customWidth="1"/>
    <col min="15109" max="15109" width="13.44140625" style="864" customWidth="1"/>
    <col min="15110" max="15110" width="9" style="864"/>
    <col min="15111" max="15111" width="9.33203125" style="864" bestFit="1" customWidth="1"/>
    <col min="15112" max="15113" width="9" style="864"/>
    <col min="15114" max="15114" width="9.33203125" style="864" bestFit="1" customWidth="1"/>
    <col min="15115" max="15115" width="4" style="864" customWidth="1"/>
    <col min="15116" max="15116" width="5.109375" style="864" customWidth="1"/>
    <col min="15117" max="15117" width="13.77734375" style="864" customWidth="1"/>
    <col min="15118" max="15360" width="9" style="864"/>
    <col min="15361" max="15361" width="4.88671875" style="864" customWidth="1"/>
    <col min="15362" max="15362" width="13.21875" style="864" customWidth="1"/>
    <col min="15363" max="15363" width="15.6640625" style="864" customWidth="1"/>
    <col min="15364" max="15364" width="9.33203125" style="864" bestFit="1" customWidth="1"/>
    <col min="15365" max="15365" width="13.44140625" style="864" customWidth="1"/>
    <col min="15366" max="15366" width="9" style="864"/>
    <col min="15367" max="15367" width="9.33203125" style="864" bestFit="1" customWidth="1"/>
    <col min="15368" max="15369" width="9" style="864"/>
    <col min="15370" max="15370" width="9.33203125" style="864" bestFit="1" customWidth="1"/>
    <col min="15371" max="15371" width="4" style="864" customWidth="1"/>
    <col min="15372" max="15372" width="5.109375" style="864" customWidth="1"/>
    <col min="15373" max="15373" width="13.77734375" style="864" customWidth="1"/>
    <col min="15374" max="15616" width="9" style="864"/>
    <col min="15617" max="15617" width="4.88671875" style="864" customWidth="1"/>
    <col min="15618" max="15618" width="13.21875" style="864" customWidth="1"/>
    <col min="15619" max="15619" width="15.6640625" style="864" customWidth="1"/>
    <col min="15620" max="15620" width="9.33203125" style="864" bestFit="1" customWidth="1"/>
    <col min="15621" max="15621" width="13.44140625" style="864" customWidth="1"/>
    <col min="15622" max="15622" width="9" style="864"/>
    <col min="15623" max="15623" width="9.33203125" style="864" bestFit="1" customWidth="1"/>
    <col min="15624" max="15625" width="9" style="864"/>
    <col min="15626" max="15626" width="9.33203125" style="864" bestFit="1" customWidth="1"/>
    <col min="15627" max="15627" width="4" style="864" customWidth="1"/>
    <col min="15628" max="15628" width="5.109375" style="864" customWidth="1"/>
    <col min="15629" max="15629" width="13.77734375" style="864" customWidth="1"/>
    <col min="15630" max="15872" width="9" style="864"/>
    <col min="15873" max="15873" width="4.88671875" style="864" customWidth="1"/>
    <col min="15874" max="15874" width="13.21875" style="864" customWidth="1"/>
    <col min="15875" max="15875" width="15.6640625" style="864" customWidth="1"/>
    <col min="15876" max="15876" width="9.33203125" style="864" bestFit="1" customWidth="1"/>
    <col min="15877" max="15877" width="13.44140625" style="864" customWidth="1"/>
    <col min="15878" max="15878" width="9" style="864"/>
    <col min="15879" max="15879" width="9.33203125" style="864" bestFit="1" customWidth="1"/>
    <col min="15880" max="15881" width="9" style="864"/>
    <col min="15882" max="15882" width="9.33203125" style="864" bestFit="1" customWidth="1"/>
    <col min="15883" max="15883" width="4" style="864" customWidth="1"/>
    <col min="15884" max="15884" width="5.109375" style="864" customWidth="1"/>
    <col min="15885" max="15885" width="13.77734375" style="864" customWidth="1"/>
    <col min="15886" max="16128" width="9" style="864"/>
    <col min="16129" max="16129" width="4.88671875" style="864" customWidth="1"/>
    <col min="16130" max="16130" width="13.21875" style="864" customWidth="1"/>
    <col min="16131" max="16131" width="15.6640625" style="864" customWidth="1"/>
    <col min="16132" max="16132" width="9.33203125" style="864" bestFit="1" customWidth="1"/>
    <col min="16133" max="16133" width="13.44140625" style="864" customWidth="1"/>
    <col min="16134" max="16134" width="9" style="864"/>
    <col min="16135" max="16135" width="9.33203125" style="864" bestFit="1" customWidth="1"/>
    <col min="16136" max="16137" width="9" style="864"/>
    <col min="16138" max="16138" width="9.33203125" style="864" bestFit="1" customWidth="1"/>
    <col min="16139" max="16139" width="4" style="864" customWidth="1"/>
    <col min="16140" max="16140" width="5.109375" style="864" customWidth="1"/>
    <col min="16141" max="16141" width="13.77734375" style="864" customWidth="1"/>
    <col min="16142" max="16384" width="9" style="864"/>
  </cols>
  <sheetData>
    <row r="1" spans="1:257" s="910" customFormat="1" ht="1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6"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399999999999999">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2">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1.2">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6">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5.6">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5.6">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5.6">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6.8">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5.6">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6">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5.6">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5.6">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5.6">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5.6">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5.6">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69" t="s">
        <v>936</v>
      </c>
      <c r="B1" s="4169"/>
      <c r="C1" s="4169"/>
      <c r="D1" s="4169"/>
    </row>
    <row r="2" spans="1:4" ht="17.399999999999999">
      <c r="A2" s="4170" t="s">
        <v>920</v>
      </c>
      <c r="B2" s="4170"/>
      <c r="C2" s="4170"/>
      <c r="D2" s="4170"/>
    </row>
    <row r="3" spans="1:4" ht="17.399999999999999">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7.399999999999999">
      <c r="A6" s="4170" t="s">
        <v>926</v>
      </c>
      <c r="B6" s="4170"/>
      <c r="C6" s="4170"/>
      <c r="D6" s="4170"/>
    </row>
    <row r="7" spans="1:4" ht="17.399999999999999">
      <c r="A7" s="1089" t="s">
        <v>921</v>
      </c>
      <c r="B7" s="1091" t="s">
        <v>927</v>
      </c>
      <c r="C7" s="1089" t="s">
        <v>923</v>
      </c>
      <c r="D7" s="1089" t="s">
        <v>924</v>
      </c>
    </row>
    <row r="8" spans="1:4" ht="56.25" customHeight="1">
      <c r="A8" s="1095" t="s">
        <v>384</v>
      </c>
      <c r="B8" s="1095" t="s">
        <v>0</v>
      </c>
      <c r="C8" s="1092"/>
      <c r="D8" s="1093" t="s">
        <v>925</v>
      </c>
    </row>
    <row r="10" spans="1:4" ht="17.399999999999999">
      <c r="A10" s="1096" t="s">
        <v>928</v>
      </c>
    </row>
    <row r="11" spans="1:4" ht="30" customHeight="1">
      <c r="A11" s="4171" t="s">
        <v>929</v>
      </c>
      <c r="B11" s="4163"/>
      <c r="C11" s="4163"/>
      <c r="D11" s="4163"/>
    </row>
    <row r="12" spans="1:4" ht="15.6">
      <c r="A12" s="4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8"/>
      <c r="C12" s="4168"/>
      <c r="D12" s="4168"/>
    </row>
    <row r="13" spans="1:4" ht="30" customHeight="1">
      <c r="A13" s="4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8"/>
      <c r="C13" s="4168"/>
      <c r="D13" s="4168"/>
    </row>
    <row r="14" spans="1:4" ht="15.75" customHeight="1">
      <c r="A14" s="4163" t="str">
        <f>IF(项目基本情况!B8="抵押","4.本次评估估价师所知悉的法定优先受偿款情况说明如下：","——")</f>
        <v>4.本次评估估价师所知悉的法定优先受偿款情况说明如下：</v>
      </c>
      <c r="B14" s="4168"/>
      <c r="C14" s="4168"/>
      <c r="D14" s="4168"/>
    </row>
    <row r="15" spans="1:4" ht="42" customHeight="1">
      <c r="A15" s="4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3"/>
      <c r="C15" s="4163"/>
      <c r="D15" s="4163"/>
    </row>
    <row r="16" spans="1:4" ht="30" customHeight="1">
      <c r="A16" s="4165" t="s">
        <v>930</v>
      </c>
      <c r="B16" s="4165"/>
      <c r="C16" s="4165"/>
      <c r="D16" s="4165"/>
    </row>
    <row r="17" spans="1:4" ht="144" customHeight="1">
      <c r="A17" s="4165" t="s">
        <v>931</v>
      </c>
      <c r="B17" s="4165"/>
      <c r="C17" s="4165"/>
      <c r="D17" s="4165"/>
    </row>
    <row r="18" spans="1:4" ht="15.75" customHeight="1">
      <c r="A18" s="4163" t="str">
        <f>IF(项目基本情况!B8="抵押",结果表!K120,"——")</f>
        <v>故，本次评估估价师知悉的法定优先受偿款为人民币1638万元整。</v>
      </c>
      <c r="B18" s="4163"/>
      <c r="C18" s="4163"/>
      <c r="D18" s="4163"/>
    </row>
    <row r="19" spans="1:4" ht="46.5" customHeight="1">
      <c r="A19" s="4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3"/>
      <c r="C19" s="4163"/>
      <c r="D19" s="4163"/>
    </row>
    <row r="20" spans="1:4" ht="57.75" customHeight="1">
      <c r="A20" s="4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3"/>
      <c r="C20" s="4163"/>
      <c r="D20" s="4163"/>
    </row>
    <row r="21" spans="1:4" ht="57.75" customHeight="1">
      <c r="A21" s="4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6"/>
      <c r="C21" s="4166"/>
      <c r="D21" s="4166"/>
    </row>
    <row r="22" spans="1:4" ht="18.75" customHeight="1">
      <c r="A22" s="4167" t="s">
        <v>932</v>
      </c>
      <c r="B22" s="4167"/>
      <c r="C22" s="4167"/>
      <c r="D22" s="4167"/>
    </row>
    <row r="23" spans="1:4">
      <c r="A23" s="1097"/>
      <c r="B23" s="1070"/>
      <c r="C23" s="1070"/>
      <c r="D23" s="1070"/>
    </row>
    <row r="24" spans="1:4">
      <c r="A24" s="1097"/>
      <c r="B24" s="1070"/>
      <c r="C24" s="1070"/>
      <c r="D24" s="1070"/>
    </row>
    <row r="25" spans="1:4" ht="17.399999999999999">
      <c r="A25" s="1098" t="s">
        <v>933</v>
      </c>
    </row>
    <row r="26" spans="1:4" ht="17.399999999999999">
      <c r="A26" s="1068"/>
    </row>
    <row r="27" spans="1:4" ht="17.399999999999999">
      <c r="A27" s="1068" t="s">
        <v>934</v>
      </c>
    </row>
    <row r="30" spans="1:4" ht="17.399999999999999">
      <c r="D30" s="1098" t="s">
        <v>935</v>
      </c>
    </row>
    <row r="31" spans="1:4" ht="13.5" customHeight="1">
      <c r="C31" s="4164">
        <v>42551</v>
      </c>
      <c r="D31" s="416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60" customWidth="1"/>
    <col min="3" max="10" width="12.44140625" style="1060" customWidth="1"/>
    <col min="11" max="16384" width="9" style="1060"/>
  </cols>
  <sheetData>
    <row r="1" spans="1:1" ht="17.399999999999999">
      <c r="A1" s="1088" t="s">
        <v>385</v>
      </c>
    </row>
    <row r="2" spans="1:1" ht="17.399999999999999">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44140625" defaultRowHeight="15.6"/>
  <cols>
    <col min="1" max="1" width="14.44140625" style="1104" customWidth="1"/>
    <col min="2" max="16384" width="14.44140625" style="1087"/>
  </cols>
  <sheetData>
    <row r="1" spans="1:7" s="1101" customFormat="1" ht="17.399999999999999">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4">
      <c r="A15" s="4177" t="s">
        <v>943</v>
      </c>
      <c r="B15" s="4172" t="s">
        <v>107</v>
      </c>
      <c r="C15" s="4173"/>
    </row>
    <row r="16" spans="1:7" ht="14.4">
      <c r="A16" s="4178"/>
      <c r="B16" s="4172" t="s">
        <v>40</v>
      </c>
      <c r="C16" s="4173"/>
    </row>
    <row r="17" spans="1:3" ht="14.4">
      <c r="A17" s="4178"/>
      <c r="B17" s="4175" t="s">
        <v>944</v>
      </c>
      <c r="C17" s="1111" t="s">
        <v>943</v>
      </c>
    </row>
    <row r="18" spans="1:3" ht="14.4">
      <c r="A18" s="4178"/>
      <c r="B18" s="4175"/>
      <c r="C18" s="1111" t="s">
        <v>945</v>
      </c>
    </row>
    <row r="19" spans="1:3" ht="14.4">
      <c r="A19" s="4178"/>
      <c r="B19" s="4175"/>
      <c r="C19" s="1111" t="s">
        <v>946</v>
      </c>
    </row>
    <row r="20" spans="1:3" ht="14.4">
      <c r="A20" s="4179"/>
      <c r="B20" s="4174" t="s">
        <v>947</v>
      </c>
      <c r="C20" s="4173"/>
    </row>
    <row r="21" spans="1:3" ht="14.4">
      <c r="A21" s="1112" t="s">
        <v>948</v>
      </c>
      <c r="B21" s="1113"/>
      <c r="C21" s="1114"/>
    </row>
    <row r="22" spans="1:3" ht="14.4">
      <c r="A22" s="4176" t="s">
        <v>949</v>
      </c>
      <c r="B22" s="4174" t="s">
        <v>950</v>
      </c>
      <c r="C22" s="4173"/>
    </row>
    <row r="23" spans="1:3" ht="14.4">
      <c r="A23" s="4176"/>
      <c r="B23" s="4174" t="s">
        <v>951</v>
      </c>
      <c r="C23" s="4173"/>
    </row>
    <row r="24" spans="1:3" ht="14.4">
      <c r="A24" s="4176"/>
      <c r="B24" s="4174" t="s">
        <v>952</v>
      </c>
      <c r="C24" s="4173"/>
    </row>
    <row r="25" spans="1:3" ht="14.4">
      <c r="A25" s="4176"/>
      <c r="B25" s="4175" t="s">
        <v>953</v>
      </c>
      <c r="C25" s="1111" t="s">
        <v>954</v>
      </c>
    </row>
    <row r="26" spans="1:3" ht="14.4">
      <c r="A26" s="4176"/>
      <c r="B26" s="4175"/>
      <c r="C26" s="1111" t="s">
        <v>955</v>
      </c>
    </row>
    <row r="27" spans="1:3" ht="14.4">
      <c r="A27" s="4176"/>
      <c r="B27" s="4175"/>
      <c r="C27" s="1111" t="s">
        <v>956</v>
      </c>
    </row>
    <row r="28" spans="1:3" ht="14.4">
      <c r="A28" s="4176"/>
      <c r="B28" s="4175"/>
      <c r="C28" s="1111" t="s">
        <v>957</v>
      </c>
    </row>
    <row r="29" spans="1:3" ht="14.4">
      <c r="A29" s="4176"/>
      <c r="B29" s="4175"/>
      <c r="C29" s="1111" t="s">
        <v>958</v>
      </c>
    </row>
    <row r="30" spans="1:3" ht="14.4">
      <c r="A30" s="4176"/>
      <c r="B30" s="4175"/>
      <c r="C30" s="1111" t="s">
        <v>959</v>
      </c>
    </row>
    <row r="31" spans="1:3" ht="14.4">
      <c r="A31" s="4176"/>
      <c r="B31" s="4175"/>
      <c r="C31" s="1111" t="s">
        <v>960</v>
      </c>
    </row>
    <row r="32" spans="1:3" ht="14.4">
      <c r="A32" s="4176"/>
      <c r="B32" s="4175"/>
      <c r="C32" s="1111" t="s">
        <v>961</v>
      </c>
    </row>
    <row r="33" spans="1:3" ht="14.4">
      <c r="A33" s="4176"/>
      <c r="B33" s="4175"/>
      <c r="C33" s="1111" t="s">
        <v>962</v>
      </c>
    </row>
    <row r="34" spans="1:3">
      <c r="A34" s="1115" t="s">
        <v>47</v>
      </c>
    </row>
    <row r="37" spans="1:3">
      <c r="A37" s="1115" t="s">
        <v>963</v>
      </c>
    </row>
    <row r="38" spans="1:3" ht="14.4">
      <c r="A38" s="1116" t="s">
        <v>48</v>
      </c>
    </row>
    <row r="39" spans="1:3" ht="14.4">
      <c r="A39" s="1116" t="s">
        <v>49</v>
      </c>
    </row>
    <row r="40" spans="1:3" ht="14.4">
      <c r="A40" s="1116" t="s">
        <v>50</v>
      </c>
    </row>
    <row r="41" spans="1:3" ht="14.4">
      <c r="A41" s="1117" t="s">
        <v>51</v>
      </c>
    </row>
    <row r="42" spans="1:3" ht="14.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49" customWidth="1"/>
    <col min="2" max="2" width="38.6640625" style="1749" customWidth="1"/>
    <col min="3" max="3" width="26" style="1749" customWidth="1"/>
    <col min="4" max="4" width="35" style="1749" hidden="1" customWidth="1"/>
    <col min="5" max="5" width="30.109375" style="1749" customWidth="1"/>
    <col min="6" max="6" width="35.44140625" style="1749" customWidth="1"/>
    <col min="7" max="7" width="31" style="1749" customWidth="1"/>
    <col min="8" max="8" width="37.44140625" style="1749" hidden="1" customWidth="1"/>
    <col min="9" max="16384" width="22.6640625" style="1749"/>
  </cols>
  <sheetData>
    <row r="1" spans="1:8" ht="24" customHeight="1">
      <c r="A1" s="1748"/>
      <c r="B1" s="1748"/>
      <c r="C1" s="1748"/>
      <c r="D1" s="1748"/>
      <c r="E1" s="1748"/>
      <c r="F1" s="1748"/>
      <c r="G1" s="1748"/>
      <c r="H1" s="1748"/>
    </row>
    <row r="2" spans="1:8" ht="24" customHeight="1">
      <c r="A2" s="1750" t="s">
        <v>2055</v>
      </c>
      <c r="B2" s="1751">
        <f ca="1">TODAY()</f>
        <v>46051</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0" t="s">
        <v>2076</v>
      </c>
      <c r="B17" s="4180"/>
      <c r="C17" s="4180"/>
      <c r="D17" s="4180"/>
      <c r="E17" s="4180"/>
      <c r="F17" s="4180"/>
      <c r="G17" s="4180"/>
      <c r="H17" s="4180"/>
    </row>
    <row r="18" spans="1:8" ht="24" customHeight="1">
      <c r="A18" s="4181" t="s">
        <v>2077</v>
      </c>
      <c r="B18" s="4181"/>
      <c r="C18" s="4181"/>
      <c r="D18" s="1754"/>
      <c r="E18" s="4182" t="s">
        <v>2078</v>
      </c>
      <c r="F18" s="4181"/>
      <c r="G18" s="4181"/>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2026-01-29T01:55:18Z</dcterms:modified>
</cp:coreProperties>
</file>