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esktop\吴姐3套重估\2025-1-E000454曲洋悠乐汇-吴姐询价-单价：约22000元，总价：约123万\"/>
    </mc:Choice>
  </mc:AlternateContent>
  <xr:revisionPtr revIDLastSave="0" documentId="13_ncr:1_{40AFCC80-A519-4513-AD1A-64839A3B4143}" xr6:coauthVersionLast="47" xr6:coauthVersionMax="47" xr10:uidLastSave="{00000000-0000-0000-0000-000000000000}"/>
  <bookViews>
    <workbookView xWindow="-110" yWindow="-110" windowWidth="25820" windowHeight="14020" tabRatio="899" firstSheet="10" activeTab="16"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悠乐汇案例" sheetId="80" r:id="rId20"/>
    <sheet name="信息" sheetId="81" r:id="rId21"/>
    <sheet name="假设开发法" sheetId="12" state="hidden" r:id="rId22"/>
    <sheet name="收益法" sheetId="15" state="hidden" r:id="rId23"/>
    <sheet name="比较法-办公" sheetId="34" r:id="rId24"/>
    <sheet name="收益法 (元)" sheetId="67" r:id="rId25"/>
    <sheet name="收益法-酒店模型" sheetId="77" state="hidden" r:id="rId26"/>
    <sheet name="收益法（汇总）" sheetId="70" state="hidden" r:id="rId27"/>
    <sheet name="比较法-住宅" sheetId="21" state="hidden" r:id="rId28"/>
    <sheet name="比较法-商业" sheetId="33" state="hidden" r:id="rId29"/>
    <sheet name="比较法-工业" sheetId="37" state="hidden" r:id="rId30"/>
    <sheet name="比较法-车位" sheetId="35" state="hidden" r:id="rId31"/>
    <sheet name="比较法-仓储" sheetId="36" state="hidden" r:id="rId32"/>
    <sheet name="土地比较法-住宅、综合" sheetId="39" state="hidden" r:id="rId33"/>
    <sheet name="土地比较法-工业" sheetId="40" state="hidden" r:id="rId34"/>
    <sheet name="典型户型修正" sheetId="31" state="hidden" r:id="rId35"/>
    <sheet name="基准地价（汇总）" sheetId="76" state="hidden" r:id="rId36"/>
    <sheet name="成本法 (元)" sheetId="69" r:id="rId37"/>
    <sheet name="基准地价修正" sheetId="43" r:id="rId38"/>
    <sheet name="修正" sheetId="45" state="hidden" r:id="rId39"/>
    <sheet name="容积率修正" sheetId="46" state="hidden" r:id="rId40"/>
    <sheet name="成本法（废）" sheetId="11" state="hidden" r:id="rId41"/>
    <sheet name="因素修正幅度" sheetId="65" state="hidden" r:id="rId42"/>
    <sheet name="区片价（范围）" sheetId="75" state="hidden" r:id="rId43"/>
    <sheet name="地价-分区" sheetId="79" r:id="rId44"/>
    <sheet name="地价" sheetId="71" r:id="rId45"/>
    <sheet name="区片价" sheetId="44" r:id="rId46"/>
    <sheet name="存贷款利率" sheetId="73" r:id="rId47"/>
  </sheets>
  <externalReferences>
    <externalReference r:id="rId48"/>
  </externalReferences>
  <definedNames>
    <definedName name="_xlnm._FilterDatabase" localSheetId="23"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32" hidden="1">'土地比较法-住宅、综合'!$A$1:$L$48</definedName>
    <definedName name="_xlnm._FilterDatabase" localSheetId="11" hidden="1">项目基本情况!$A$42:$N$42</definedName>
    <definedName name="_xlnm.Print_Area" localSheetId="23">'比较法-办公'!$A$1:$K$55,'比较法-办公'!$A$58:$M$132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36">'成本法 (元)'!$A$1:$G$57</definedName>
    <definedName name="_xlnm.Print_Area" localSheetId="15">估价对象房地状况!$A$1:$G$24</definedName>
    <definedName name="_xlnm.Print_Area" localSheetId="8">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7">结果表!$A$1:$I$127</definedName>
    <definedName name="_xlnm.Print_Area" localSheetId="22">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3">'土地比较法-工业'!$A$1:$K$61,'土地比较法-工业'!$A$64:$M$121</definedName>
    <definedName name="_xlnm.Print_Area" localSheetId="32">'土地比较法-住宅、综合'!$A$1:$K$65,'土地比较法-住宅、综合'!$A$68:$M$131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H25" i="9" l="1"/>
  <c r="D33" i="43"/>
  <c r="B14" i="74"/>
  <c r="C34" i="34"/>
  <c r="I37" i="34"/>
  <c r="G37" i="34"/>
  <c r="E37" i="34"/>
  <c r="C37" i="34"/>
  <c r="E105" i="34"/>
  <c r="F105" i="34" s="1"/>
  <c r="D105" i="34"/>
  <c r="E67" i="34"/>
  <c r="D67" i="34" s="1"/>
  <c r="C67" i="34" s="1"/>
  <c r="F67" i="34"/>
  <c r="J49" i="67"/>
  <c r="N6" i="1"/>
  <c r="Y6" i="1" s="1"/>
  <c r="N19" i="1"/>
  <c r="F19" i="6"/>
  <c r="B57" i="1"/>
  <c r="B21" i="1"/>
  <c r="E27" i="45"/>
  <c r="G14" i="73" l="1"/>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c r="AO36" i="79" s="1"/>
  <c r="AO37" i="79" s="1"/>
  <c r="AO38" i="79" s="1"/>
  <c r="AO39" i="79" s="1"/>
  <c r="AO40" i="79" s="1"/>
  <c r="AO41" i="79" s="1"/>
  <c r="AO42" i="79" s="1"/>
  <c r="AO43" i="79" s="1"/>
  <c r="AO44" i="79" s="1"/>
  <c r="AO45" i="79" s="1"/>
  <c r="AO46" i="79" s="1"/>
  <c r="AO47" i="79" s="1"/>
  <c r="AO48" i="79" s="1"/>
  <c r="AO49" i="79" s="1"/>
  <c r="AO50" i="79" s="1"/>
  <c r="AO51" i="79" s="1"/>
  <c r="AO52" i="79" s="1"/>
  <c r="AN35" i="79"/>
  <c r="AN36" i="79" s="1"/>
  <c r="AN37" i="79" s="1"/>
  <c r="AN38" i="79" s="1"/>
  <c r="AN39" i="79" s="1"/>
  <c r="AN40" i="79" s="1"/>
  <c r="AN41" i="79" s="1"/>
  <c r="AN42" i="79" s="1"/>
  <c r="AN43" i="79" s="1"/>
  <c r="AN44" i="79" s="1"/>
  <c r="AN45" i="79" s="1"/>
  <c r="AN46" i="79" s="1"/>
  <c r="AN47" i="79" s="1"/>
  <c r="AN48" i="79" s="1"/>
  <c r="AN49" i="79" s="1"/>
  <c r="AN50" i="79" s="1"/>
  <c r="AN51" i="79" s="1"/>
  <c r="AN52" i="79" s="1"/>
  <c r="AN34" i="79"/>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Q7" i="79"/>
  <c r="AQ8" i="79" s="1"/>
  <c r="AQ9" i="79" s="1"/>
  <c r="AQ10" i="79" s="1"/>
  <c r="AQ11" i="79" s="1"/>
  <c r="AQ12" i="79" s="1"/>
  <c r="AQ13" i="79" s="1"/>
  <c r="AQ14" i="79" s="1"/>
  <c r="AQ15" i="79" s="1"/>
  <c r="AQ16" i="79" s="1"/>
  <c r="AQ17" i="79" s="1"/>
  <c r="AQ18" i="79" s="1"/>
  <c r="AQ19" i="79" s="1"/>
  <c r="AQ20" i="79" s="1"/>
  <c r="AQ21" i="79" s="1"/>
  <c r="AQ22" i="79" s="1"/>
  <c r="AQ23" i="79" s="1"/>
  <c r="AQ24" i="79" s="1"/>
  <c r="AN7" i="79"/>
  <c r="AN8" i="79" s="1"/>
  <c r="AN9" i="79" s="1"/>
  <c r="AN10" i="79" s="1"/>
  <c r="AN11" i="79" s="1"/>
  <c r="AN12" i="79" s="1"/>
  <c r="AN13" i="79" s="1"/>
  <c r="AN14" i="79" s="1"/>
  <c r="AN15" i="79" s="1"/>
  <c r="AN16" i="79" s="1"/>
  <c r="AN17" i="79" s="1"/>
  <c r="AN18" i="79" s="1"/>
  <c r="AN19" i="79" s="1"/>
  <c r="AN20" i="79" s="1"/>
  <c r="AN21" i="79" s="1"/>
  <c r="AN22" i="79" s="1"/>
  <c r="AN23" i="79" s="1"/>
  <c r="AN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AB33" i="79" l="1"/>
  <c r="AA33" i="79"/>
  <c r="Z33" i="79"/>
  <c r="N33" i="79"/>
  <c r="M33" i="79"/>
  <c r="P33" i="79" s="1"/>
  <c r="L33" i="79"/>
  <c r="I33" i="79"/>
  <c r="AB34" i="79"/>
  <c r="AA34" i="79"/>
  <c r="Z34" i="79"/>
  <c r="N34" i="79"/>
  <c r="M34" i="79"/>
  <c r="P34" i="79" s="1"/>
  <c r="L34" i="79"/>
  <c r="I34" i="79"/>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R7" i="79" l="1"/>
  <c r="AD33" i="79"/>
  <c r="AR34" i="79"/>
  <c r="AR35" i="79" s="1"/>
  <c r="AR36" i="79" s="1"/>
  <c r="AR8" i="79"/>
  <c r="D60" i="78"/>
  <c r="C60" i="78"/>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S20" i="79" s="1"/>
  <c r="AG20" i="79" s="1"/>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T33" i="79" l="1"/>
  <c r="T35" i="79"/>
  <c r="T34" i="79"/>
  <c r="W22" i="79"/>
  <c r="AK22" i="79" s="1"/>
  <c r="AH22" i="79"/>
  <c r="AD36" i="79"/>
  <c r="AD35" i="79"/>
  <c r="AD38" i="79"/>
  <c r="AD34" i="79"/>
  <c r="AD37" i="79"/>
  <c r="AR40" i="79"/>
  <c r="AR41" i="79" s="1"/>
  <c r="AR42" i="79" s="1"/>
  <c r="AR43" i="79" s="1"/>
  <c r="AR44" i="79" s="1"/>
  <c r="AR45" i="79" s="1"/>
  <c r="AR46" i="79" s="1"/>
  <c r="AR47" i="79" s="1"/>
  <c r="AR48" i="79" s="1"/>
  <c r="AR49" i="79" s="1"/>
  <c r="AR50" i="79" s="1"/>
  <c r="AR51" i="79" s="1"/>
  <c r="AR52" i="79" s="1"/>
  <c r="Z3" i="79"/>
  <c r="S34" i="79"/>
  <c r="AG34" i="79" s="1"/>
  <c r="S33" i="79"/>
  <c r="AG33" i="79" s="1"/>
  <c r="S35" i="79"/>
  <c r="AG35" i="79" s="1"/>
  <c r="AA31" i="79"/>
  <c r="AD31" i="79" s="1"/>
  <c r="T40" i="79"/>
  <c r="U46" i="79"/>
  <c r="AI46" i="79" s="1"/>
  <c r="AD47" i="79"/>
  <c r="S48" i="79"/>
  <c r="AG48" i="79" s="1"/>
  <c r="U50" i="79"/>
  <c r="AI50" i="79" s="1"/>
  <c r="AD51" i="79"/>
  <c r="AR18" i="79"/>
  <c r="AR19" i="79" s="1"/>
  <c r="AR20" i="79" s="1"/>
  <c r="AR21" i="79" s="1"/>
  <c r="AR22" i="79" s="1"/>
  <c r="AR23" i="79" s="1"/>
  <c r="AR24" i="79" s="1"/>
  <c r="N31" i="79"/>
  <c r="U35" i="79"/>
  <c r="AI35" i="79" s="1"/>
  <c r="U33" i="79"/>
  <c r="AI33"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7" i="79" l="1"/>
  <c r="AK17" i="79" s="1"/>
  <c r="AH17" i="79"/>
  <c r="W20" i="79"/>
  <c r="AK20" i="79" s="1"/>
  <c r="AH20" i="79"/>
  <c r="W18" i="79"/>
  <c r="AK18" i="79" s="1"/>
  <c r="AH18" i="79"/>
  <c r="W14" i="79"/>
  <c r="AK14" i="79" s="1"/>
  <c r="AH14" i="79"/>
  <c r="W42" i="79"/>
  <c r="AK42" i="79" s="1"/>
  <c r="W19" i="79"/>
  <c r="AK19" i="79" s="1"/>
  <c r="AH19" i="79"/>
  <c r="W16" i="79"/>
  <c r="AK16" i="79" s="1"/>
  <c r="AH16" i="79"/>
  <c r="W50" i="79"/>
  <c r="AK50" i="79" s="1"/>
  <c r="AH50" i="79"/>
  <c r="W51" i="79"/>
  <c r="AK51" i="79" s="1"/>
  <c r="AH51" i="79"/>
  <c r="W41" i="79"/>
  <c r="AK41" i="79" s="1"/>
  <c r="AH41" i="79"/>
  <c r="W44" i="79"/>
  <c r="AK44" i="79" s="1"/>
  <c r="AH44" i="79"/>
  <c r="W46" i="79"/>
  <c r="AK46" i="79" s="1"/>
  <c r="AH46" i="79"/>
  <c r="W34" i="79"/>
  <c r="AK34" i="79" s="1"/>
  <c r="AH34" i="79"/>
  <c r="W49" i="79"/>
  <c r="AK49" i="79" s="1"/>
  <c r="AH49" i="79"/>
  <c r="W43" i="79"/>
  <c r="AK43" i="79" s="1"/>
  <c r="AH43" i="79"/>
  <c r="W38" i="79"/>
  <c r="AK38" i="79" s="1"/>
  <c r="AH38" i="79"/>
  <c r="W35" i="79"/>
  <c r="AK35" i="79" s="1"/>
  <c r="AH35" i="79"/>
  <c r="W11" i="79"/>
  <c r="AK11" i="79" s="1"/>
  <c r="AH11" i="79"/>
  <c r="W10" i="79"/>
  <c r="AK10" i="79" s="1"/>
  <c r="AH10" i="79"/>
  <c r="W15" i="79"/>
  <c r="AK15" i="79" s="1"/>
  <c r="AH15" i="79"/>
  <c r="W13" i="79"/>
  <c r="AK13" i="79" s="1"/>
  <c r="AH13" i="79"/>
  <c r="W48" i="79"/>
  <c r="AK48" i="79" s="1"/>
  <c r="AH48" i="79"/>
  <c r="W23" i="79"/>
  <c r="AK23" i="79" s="1"/>
  <c r="AH23" i="79"/>
  <c r="W12" i="79"/>
  <c r="AK12" i="79" s="1"/>
  <c r="AH12" i="79"/>
  <c r="W21" i="79"/>
  <c r="AK21" i="79" s="1"/>
  <c r="AH21" i="79"/>
  <c r="W47" i="79"/>
  <c r="AK47" i="79" s="1"/>
  <c r="AH47" i="79"/>
  <c r="W45" i="79"/>
  <c r="AK45" i="79" s="1"/>
  <c r="AH45" i="79"/>
  <c r="W40" i="79"/>
  <c r="AK40" i="79" s="1"/>
  <c r="AH40" i="79"/>
  <c r="W33" i="79"/>
  <c r="AK33" i="79" s="1"/>
  <c r="AH33"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D11" i="77" l="1"/>
  <c r="E11" i="77" s="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AA3" i="71" s="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X25" i="71" s="1"/>
  <c r="A2" i="53"/>
  <c r="K59" i="67"/>
  <c r="P61" i="67" s="1"/>
  <c r="K59" i="15"/>
  <c r="P74" i="15" s="1"/>
  <c r="D115" i="39"/>
  <c r="E115" i="39"/>
  <c r="F115" i="39"/>
  <c r="G115" i="39"/>
  <c r="H115" i="39"/>
  <c r="I115" i="39"/>
  <c r="J115" i="39"/>
  <c r="K115" i="39"/>
  <c r="L115" i="39"/>
  <c r="M115" i="39"/>
  <c r="C115" i="39"/>
  <c r="A21" i="62"/>
  <c r="B67" i="72" s="1"/>
  <c r="A20" i="62"/>
  <c r="B66" i="72" s="1"/>
  <c r="A22" i="51"/>
  <c r="A21" i="51"/>
  <c r="A20" i="51"/>
  <c r="A14" i="62"/>
  <c r="A13" i="62"/>
  <c r="B59" i="72" s="1"/>
  <c r="A19" i="62"/>
  <c r="B65" i="72" s="1"/>
  <c r="A12" i="62"/>
  <c r="B58" i="72" s="1"/>
  <c r="A120" i="9"/>
  <c r="H2" i="52"/>
  <c r="A1" i="52"/>
  <c r="A3" i="53"/>
  <c r="Q26" i="71"/>
  <c r="P26" i="71"/>
  <c r="O26" i="71"/>
  <c r="Y26" i="71" s="1"/>
  <c r="Z26" i="71" s="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Y27" i="71" s="1"/>
  <c r="Z27" i="71" s="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s="1"/>
  <c r="B82" i="71" s="1"/>
  <c r="D81" i="71"/>
  <c r="Q80" i="71"/>
  <c r="P80" i="71"/>
  <c r="O80" i="71"/>
  <c r="N80" i="71"/>
  <c r="F80" i="71"/>
  <c r="F79" i="71" s="1"/>
  <c r="F78" i="71" s="1"/>
  <c r="V80" i="71"/>
  <c r="E80" i="71"/>
  <c r="U80" i="71" s="1"/>
  <c r="C80" i="71"/>
  <c r="T80" i="71" s="1"/>
  <c r="B80" i="71"/>
  <c r="S80" i="71" s="1"/>
  <c r="Q79" i="71"/>
  <c r="P79" i="71"/>
  <c r="O79" i="71"/>
  <c r="N79" i="71"/>
  <c r="Q78" i="71"/>
  <c r="P78" i="71"/>
  <c r="O78" i="71"/>
  <c r="N78" i="71"/>
  <c r="Q77" i="71"/>
  <c r="P77" i="71"/>
  <c r="O77" i="71"/>
  <c r="N77" i="71"/>
  <c r="D77" i="71"/>
  <c r="Q76" i="71"/>
  <c r="P76" i="71"/>
  <c r="O76" i="71"/>
  <c r="N76" i="71"/>
  <c r="F76" i="71"/>
  <c r="V76" i="71" s="1"/>
  <c r="E76" i="71"/>
  <c r="U76" i="71" s="1"/>
  <c r="C76" i="71"/>
  <c r="T76" i="71" s="1"/>
  <c r="B76" i="71"/>
  <c r="S76" i="7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c r="Q71" i="71"/>
  <c r="P71" i="71"/>
  <c r="O71" i="71"/>
  <c r="N71" i="71"/>
  <c r="B71" i="71"/>
  <c r="B70" i="71" s="1"/>
  <c r="Q70" i="71"/>
  <c r="P70" i="71"/>
  <c r="O70" i="71"/>
  <c r="N70" i="71"/>
  <c r="Q69" i="71"/>
  <c r="P69" i="71"/>
  <c r="O69" i="71"/>
  <c r="N69" i="71"/>
  <c r="D69" i="71"/>
  <c r="F68" i="71"/>
  <c r="V68" i="71"/>
  <c r="E68" i="71"/>
  <c r="P68" i="71" s="1"/>
  <c r="C68" i="71"/>
  <c r="C67" i="71" s="1"/>
  <c r="B68" i="71"/>
  <c r="S68" i="71"/>
  <c r="F67" i="71"/>
  <c r="F66" i="71" s="1"/>
  <c r="B67" i="71"/>
  <c r="N67"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D53" i="71"/>
  <c r="Q52" i="71"/>
  <c r="P52" i="71"/>
  <c r="O52" i="71"/>
  <c r="N52" i="71"/>
  <c r="Q51" i="71"/>
  <c r="P51" i="71"/>
  <c r="O51" i="71"/>
  <c r="N51" i="71"/>
  <c r="Q50" i="71"/>
  <c r="P50" i="71"/>
  <c r="O50" i="71"/>
  <c r="N50" i="71"/>
  <c r="Q49" i="71"/>
  <c r="F50" i="71" s="1"/>
  <c r="F51" i="71" s="1"/>
  <c r="F52" i="71" s="1"/>
  <c r="V52"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c r="C47" i="71" s="1"/>
  <c r="D47" i="71" s="1"/>
  <c r="N45" i="71"/>
  <c r="B46"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s="1"/>
  <c r="B43" i="71" s="1"/>
  <c r="B44" i="71" s="1"/>
  <c r="S44" i="71" s="1"/>
  <c r="D41" i="71"/>
  <c r="Q40" i="71"/>
  <c r="P40" i="71"/>
  <c r="O40" i="71"/>
  <c r="N40" i="71"/>
  <c r="AB39" i="71"/>
  <c r="Q39" i="71"/>
  <c r="P39" i="71"/>
  <c r="AA39" i="71" s="1"/>
  <c r="O39" i="71"/>
  <c r="Y37" i="71" s="1"/>
  <c r="Z37" i="71" s="1"/>
  <c r="N39" i="71"/>
  <c r="X39" i="71"/>
  <c r="Q38" i="71"/>
  <c r="AB38" i="71" s="1"/>
  <c r="P38" i="71"/>
  <c r="AA38" i="71" s="1"/>
  <c r="O38" i="71"/>
  <c r="N38" i="71"/>
  <c r="Q37" i="71"/>
  <c r="AB37" i="71" s="1"/>
  <c r="P37" i="71"/>
  <c r="O37" i="71"/>
  <c r="N37" i="71"/>
  <c r="B38" i="71" s="1"/>
  <c r="D37" i="71"/>
  <c r="Q36" i="71"/>
  <c r="P36" i="71"/>
  <c r="O36" i="71"/>
  <c r="N36" i="71"/>
  <c r="X36" i="71" s="1"/>
  <c r="Q35" i="71"/>
  <c r="P35" i="71"/>
  <c r="O35" i="71"/>
  <c r="Y35" i="71" s="1"/>
  <c r="Z35" i="71" s="1"/>
  <c r="N35" i="71"/>
  <c r="Q34" i="71"/>
  <c r="AB34" i="71" s="1"/>
  <c r="P34" i="71"/>
  <c r="O34" i="71"/>
  <c r="N34" i="71"/>
  <c r="X33" i="71" s="1"/>
  <c r="Q33" i="71"/>
  <c r="F34" i="71" s="1"/>
  <c r="P33" i="71"/>
  <c r="E34" i="71" s="1"/>
  <c r="E35" i="71" s="1"/>
  <c r="E36" i="71" s="1"/>
  <c r="U36" i="71" s="1"/>
  <c r="O33" i="71"/>
  <c r="C34" i="71" s="1"/>
  <c r="N33" i="71"/>
  <c r="D33" i="71"/>
  <c r="Q32" i="71"/>
  <c r="AB32" i="71"/>
  <c r="P32" i="71"/>
  <c r="O32" i="71"/>
  <c r="N32" i="71"/>
  <c r="Q31" i="71"/>
  <c r="P31" i="71"/>
  <c r="O31" i="71"/>
  <c r="N31" i="71"/>
  <c r="Q30" i="71"/>
  <c r="P30" i="71"/>
  <c r="O30" i="71"/>
  <c r="Y30" i="71" s="1"/>
  <c r="Z30" i="71" s="1"/>
  <c r="N30" i="71"/>
  <c r="Q29" i="71"/>
  <c r="F30" i="71" s="1"/>
  <c r="P29" i="71"/>
  <c r="O29" i="71"/>
  <c r="N29" i="71"/>
  <c r="D29" i="71"/>
  <c r="O28" i="71"/>
  <c r="C28" i="71" s="1"/>
  <c r="N28" i="71"/>
  <c r="B28" i="71" s="1"/>
  <c r="B30" i="71"/>
  <c r="B31" i="71" s="1"/>
  <c r="B32" i="71" s="1"/>
  <c r="S32" i="71" s="1"/>
  <c r="E30" i="71"/>
  <c r="E31" i="71" s="1"/>
  <c r="E32" i="71" s="1"/>
  <c r="U32" i="71" s="1"/>
  <c r="B34" i="71"/>
  <c r="B35" i="71" s="1"/>
  <c r="B36" i="71" s="1"/>
  <c r="S36" i="71" s="1"/>
  <c r="B39" i="71"/>
  <c r="B40" i="71" s="1"/>
  <c r="S40" i="71" s="1"/>
  <c r="E38" i="71"/>
  <c r="E39" i="71" s="1"/>
  <c r="E40" i="71" s="1"/>
  <c r="U40" i="71" s="1"/>
  <c r="N68" i="71"/>
  <c r="C30" i="71"/>
  <c r="C31" i="71" s="1"/>
  <c r="Y29" i="71"/>
  <c r="Z29" i="71" s="1"/>
  <c r="AA35" i="71"/>
  <c r="C38" i="71"/>
  <c r="D38" i="71" s="1"/>
  <c r="X38" i="71"/>
  <c r="Y25" i="71"/>
  <c r="Z25" i="71" s="1"/>
  <c r="X26" i="71"/>
  <c r="D30" i="71"/>
  <c r="C39" i="71"/>
  <c r="C40" i="71" s="1"/>
  <c r="C43" i="71"/>
  <c r="C44" i="71" s="1"/>
  <c r="P28" i="71"/>
  <c r="E28" i="71" s="1"/>
  <c r="E63" i="71"/>
  <c r="E64" i="71"/>
  <c r="U64" i="71" s="1"/>
  <c r="U68" i="71"/>
  <c r="E67" i="71"/>
  <c r="Q28" i="71"/>
  <c r="AB25" i="71" s="1"/>
  <c r="C59" i="71"/>
  <c r="D58" i="71"/>
  <c r="D62" i="71"/>
  <c r="B66" i="71"/>
  <c r="N65" i="71" s="1"/>
  <c r="D68" i="71"/>
  <c r="Q68" i="71"/>
  <c r="C71" i="71"/>
  <c r="C70" i="71" s="1"/>
  <c r="D70" i="71" s="1"/>
  <c r="E71" i="71"/>
  <c r="E70" i="71" s="1"/>
  <c r="D72" i="71"/>
  <c r="E75" i="71"/>
  <c r="E74" i="71" s="1"/>
  <c r="C79" i="71"/>
  <c r="E79" i="71"/>
  <c r="E78" i="71" s="1"/>
  <c r="D80" i="71"/>
  <c r="C83" i="71"/>
  <c r="C87" i="71"/>
  <c r="C86" i="71" s="1"/>
  <c r="D86" i="71" s="1"/>
  <c r="F28" i="71"/>
  <c r="F27" i="71" s="1"/>
  <c r="F26" i="71" s="1"/>
  <c r="AB27" i="71"/>
  <c r="AA28" i="71"/>
  <c r="D83" i="71"/>
  <c r="C82" i="71"/>
  <c r="D82" i="71"/>
  <c r="N66" i="71"/>
  <c r="D79" i="71"/>
  <c r="C78" i="71"/>
  <c r="D78" i="71" s="1"/>
  <c r="D71" i="71"/>
  <c r="C60" i="71"/>
  <c r="D60" i="71" s="1"/>
  <c r="D59" i="71"/>
  <c r="P67" i="71"/>
  <c r="E66" i="71"/>
  <c r="P65" i="71" s="1"/>
  <c r="D43" i="71"/>
  <c r="D39" i="71"/>
  <c r="T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Q21" i="37"/>
  <c r="Z21" i="37" s="1"/>
  <c r="D77" i="37"/>
  <c r="E77" i="37" s="1"/>
  <c r="F77" i="37" s="1"/>
  <c r="G77" i="37" s="1"/>
  <c r="C21" i="37"/>
  <c r="Q21" i="34"/>
  <c r="Z21" i="34" s="1"/>
  <c r="D84" i="34"/>
  <c r="E84" i="34"/>
  <c r="F84" i="34" s="1"/>
  <c r="G84" i="34" s="1"/>
  <c r="F21" i="34"/>
  <c r="AA21" i="34" s="1"/>
  <c r="C21" i="34"/>
  <c r="Q21" i="33"/>
  <c r="Z21" i="33" s="1"/>
  <c r="D83" i="33"/>
  <c r="E83" i="33" s="1"/>
  <c r="F83" i="33" s="1"/>
  <c r="G83" i="33" s="1"/>
  <c r="C21" i="33"/>
  <c r="C21" i="21"/>
  <c r="Q21" i="21"/>
  <c r="Z21" i="21" s="1"/>
  <c r="H19" i="21"/>
  <c r="D83" i="21"/>
  <c r="F21" i="21"/>
  <c r="AA21" i="21" s="1"/>
  <c r="D81" i="21"/>
  <c r="G20" i="20"/>
  <c r="C25" i="40" s="1"/>
  <c r="C22" i="20"/>
  <c r="B100" i="43" s="1"/>
  <c r="B77" i="43"/>
  <c r="B57" i="43"/>
  <c r="C29" i="39"/>
  <c r="S25" i="40"/>
  <c r="S18" i="36"/>
  <c r="H25" i="40"/>
  <c r="AB25" i="40" s="1"/>
  <c r="J25" i="40"/>
  <c r="W25" i="40" s="1"/>
  <c r="H29" i="39"/>
  <c r="AB29" i="39" s="1"/>
  <c r="J29" i="39"/>
  <c r="AC29" i="39" s="1"/>
  <c r="J18" i="36"/>
  <c r="AC18" i="36" s="1"/>
  <c r="F68" i="35"/>
  <c r="G68" i="35" s="1"/>
  <c r="H18" i="35"/>
  <c r="AB18" i="35" s="1"/>
  <c r="J18" i="35"/>
  <c r="AC18" i="35" s="1"/>
  <c r="H21" i="37"/>
  <c r="F21" i="37"/>
  <c r="AA21" i="37" s="1"/>
  <c r="H21" i="34"/>
  <c r="AB21" i="34" s="1"/>
  <c r="H21" i="33"/>
  <c r="F21" i="33"/>
  <c r="E83" i="21"/>
  <c r="F83" i="21" s="1"/>
  <c r="H1" i="69"/>
  <c r="AC25" i="40"/>
  <c r="U29" i="39"/>
  <c r="W29" i="39"/>
  <c r="S21" i="37"/>
  <c r="AA21" i="33"/>
  <c r="S21" i="33"/>
  <c r="J21" i="37"/>
  <c r="W21" i="37" s="1"/>
  <c r="J21" i="34"/>
  <c r="W21" i="34" s="1"/>
  <c r="J21" i="33"/>
  <c r="W21" i="33" s="1"/>
  <c r="H21" i="21"/>
  <c r="U21" i="21" s="1"/>
  <c r="F38" i="69"/>
  <c r="E37" i="69"/>
  <c r="F36" i="69"/>
  <c r="F35" i="69"/>
  <c r="F21" i="69"/>
  <c r="F20" i="69"/>
  <c r="F39" i="69" s="1"/>
  <c r="E10" i="69"/>
  <c r="E9" i="69"/>
  <c r="AC21" i="33"/>
  <c r="G83" i="21"/>
  <c r="J21" i="21"/>
  <c r="AC21" i="21" s="1"/>
  <c r="F38" i="68"/>
  <c r="E37" i="68"/>
  <c r="F36" i="68"/>
  <c r="F35" i="68"/>
  <c r="F21" i="68"/>
  <c r="F40" i="68" s="1"/>
  <c r="F20" i="68"/>
  <c r="F39" i="68" s="1"/>
  <c r="E10" i="68"/>
  <c r="E9" i="68"/>
  <c r="C7" i="68"/>
  <c r="C5" i="68" s="1"/>
  <c r="W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C7" i="34" s="1"/>
  <c r="E15" i="4"/>
  <c r="A7" i="1"/>
  <c r="B7" i="1" s="1"/>
  <c r="E7" i="1" s="1"/>
  <c r="A8" i="1"/>
  <c r="B8" i="1" s="1"/>
  <c r="E8" i="1" s="1"/>
  <c r="A9" i="1"/>
  <c r="A10" i="1"/>
  <c r="A11" i="1"/>
  <c r="B11" i="1" s="1"/>
  <c r="E11" i="1" s="1"/>
  <c r="A12" i="1"/>
  <c r="A13" i="1"/>
  <c r="A6" i="1"/>
  <c r="F3" i="35"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BT103" i="3"/>
  <c r="BS103" i="3"/>
  <c r="BR103" i="3"/>
  <c r="BQ103" i="3"/>
  <c r="BP103" i="3"/>
  <c r="BO103" i="3"/>
  <c r="BN103" i="3"/>
  <c r="BM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L100" i="3"/>
  <c r="BK100" i="3"/>
  <c r="BJ100" i="3"/>
  <c r="BI100" i="3"/>
  <c r="BH100" i="3"/>
  <c r="BG100" i="3"/>
  <c r="BF100" i="3"/>
  <c r="BE100" i="3"/>
  <c r="BD100" i="3"/>
  <c r="BC100" i="3"/>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C92" i="3"/>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A89" i="3" s="1"/>
  <c r="BB89" i="3"/>
  <c r="AX89" i="3"/>
  <c r="AW89" i="3"/>
  <c r="AV89" i="3"/>
  <c r="AC89" i="3"/>
  <c r="H89" i="3"/>
  <c r="BT88" i="3"/>
  <c r="BS88" i="3"/>
  <c r="BR88" i="3"/>
  <c r="BQ88" i="3"/>
  <c r="BP88" i="3"/>
  <c r="BO88" i="3"/>
  <c r="BN88" i="3"/>
  <c r="BM88" i="3"/>
  <c r="BK88" i="3"/>
  <c r="BJ88" i="3"/>
  <c r="BI88" i="3"/>
  <c r="BH88" i="3"/>
  <c r="BG88" i="3"/>
  <c r="BF88" i="3"/>
  <c r="BE88" i="3"/>
  <c r="BD88" i="3"/>
  <c r="BC88" i="3"/>
  <c r="BB88" i="3"/>
  <c r="BA88" i="3" s="1"/>
  <c r="AX88" i="3"/>
  <c r="AW88" i="3"/>
  <c r="AV88" i="3"/>
  <c r="AC88" i="3"/>
  <c r="G88" i="3" s="1"/>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M84" i="3"/>
  <c r="BK84" i="3"/>
  <c r="BJ84" i="3"/>
  <c r="BI84" i="3"/>
  <c r="BH84" i="3"/>
  <c r="BG84" i="3"/>
  <c r="BF84" i="3"/>
  <c r="BE84" i="3"/>
  <c r="BD84" i="3"/>
  <c r="BC84" i="3"/>
  <c r="BB84" i="3"/>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BT82" i="3"/>
  <c r="BS82" i="3"/>
  <c r="BR82" i="3"/>
  <c r="BQ82" i="3"/>
  <c r="BP82" i="3"/>
  <c r="BO82" i="3"/>
  <c r="BN82" i="3"/>
  <c r="BL82" i="3" s="1"/>
  <c r="BM82" i="3"/>
  <c r="BK82" i="3"/>
  <c r="BJ82" i="3"/>
  <c r="BI82" i="3"/>
  <c r="BH82" i="3"/>
  <c r="BG82" i="3"/>
  <c r="BF82" i="3"/>
  <c r="BE82" i="3"/>
  <c r="BD82" i="3"/>
  <c r="BC82" i="3"/>
  <c r="BB82" i="3"/>
  <c r="BA82" i="3" s="1"/>
  <c r="AX82" i="3"/>
  <c r="AW82" i="3"/>
  <c r="AV82" i="3"/>
  <c r="AC82" i="3"/>
  <c r="H82" i="3"/>
  <c r="BT81" i="3"/>
  <c r="BS81" i="3"/>
  <c r="BR81" i="3"/>
  <c r="BQ81" i="3"/>
  <c r="BP81" i="3"/>
  <c r="BO81" i="3"/>
  <c r="BN81" i="3"/>
  <c r="BL81" i="3" s="1"/>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H80" i="3"/>
  <c r="G80" i="3"/>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L61" i="3" s="1"/>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G56" i="3" s="1"/>
  <c r="H56" i="3"/>
  <c r="BT55" i="3"/>
  <c r="BS55" i="3"/>
  <c r="BR55" i="3"/>
  <c r="BQ55" i="3"/>
  <c r="BP55" i="3"/>
  <c r="BO55" i="3"/>
  <c r="BN55" i="3"/>
  <c r="BM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s="1"/>
  <c r="BK54" i="3"/>
  <c r="BJ54" i="3"/>
  <c r="BI54" i="3"/>
  <c r="BH54" i="3"/>
  <c r="BG54" i="3"/>
  <c r="BF54" i="3"/>
  <c r="BE54" i="3"/>
  <c r="BD54" i="3"/>
  <c r="BC54" i="3"/>
  <c r="BB54" i="3"/>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L51" i="3" s="1"/>
  <c r="BK51" i="3"/>
  <c r="BJ51" i="3"/>
  <c r="BI51" i="3"/>
  <c r="BH51" i="3"/>
  <c r="BG51" i="3"/>
  <c r="BF51" i="3"/>
  <c r="BE51" i="3"/>
  <c r="BD51" i="3"/>
  <c r="BC51" i="3"/>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A47" i="3" s="1"/>
  <c r="BB47" i="3"/>
  <c r="AX47" i="3"/>
  <c r="AW47" i="3"/>
  <c r="AV47" i="3"/>
  <c r="AC47" i="3"/>
  <c r="G47" i="3" s="1"/>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L44" i="3"/>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A162" i="3" s="1"/>
  <c r="BC162" i="3"/>
  <c r="BB162" i="3"/>
  <c r="AX162" i="3"/>
  <c r="AW162" i="3"/>
  <c r="AV162" i="3"/>
  <c r="AC162" i="3"/>
  <c r="H162" i="3"/>
  <c r="G162" i="3" s="1"/>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L158" i="3" s="1"/>
  <c r="BN158" i="3"/>
  <c r="BM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A149" i="3" s="1"/>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A148" i="3" s="1"/>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K137" i="3"/>
  <c r="BJ137" i="3"/>
  <c r="BI137" i="3"/>
  <c r="BH137" i="3"/>
  <c r="BG137" i="3"/>
  <c r="BF137" i="3"/>
  <c r="BE137" i="3"/>
  <c r="BD137" i="3"/>
  <c r="BC137" i="3"/>
  <c r="BB137" i="3"/>
  <c r="BA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s="1"/>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A293" i="3" s="1"/>
  <c r="BC293" i="3"/>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G284" i="3" s="1"/>
  <c r="H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L259" i="3" s="1"/>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BA236" i="3" s="1"/>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s="1"/>
  <c r="AX235" i="3"/>
  <c r="AW235" i="3"/>
  <c r="AV235" i="3"/>
  <c r="AC235" i="3"/>
  <c r="H235" i="3"/>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s="1"/>
  <c r="AX233" i="3"/>
  <c r="AW233" i="3"/>
  <c r="AV233" i="3"/>
  <c r="AC233" i="3"/>
  <c r="H233" i="3"/>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s="1"/>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A230" i="3" s="1"/>
  <c r="AZ230" i="3" s="1"/>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s="1"/>
  <c r="AZ228" i="3" s="1"/>
  <c r="AX228" i="3"/>
  <c r="AW228" i="3"/>
  <c r="AV228" i="3"/>
  <c r="AC228" i="3"/>
  <c r="H228" i="3"/>
  <c r="G228" i="3" s="1"/>
  <c r="BT227" i="3"/>
  <c r="BS227" i="3"/>
  <c r="BR227" i="3"/>
  <c r="BQ227" i="3"/>
  <c r="BP227" i="3"/>
  <c r="BO227" i="3"/>
  <c r="BN227" i="3"/>
  <c r="BM227" i="3"/>
  <c r="BL227" i="3" s="1"/>
  <c r="BK227" i="3"/>
  <c r="BJ227" i="3"/>
  <c r="BI227" i="3"/>
  <c r="BH227" i="3"/>
  <c r="BG227" i="3"/>
  <c r="BF227" i="3"/>
  <c r="BE227" i="3"/>
  <c r="BD227" i="3"/>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s="1"/>
  <c r="BT225" i="3"/>
  <c r="BS225" i="3"/>
  <c r="BR225" i="3"/>
  <c r="BQ225" i="3"/>
  <c r="BP225" i="3"/>
  <c r="BO225" i="3"/>
  <c r="BN225" i="3"/>
  <c r="BM225" i="3"/>
  <c r="BK225" i="3"/>
  <c r="BJ225" i="3"/>
  <c r="BI225" i="3"/>
  <c r="BH225" i="3"/>
  <c r="BG225" i="3"/>
  <c r="BF225" i="3"/>
  <c r="BE225" i="3"/>
  <c r="BD225" i="3"/>
  <c r="BC225" i="3"/>
  <c r="BB225" i="3"/>
  <c r="BA225" i="3"/>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BA223" i="3" s="1"/>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G217" i="3" s="1"/>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s="1"/>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G492" i="3" s="1"/>
  <c r="H492" i="3"/>
  <c r="BT491" i="3"/>
  <c r="BS491" i="3"/>
  <c r="BR491" i="3"/>
  <c r="BQ491" i="3"/>
  <c r="BP491" i="3"/>
  <c r="BO491" i="3"/>
  <c r="BN491" i="3"/>
  <c r="BM491" i="3"/>
  <c r="BK491" i="3"/>
  <c r="BJ491" i="3"/>
  <c r="BI491" i="3"/>
  <c r="BH491" i="3"/>
  <c r="BG491" i="3"/>
  <c r="BF491" i="3"/>
  <c r="BE491" i="3"/>
  <c r="BD491" i="3"/>
  <c r="BC491" i="3"/>
  <c r="BB491" i="3"/>
  <c r="BA491" i="3" s="1"/>
  <c r="AX491" i="3"/>
  <c r="AW491" i="3"/>
  <c r="AV491" i="3"/>
  <c r="AC491" i="3"/>
  <c r="H491" i="3"/>
  <c r="BT490" i="3"/>
  <c r="BS490" i="3"/>
  <c r="BR490" i="3"/>
  <c r="BQ490" i="3"/>
  <c r="BP490" i="3"/>
  <c r="BO490" i="3"/>
  <c r="BN490" i="3"/>
  <c r="BL490" i="3" s="1"/>
  <c r="BM490" i="3"/>
  <c r="BK490" i="3"/>
  <c r="BJ490" i="3"/>
  <c r="BI490" i="3"/>
  <c r="BH490" i="3"/>
  <c r="BG490" i="3"/>
  <c r="BF490" i="3"/>
  <c r="BE490" i="3"/>
  <c r="BD490" i="3"/>
  <c r="BC490" i="3"/>
  <c r="BB490" i="3"/>
  <c r="AX490" i="3"/>
  <c r="AW490" i="3"/>
  <c r="AV490" i="3"/>
  <c r="AC490" i="3"/>
  <c r="G490" i="3" s="1"/>
  <c r="H490" i="3"/>
  <c r="BT489" i="3"/>
  <c r="BS489" i="3"/>
  <c r="BR489" i="3"/>
  <c r="BQ489" i="3"/>
  <c r="BP489" i="3"/>
  <c r="BO489" i="3"/>
  <c r="BN489" i="3"/>
  <c r="BM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A487" i="3" s="1"/>
  <c r="AZ487" i="3" s="1"/>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s="1"/>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s="1"/>
  <c r="AZ466" i="3" s="1"/>
  <c r="AX466" i="3"/>
  <c r="AW466" i="3"/>
  <c r="AV466" i="3"/>
  <c r="AC466" i="3"/>
  <c r="H466" i="3"/>
  <c r="G466" i="3" s="1"/>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L464" i="3" s="1"/>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K463" i="3"/>
  <c r="BJ463" i="3"/>
  <c r="BI463" i="3"/>
  <c r="BH463" i="3"/>
  <c r="BG463" i="3"/>
  <c r="BF463" i="3"/>
  <c r="BE463" i="3"/>
  <c r="BD463" i="3"/>
  <c r="BC463" i="3"/>
  <c r="BB463" i="3"/>
  <c r="BA463" i="3"/>
  <c r="AX463" i="3"/>
  <c r="AW463" i="3"/>
  <c r="AV463" i="3"/>
  <c r="AC463" i="3"/>
  <c r="G463" i="3" s="1"/>
  <c r="H463" i="3"/>
  <c r="BT462" i="3"/>
  <c r="BS462" i="3"/>
  <c r="BR462" i="3"/>
  <c r="BQ462" i="3"/>
  <c r="BP462" i="3"/>
  <c r="BO462" i="3"/>
  <c r="BN462" i="3"/>
  <c r="BM462" i="3"/>
  <c r="BL462" i="3" s="1"/>
  <c r="BK462" i="3"/>
  <c r="BJ462" i="3"/>
  <c r="BI462" i="3"/>
  <c r="BH462" i="3"/>
  <c r="BG462" i="3"/>
  <c r="BF462" i="3"/>
  <c r="BE462" i="3"/>
  <c r="BD462" i="3"/>
  <c r="BC462" i="3"/>
  <c r="BA462" i="3" s="1"/>
  <c r="AZ462" i="3" s="1"/>
  <c r="BB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A461" i="3" s="1"/>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BA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G459" i="3" s="1"/>
  <c r="H459" i="3"/>
  <c r="BT458" i="3"/>
  <c r="BS458" i="3"/>
  <c r="BR458" i="3"/>
  <c r="BQ458" i="3"/>
  <c r="BP458" i="3"/>
  <c r="BO458" i="3"/>
  <c r="BN458" i="3"/>
  <c r="BM458" i="3"/>
  <c r="BL458" i="3" s="1"/>
  <c r="BK458" i="3"/>
  <c r="BJ458" i="3"/>
  <c r="BI458" i="3"/>
  <c r="BH458" i="3"/>
  <c r="BG458" i="3"/>
  <c r="BF458" i="3"/>
  <c r="BE458" i="3"/>
  <c r="BD458" i="3"/>
  <c r="BC458" i="3"/>
  <c r="BA458" i="3" s="1"/>
  <c r="AZ458" i="3" s="1"/>
  <c r="BB458" i="3"/>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A457" i="3" s="1"/>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A456" i="3" s="1"/>
  <c r="BB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A454" i="3" s="1"/>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A452" i="3" s="1"/>
  <c r="BB452" i="3"/>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G447" i="3" s="1"/>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A444" i="3" s="1"/>
  <c r="AZ444" i="3" s="1"/>
  <c r="BC444" i="3"/>
  <c r="BB444" i="3"/>
  <c r="AX444" i="3"/>
  <c r="AW444" i="3"/>
  <c r="AV444" i="3"/>
  <c r="AC444" i="3"/>
  <c r="H444" i="3"/>
  <c r="G444" i="3" s="1"/>
  <c r="BT443" i="3"/>
  <c r="BS443" i="3"/>
  <c r="BR443" i="3"/>
  <c r="BQ443" i="3"/>
  <c r="BP443" i="3"/>
  <c r="BO443" i="3"/>
  <c r="BN443" i="3"/>
  <c r="BL443" i="3" s="1"/>
  <c r="BM443" i="3"/>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L442" i="3" s="1"/>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L441" i="3" s="1"/>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L440" i="3" s="1"/>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A435" i="3" s="1"/>
  <c r="BB435" i="3"/>
  <c r="AX435" i="3"/>
  <c r="AW435" i="3"/>
  <c r="AV435" i="3"/>
  <c r="AC435" i="3"/>
  <c r="H435" i="3"/>
  <c r="G435" i="3"/>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c r="BT431" i="3"/>
  <c r="BS431" i="3"/>
  <c r="BR431" i="3"/>
  <c r="BQ431" i="3"/>
  <c r="BP431" i="3"/>
  <c r="BO431" i="3"/>
  <c r="BN431" i="3"/>
  <c r="BM431" i="3"/>
  <c r="BK431" i="3"/>
  <c r="BJ431" i="3"/>
  <c r="BI431" i="3"/>
  <c r="BH431" i="3"/>
  <c r="BG431" i="3"/>
  <c r="BF431" i="3"/>
  <c r="BE431" i="3"/>
  <c r="BD431" i="3"/>
  <c r="BC431" i="3"/>
  <c r="BA431" i="3" s="1"/>
  <c r="BB431" i="3"/>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G425" i="3" s="1"/>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G421" i="3" s="1"/>
  <c r="H421" i="3"/>
  <c r="BT420" i="3"/>
  <c r="BS420" i="3"/>
  <c r="BR420" i="3"/>
  <c r="BQ420" i="3"/>
  <c r="BP420" i="3"/>
  <c r="BO420" i="3"/>
  <c r="BN420" i="3"/>
  <c r="BM420" i="3"/>
  <c r="BK420" i="3"/>
  <c r="BJ420" i="3"/>
  <c r="BI420" i="3"/>
  <c r="BH420" i="3"/>
  <c r="BG420" i="3"/>
  <c r="BF420" i="3"/>
  <c r="BE420" i="3"/>
  <c r="BD420" i="3"/>
  <c r="BC420" i="3"/>
  <c r="BB420" i="3"/>
  <c r="BA420" i="3" s="1"/>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BA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N409" i="3"/>
  <c r="BM409" i="3"/>
  <c r="BL409" i="3" s="1"/>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15" i="62" s="1"/>
  <c r="B61" i="72" s="1"/>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C18" i="9" s="1"/>
  <c r="D18" i="9" s="1"/>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H5" i="3" s="1"/>
  <c r="BI494" i="3"/>
  <c r="BJ494" i="3"/>
  <c r="BK494" i="3"/>
  <c r="BM494" i="3"/>
  <c r="BN494" i="3"/>
  <c r="BO494" i="3"/>
  <c r="BP494" i="3"/>
  <c r="BQ494" i="3"/>
  <c r="BR494" i="3"/>
  <c r="BS494" i="3"/>
  <c r="BT494" i="3"/>
  <c r="H495" i="3"/>
  <c r="G495" i="3" s="1"/>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I5" i="3" s="1"/>
  <c r="BJ496" i="3"/>
  <c r="BK496" i="3"/>
  <c r="BM496" i="3"/>
  <c r="BN496" i="3"/>
  <c r="BO496" i="3"/>
  <c r="BP496" i="3"/>
  <c r="BQ496" i="3"/>
  <c r="BR496" i="3"/>
  <c r="BS496" i="3"/>
  <c r="BT496" i="3"/>
  <c r="H497" i="3"/>
  <c r="AC497" i="3"/>
  <c r="G497" i="3" s="1"/>
  <c r="BB497" i="3"/>
  <c r="BC497" i="3"/>
  <c r="BD497" i="3"/>
  <c r="BE497" i="3"/>
  <c r="BA497" i="3" s="1"/>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L498" i="3" s="1"/>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G502" i="3" s="1"/>
  <c r="AC502" i="3"/>
  <c r="BB502" i="3"/>
  <c r="BC502" i="3"/>
  <c r="BD502" i="3"/>
  <c r="BE502" i="3"/>
  <c r="BF502" i="3"/>
  <c r="BG502" i="3"/>
  <c r="BH502" i="3"/>
  <c r="BI502" i="3"/>
  <c r="BJ502" i="3"/>
  <c r="BK502" i="3"/>
  <c r="BM502" i="3"/>
  <c r="BN502" i="3"/>
  <c r="BO502" i="3"/>
  <c r="BP502" i="3"/>
  <c r="BQ502" i="3"/>
  <c r="BR502" i="3"/>
  <c r="BS502" i="3"/>
  <c r="BT502" i="3"/>
  <c r="H503" i="3"/>
  <c r="G503" i="3" s="1"/>
  <c r="AC503" i="3"/>
  <c r="BB503" i="3"/>
  <c r="BC503" i="3"/>
  <c r="BD503" i="3"/>
  <c r="BE503" i="3"/>
  <c r="BF503" i="3"/>
  <c r="BG503" i="3"/>
  <c r="BH503" i="3"/>
  <c r="BI503" i="3"/>
  <c r="BJ503" i="3"/>
  <c r="BK503" i="3"/>
  <c r="BM503" i="3"/>
  <c r="BN503" i="3"/>
  <c r="BO503" i="3"/>
  <c r="BP503" i="3"/>
  <c r="BR503" i="3"/>
  <c r="BS503" i="3"/>
  <c r="BT503" i="3"/>
  <c r="H504" i="3"/>
  <c r="AC504" i="3"/>
  <c r="G504" i="3" s="1"/>
  <c r="BB504" i="3"/>
  <c r="BC504" i="3"/>
  <c r="BD504" i="3"/>
  <c r="BE504" i="3"/>
  <c r="BF504" i="3"/>
  <c r="BG504" i="3"/>
  <c r="BH504" i="3"/>
  <c r="BI504" i="3"/>
  <c r="BJ504" i="3"/>
  <c r="BK504" i="3"/>
  <c r="BM504" i="3"/>
  <c r="BN504" i="3"/>
  <c r="BO504" i="3"/>
  <c r="BP504" i="3"/>
  <c r="BQ504" i="3"/>
  <c r="BR504" i="3"/>
  <c r="BS504" i="3"/>
  <c r="BT504" i="3"/>
  <c r="H505" i="3"/>
  <c r="AC505" i="3"/>
  <c r="G505" i="3" s="1"/>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L509" i="3" s="1"/>
  <c r="BN509" i="3"/>
  <c r="BO509" i="3"/>
  <c r="BP509" i="3"/>
  <c r="BR509" i="3"/>
  <c r="BS509" i="3"/>
  <c r="BT509" i="3"/>
  <c r="H510" i="3"/>
  <c r="AC510" i="3"/>
  <c r="G510" i="3" s="1"/>
  <c r="BB510" i="3"/>
  <c r="BC510" i="3"/>
  <c r="BD510" i="3"/>
  <c r="BE510" i="3"/>
  <c r="BF510" i="3"/>
  <c r="BG510" i="3"/>
  <c r="BH510" i="3"/>
  <c r="BI510" i="3"/>
  <c r="BJ510" i="3"/>
  <c r="BK510" i="3"/>
  <c r="BM510" i="3"/>
  <c r="BN510" i="3"/>
  <c r="BO510" i="3"/>
  <c r="BP510" i="3"/>
  <c r="BQ510" i="3"/>
  <c r="BR510" i="3"/>
  <c r="BS510" i="3"/>
  <c r="BT510" i="3"/>
  <c r="H511" i="3"/>
  <c r="AC511" i="3"/>
  <c r="G511" i="3" s="1"/>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L513" i="3" s="1"/>
  <c r="BP513" i="3"/>
  <c r="BR513" i="3"/>
  <c r="BS513" i="3"/>
  <c r="BT513" i="3"/>
  <c r="H514" i="3"/>
  <c r="AC514" i="3"/>
  <c r="BB514" i="3"/>
  <c r="BC514" i="3"/>
  <c r="BA514" i="3" s="1"/>
  <c r="BD514" i="3"/>
  <c r="BE514" i="3"/>
  <c r="BF514" i="3"/>
  <c r="BG514" i="3"/>
  <c r="BH514" i="3"/>
  <c r="BI514" i="3"/>
  <c r="BJ514" i="3"/>
  <c r="BK514" i="3"/>
  <c r="BM514" i="3"/>
  <c r="BN514" i="3"/>
  <c r="BO514" i="3"/>
  <c r="BP514" i="3"/>
  <c r="BL514" i="3" s="1"/>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G516" i="3" s="1"/>
  <c r="AC516" i="3"/>
  <c r="BB516" i="3"/>
  <c r="BC516" i="3"/>
  <c r="BD516" i="3"/>
  <c r="BE516" i="3"/>
  <c r="BF516" i="3"/>
  <c r="BG516" i="3"/>
  <c r="BH516" i="3"/>
  <c r="BI516" i="3"/>
  <c r="BJ516" i="3"/>
  <c r="BK516" i="3"/>
  <c r="BM516" i="3"/>
  <c r="BN516" i="3"/>
  <c r="BO516" i="3"/>
  <c r="BP516" i="3"/>
  <c r="BQ516" i="3"/>
  <c r="BR516" i="3"/>
  <c r="BS516" i="3"/>
  <c r="BT516" i="3"/>
  <c r="H517" i="3"/>
  <c r="G517" i="3" s="1"/>
  <c r="AC517" i="3"/>
  <c r="BB517" i="3"/>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O518" i="3"/>
  <c r="BP518" i="3"/>
  <c r="BQ518" i="3"/>
  <c r="BR518" i="3"/>
  <c r="BS518" i="3"/>
  <c r="BT518" i="3"/>
  <c r="H519" i="3"/>
  <c r="AC519" i="3"/>
  <c r="G519" i="3" s="1"/>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L521" i="3" s="1"/>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G523" i="3" s="1"/>
  <c r="AC523" i="3"/>
  <c r="BB523" i="3"/>
  <c r="BC523" i="3"/>
  <c r="BD523" i="3"/>
  <c r="BE523" i="3"/>
  <c r="BF523" i="3"/>
  <c r="BG523" i="3"/>
  <c r="BH523" i="3"/>
  <c r="BI523" i="3"/>
  <c r="BJ523" i="3"/>
  <c r="BK523" i="3"/>
  <c r="BM523" i="3"/>
  <c r="BN523" i="3"/>
  <c r="BO523" i="3"/>
  <c r="BP523" i="3"/>
  <c r="BR523" i="3"/>
  <c r="BS523" i="3"/>
  <c r="BT523" i="3"/>
  <c r="H524" i="3"/>
  <c r="AC524" i="3"/>
  <c r="G524" i="3" s="1"/>
  <c r="BB524" i="3"/>
  <c r="BC524" i="3"/>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L529" i="3" s="1"/>
  <c r="BR529" i="3"/>
  <c r="BS529" i="3"/>
  <c r="BT529" i="3"/>
  <c r="H530" i="3"/>
  <c r="G530" i="3" s="1"/>
  <c r="AC530" i="3"/>
  <c r="BB530" i="3"/>
  <c r="BC530" i="3"/>
  <c r="BD530" i="3"/>
  <c r="BE530" i="3"/>
  <c r="BF530" i="3"/>
  <c r="BG530" i="3"/>
  <c r="BH530" i="3"/>
  <c r="BI530" i="3"/>
  <c r="BJ530" i="3"/>
  <c r="BK530" i="3"/>
  <c r="BM530" i="3"/>
  <c r="BN530" i="3"/>
  <c r="BO530" i="3"/>
  <c r="BP530" i="3"/>
  <c r="BQ530" i="3"/>
  <c r="BR530" i="3"/>
  <c r="BS530" i="3"/>
  <c r="BT530" i="3"/>
  <c r="H531" i="3"/>
  <c r="G531" i="3" s="1"/>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A533" i="3" s="1"/>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L537" i="3" s="1"/>
  <c r="BR537" i="3"/>
  <c r="BS537" i="3"/>
  <c r="BT537" i="3"/>
  <c r="H538" i="3"/>
  <c r="G538" i="3" s="1"/>
  <c r="AC538" i="3"/>
  <c r="BB538" i="3"/>
  <c r="BC538" i="3"/>
  <c r="BD538" i="3"/>
  <c r="BA538" i="3" s="1"/>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R5" i="3" s="1"/>
  <c r="BS539" i="3"/>
  <c r="BT539" i="3"/>
  <c r="H540" i="3"/>
  <c r="AC540" i="3"/>
  <c r="G540" i="3" s="1"/>
  <c r="BB540" i="3"/>
  <c r="BC540" i="3"/>
  <c r="BD540" i="3"/>
  <c r="BE540" i="3"/>
  <c r="BF540" i="3"/>
  <c r="BG540" i="3"/>
  <c r="BH540" i="3"/>
  <c r="BI540" i="3"/>
  <c r="BJ540" i="3"/>
  <c r="BK540" i="3"/>
  <c r="BM540" i="3"/>
  <c r="BN540" i="3"/>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J5" i="3" s="1"/>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K5" i="3" s="1"/>
  <c r="BM544" i="3"/>
  <c r="BN544" i="3"/>
  <c r="BO544" i="3"/>
  <c r="BP544" i="3"/>
  <c r="BQ544" i="3"/>
  <c r="BR544" i="3"/>
  <c r="BS544" i="3"/>
  <c r="BT544" i="3"/>
  <c r="H545" i="3"/>
  <c r="AC545" i="3"/>
  <c r="G545" i="3" s="1"/>
  <c r="BB545" i="3"/>
  <c r="BC545" i="3"/>
  <c r="BA545" i="3" s="1"/>
  <c r="BD545" i="3"/>
  <c r="BE545" i="3"/>
  <c r="BF545" i="3"/>
  <c r="BG545" i="3"/>
  <c r="BH545" i="3"/>
  <c r="BI545" i="3"/>
  <c r="BJ545" i="3"/>
  <c r="BK545" i="3"/>
  <c r="BM545" i="3"/>
  <c r="BN545" i="3"/>
  <c r="BO545" i="3"/>
  <c r="BP545" i="3"/>
  <c r="BR545" i="3"/>
  <c r="BS545" i="3"/>
  <c r="BT545" i="3"/>
  <c r="H546" i="3"/>
  <c r="G546" i="3" s="1"/>
  <c r="AC546" i="3"/>
  <c r="BB546" i="3"/>
  <c r="BC546" i="3"/>
  <c r="BD546" i="3"/>
  <c r="BA546" i="3" s="1"/>
  <c r="BE546" i="3"/>
  <c r="BF546" i="3"/>
  <c r="BG546" i="3"/>
  <c r="BH546" i="3"/>
  <c r="BI546" i="3"/>
  <c r="BJ546" i="3"/>
  <c r="BK546" i="3"/>
  <c r="BM546" i="3"/>
  <c r="BN546" i="3"/>
  <c r="BO546" i="3"/>
  <c r="BP546" i="3"/>
  <c r="BQ546" i="3"/>
  <c r="BR546" i="3"/>
  <c r="BS546" i="3"/>
  <c r="BT546" i="3"/>
  <c r="H547" i="3"/>
  <c r="G547" i="3" s="1"/>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G549" i="3" s="1"/>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L571" i="3" s="1"/>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L579" i="3" s="1"/>
  <c r="BR579" i="3"/>
  <c r="BS579" i="3"/>
  <c r="BT579" i="3"/>
  <c r="H580" i="3"/>
  <c r="G580" i="3" s="1"/>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s="1"/>
  <c r="G99" i="37" s="1"/>
  <c r="H99" i="37" s="1"/>
  <c r="I99" i="37" s="1"/>
  <c r="J99" i="37" s="1"/>
  <c r="K99" i="37" s="1"/>
  <c r="L99" i="37" s="1"/>
  <c r="M99" i="37" s="1"/>
  <c r="H42" i="34"/>
  <c r="AB42" i="34" s="1"/>
  <c r="J42" i="34"/>
  <c r="W42" i="34" s="1"/>
  <c r="F42" i="34"/>
  <c r="J38" i="34"/>
  <c r="W38" i="34"/>
  <c r="D114" i="34"/>
  <c r="F38" i="34"/>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S41" i="21" s="1"/>
  <c r="J41" i="21"/>
  <c r="AC41" i="21" s="1"/>
  <c r="H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H38" i="40" s="1"/>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B101" i="40"/>
  <c r="J31" i="40"/>
  <c r="D100" i="40"/>
  <c r="E100" i="40"/>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c r="G90" i="40" s="1"/>
  <c r="D88" i="40"/>
  <c r="E88" i="40"/>
  <c r="D86" i="40"/>
  <c r="E86" i="40" s="1"/>
  <c r="F86" i="40" s="1"/>
  <c r="G86" i="40"/>
  <c r="D84" i="40"/>
  <c r="E84" i="40" s="1"/>
  <c r="F84" i="40" s="1"/>
  <c r="G84" i="40"/>
  <c r="B81" i="40"/>
  <c r="B79" i="40"/>
  <c r="B77" i="40"/>
  <c r="J12" i="40"/>
  <c r="AC12" i="40" s="1"/>
  <c r="M74" i="40"/>
  <c r="L74" i="40"/>
  <c r="K74" i="40"/>
  <c r="J74" i="40"/>
  <c r="I74" i="40"/>
  <c r="H74" i="40"/>
  <c r="G74" i="40"/>
  <c r="F74" i="40"/>
  <c r="E74" i="40"/>
  <c r="D74" i="40"/>
  <c r="C74" i="40"/>
  <c r="P43" i="40"/>
  <c r="P42" i="40"/>
  <c r="V41" i="40"/>
  <c r="T41" i="40"/>
  <c r="R41" i="40"/>
  <c r="P41" i="40"/>
  <c r="Q40" i="40"/>
  <c r="Z40" i="40" s="1"/>
  <c r="Q39" i="40"/>
  <c r="Z39" i="40" s="1"/>
  <c r="H39" i="40"/>
  <c r="Q38" i="40"/>
  <c r="Z38" i="40" s="1"/>
  <c r="J38" i="40"/>
  <c r="AC38" i="40"/>
  <c r="Q37" i="40"/>
  <c r="Z37" i="40" s="1"/>
  <c r="Q36" i="40"/>
  <c r="Z36" i="40" s="1"/>
  <c r="Q35" i="40"/>
  <c r="Z35" i="40" s="1"/>
  <c r="Q34" i="40"/>
  <c r="Z34" i="40" s="1"/>
  <c r="J34" i="40"/>
  <c r="AC34" i="40"/>
  <c r="H34" i="40"/>
  <c r="AB34" i="40" s="1"/>
  <c r="F34" i="40"/>
  <c r="AA34" i="40" s="1"/>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c r="F90" i="39" s="1"/>
  <c r="G90" i="39" s="1"/>
  <c r="D88" i="39"/>
  <c r="E88" i="39"/>
  <c r="F88" i="39" s="1"/>
  <c r="G88" i="39" s="1"/>
  <c r="B85" i="39"/>
  <c r="B83" i="39"/>
  <c r="H13" i="39" s="1"/>
  <c r="B81" i="39"/>
  <c r="J12" i="39"/>
  <c r="M78" i="39"/>
  <c r="L78" i="39"/>
  <c r="K78" i="39"/>
  <c r="J78" i="39"/>
  <c r="I78" i="39"/>
  <c r="H78" i="39"/>
  <c r="G78" i="39"/>
  <c r="F78" i="39"/>
  <c r="E78" i="39"/>
  <c r="D78" i="39"/>
  <c r="C78"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F9" i="39"/>
  <c r="AA9" i="39" s="1"/>
  <c r="J8" i="39"/>
  <c r="AC8" i="39" s="1"/>
  <c r="H8" i="39"/>
  <c r="U8" i="39" s="1"/>
  <c r="F8" i="39"/>
  <c r="AA8" i="39" s="1"/>
  <c r="C20" i="36"/>
  <c r="C20" i="35"/>
  <c r="C16" i="36"/>
  <c r="C16" i="35"/>
  <c r="C14" i="36"/>
  <c r="C14" i="35"/>
  <c r="B80" i="37"/>
  <c r="H25" i="37"/>
  <c r="U25" i="37" s="1"/>
  <c r="B110" i="37"/>
  <c r="B108" i="37"/>
  <c r="C23" i="37"/>
  <c r="C19" i="37"/>
  <c r="C17" i="37"/>
  <c r="C15" i="37"/>
  <c r="B112" i="37"/>
  <c r="H40" i="37" s="1"/>
  <c r="U40" i="37" s="1"/>
  <c r="D107" i="37"/>
  <c r="E107" i="37"/>
  <c r="F107" i="37" s="1"/>
  <c r="G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J28" i="37" s="1"/>
  <c r="B84" i="37"/>
  <c r="H27" i="37" s="1"/>
  <c r="U27" i="37"/>
  <c r="B82" i="37"/>
  <c r="D79" i="37"/>
  <c r="E79" i="37" s="1"/>
  <c r="D75" i="37"/>
  <c r="E75" i="37"/>
  <c r="D73" i="37"/>
  <c r="E73" i="37" s="1"/>
  <c r="F73" i="37"/>
  <c r="D71" i="37"/>
  <c r="H15" i="37"/>
  <c r="AB15" i="37" s="1"/>
  <c r="B68" i="37"/>
  <c r="H14" i="37"/>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c r="B91" i="36"/>
  <c r="F32" i="36" s="1"/>
  <c r="B95" i="36"/>
  <c r="D83" i="36"/>
  <c r="E83" i="36" s="1"/>
  <c r="F83" i="36"/>
  <c r="G83" i="36" s="1"/>
  <c r="H83" i="36" s="1"/>
  <c r="I83" i="36" s="1"/>
  <c r="J83" i="36" s="1"/>
  <c r="K83" i="36" s="1"/>
  <c r="L83" i="36" s="1"/>
  <c r="M83" i="36" s="1"/>
  <c r="D78" i="36"/>
  <c r="E78" i="36" s="1"/>
  <c r="F78" i="36"/>
  <c r="G78" i="36" s="1"/>
  <c r="H78" i="36" s="1"/>
  <c r="I78" i="36" s="1"/>
  <c r="J78" i="36" s="1"/>
  <c r="K78" i="36" s="1"/>
  <c r="L78" i="36" s="1"/>
  <c r="M78" i="36" s="1"/>
  <c r="B75" i="36"/>
  <c r="B73" i="36"/>
  <c r="B71" i="36"/>
  <c r="H23" i="36" s="1"/>
  <c r="AB23" i="36" s="1"/>
  <c r="D70" i="36"/>
  <c r="H22" i="36"/>
  <c r="AB22" i="36" s="1"/>
  <c r="D68" i="36"/>
  <c r="E68" i="36" s="1"/>
  <c r="F68" i="36"/>
  <c r="G68" i="36"/>
  <c r="D64" i="36"/>
  <c r="E64" i="36" s="1"/>
  <c r="F64" i="36" s="1"/>
  <c r="G64" i="36"/>
  <c r="J16" i="36"/>
  <c r="W16" i="36" s="1"/>
  <c r="D62" i="36"/>
  <c r="E62" i="36" s="1"/>
  <c r="F62" i="36" s="1"/>
  <c r="G62" i="36" s="1"/>
  <c r="B59" i="36"/>
  <c r="B57" i="36"/>
  <c r="J12" i="36" s="1"/>
  <c r="B55" i="36"/>
  <c r="H11" i="36" s="1"/>
  <c r="U11" i="36" s="1"/>
  <c r="C51" i="36"/>
  <c r="H9" i="36" s="1"/>
  <c r="AB9" i="36" s="1"/>
  <c r="P37" i="36"/>
  <c r="P36" i="36"/>
  <c r="V35" i="36"/>
  <c r="T35" i="36"/>
  <c r="R35" i="36"/>
  <c r="P35" i="36"/>
  <c r="Q34" i="36"/>
  <c r="Z34" i="36" s="1"/>
  <c r="Q33" i="36"/>
  <c r="Z33" i="36" s="1"/>
  <c r="Q32" i="36"/>
  <c r="Z32" i="36"/>
  <c r="Q31" i="36"/>
  <c r="Z31" i="36" s="1"/>
  <c r="Q30" i="36"/>
  <c r="Z30" i="36" s="1"/>
  <c r="AC30" i="36"/>
  <c r="Q29" i="36"/>
  <c r="Z29" i="36" s="1"/>
  <c r="Q28" i="36"/>
  <c r="Z28" i="36" s="1"/>
  <c r="J28" i="36"/>
  <c r="Q27" i="36"/>
  <c r="Z27" i="36"/>
  <c r="Q26" i="36"/>
  <c r="Z26" i="36" s="1"/>
  <c r="H26" i="36"/>
  <c r="AB26" i="36" s="1"/>
  <c r="Q25" i="36"/>
  <c r="Z25" i="36" s="1"/>
  <c r="Q24" i="36"/>
  <c r="Z24" i="36" s="1"/>
  <c r="Q23" i="36"/>
  <c r="Z23" i="36" s="1"/>
  <c r="J23" i="36"/>
  <c r="AC23" i="36" s="1"/>
  <c r="F23" i="36"/>
  <c r="AA23" i="36"/>
  <c r="Q22" i="36"/>
  <c r="Z22" i="36" s="1"/>
  <c r="J22" i="36"/>
  <c r="AC22" i="36" s="1"/>
  <c r="Q20" i="36"/>
  <c r="Z20" i="36" s="1"/>
  <c r="Q16" i="36"/>
  <c r="Z16" i="36"/>
  <c r="Q14" i="36"/>
  <c r="Z14" i="36" s="1"/>
  <c r="Q13" i="36"/>
  <c r="Z13" i="36" s="1"/>
  <c r="Q12" i="36"/>
  <c r="Z12" i="36" s="1"/>
  <c r="H12" i="36"/>
  <c r="AB12" i="36" s="1"/>
  <c r="U12" i="36"/>
  <c r="Q11" i="36"/>
  <c r="Z11" i="36" s="1"/>
  <c r="Q10" i="36"/>
  <c r="Z10" i="36" s="1"/>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B101" i="35"/>
  <c r="H36" i="35" s="1"/>
  <c r="AB36" i="35" s="1"/>
  <c r="B99" i="35"/>
  <c r="B97" i="35"/>
  <c r="H34" i="35" s="1"/>
  <c r="U34" i="35" s="1"/>
  <c r="B77" i="35"/>
  <c r="B75" i="35"/>
  <c r="J24" i="35" s="1"/>
  <c r="AC24" i="35"/>
  <c r="B73" i="35"/>
  <c r="B57" i="35"/>
  <c r="B61" i="35"/>
  <c r="B59" i="35"/>
  <c r="B131" i="34"/>
  <c r="B129" i="34"/>
  <c r="B127" i="34"/>
  <c r="B99" i="34"/>
  <c r="B97" i="34"/>
  <c r="B95" i="34"/>
  <c r="B93" i="34"/>
  <c r="B75" i="34"/>
  <c r="B73" i="34"/>
  <c r="B71" i="34"/>
  <c r="J12" i="34" s="1"/>
  <c r="W12" i="34" s="1"/>
  <c r="B130" i="33"/>
  <c r="B128" i="33"/>
  <c r="B126" i="33"/>
  <c r="B98" i="33"/>
  <c r="B96" i="33"/>
  <c r="B94" i="33"/>
  <c r="B74" i="33"/>
  <c r="B72" i="33"/>
  <c r="B70" i="33"/>
  <c r="H12" i="33" s="1"/>
  <c r="U12" i="33" s="1"/>
  <c r="J12" i="33"/>
  <c r="D96" i="35"/>
  <c r="E96" i="35" s="1"/>
  <c r="F96" i="35"/>
  <c r="G96" i="35" s="1"/>
  <c r="D94" i="35"/>
  <c r="E94" i="35" s="1"/>
  <c r="F94" i="35" s="1"/>
  <c r="G94" i="35"/>
  <c r="H94" i="35" s="1"/>
  <c r="I94" i="35" s="1"/>
  <c r="J94" i="35" s="1"/>
  <c r="K94" i="35" s="1"/>
  <c r="L94" i="35" s="1"/>
  <c r="M94" i="35" s="1"/>
  <c r="D84" i="35"/>
  <c r="E84" i="35" s="1"/>
  <c r="F84" i="35" s="1"/>
  <c r="G84" i="35" s="1"/>
  <c r="H84" i="35" s="1"/>
  <c r="I84" i="35" s="1"/>
  <c r="J84" i="35" s="1"/>
  <c r="K84" i="35" s="1"/>
  <c r="L84" i="35" s="1"/>
  <c r="M84" i="35" s="1"/>
  <c r="D80" i="35"/>
  <c r="E80" i="35"/>
  <c r="F80" i="35" s="1"/>
  <c r="G80" i="35" s="1"/>
  <c r="H80" i="35" s="1"/>
  <c r="I80" i="35"/>
  <c r="J80" i="35" s="1"/>
  <c r="K80" i="35" s="1"/>
  <c r="L80" i="35" s="1"/>
  <c r="M80" i="35" s="1"/>
  <c r="D72" i="35"/>
  <c r="E72" i="35" s="1"/>
  <c r="F72" i="35" s="1"/>
  <c r="G72" i="35" s="1"/>
  <c r="D70" i="35"/>
  <c r="E70" i="35" s="1"/>
  <c r="F70" i="35" s="1"/>
  <c r="G70" i="35" s="1"/>
  <c r="D66" i="35"/>
  <c r="E66" i="35"/>
  <c r="F66" i="35" s="1"/>
  <c r="G66" i="35" s="1"/>
  <c r="D64" i="35"/>
  <c r="E64" i="35"/>
  <c r="F64" i="35" s="1"/>
  <c r="G64" i="35"/>
  <c r="J14" i="35"/>
  <c r="W14" i="35" s="1"/>
  <c r="C53" i="35"/>
  <c r="J9" i="35"/>
  <c r="P39" i="35"/>
  <c r="P38" i="35"/>
  <c r="V37" i="35"/>
  <c r="T37" i="35"/>
  <c r="R37" i="35"/>
  <c r="P37" i="35"/>
  <c r="Q36" i="35"/>
  <c r="Z36" i="35"/>
  <c r="J36" i="35"/>
  <c r="AC36" i="35" s="1"/>
  <c r="Q35" i="35"/>
  <c r="Z35" i="35" s="1"/>
  <c r="Q34" i="35"/>
  <c r="Z34" i="35" s="1"/>
  <c r="AB34" i="35"/>
  <c r="Q33" i="35"/>
  <c r="Z33" i="35"/>
  <c r="Q32" i="35"/>
  <c r="Z32" i="35"/>
  <c r="H32" i="35"/>
  <c r="AB32" i="35" s="1"/>
  <c r="F32" i="35"/>
  <c r="AA32" i="35" s="1"/>
  <c r="Q31" i="35"/>
  <c r="Z31" i="35"/>
  <c r="AB31" i="35"/>
  <c r="Q30" i="35"/>
  <c r="Z30" i="35" s="1"/>
  <c r="Q29" i="35"/>
  <c r="Z29" i="35" s="1"/>
  <c r="Q28" i="35"/>
  <c r="Z28" i="35"/>
  <c r="J28" i="35"/>
  <c r="H28" i="35"/>
  <c r="AB28" i="35" s="1"/>
  <c r="F28" i="35"/>
  <c r="AA28" i="35" s="1"/>
  <c r="Q27" i="35"/>
  <c r="Z27" i="35"/>
  <c r="Q26" i="35"/>
  <c r="Z26" i="35" s="1"/>
  <c r="Q25" i="35"/>
  <c r="Z25" i="35" s="1"/>
  <c r="Q24" i="35"/>
  <c r="Z24" i="35" s="1"/>
  <c r="Q23" i="35"/>
  <c r="Z23" i="35" s="1"/>
  <c r="Q22" i="35"/>
  <c r="Z22" i="35"/>
  <c r="Q20" i="35"/>
  <c r="Z20" i="35" s="1"/>
  <c r="Q16" i="35"/>
  <c r="Z16" i="35"/>
  <c r="Q14" i="35"/>
  <c r="Z14" i="35" s="1"/>
  <c r="Q13" i="35"/>
  <c r="Z13" i="35" s="1"/>
  <c r="Q12" i="35"/>
  <c r="Z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s="1"/>
  <c r="Q45" i="34"/>
  <c r="Z45" i="34" s="1"/>
  <c r="Q44" i="34"/>
  <c r="Z44" i="34"/>
  <c r="Q43" i="34"/>
  <c r="Z43" i="34" s="1"/>
  <c r="Q42" i="34"/>
  <c r="Z42" i="34" s="1"/>
  <c r="Q41" i="34"/>
  <c r="Z41" i="34" s="1"/>
  <c r="Q40" i="34"/>
  <c r="Z40" i="34"/>
  <c r="Q39" i="34"/>
  <c r="Z39" i="34" s="1"/>
  <c r="H39" i="34"/>
  <c r="AB39" i="34" s="1"/>
  <c r="Q38" i="34"/>
  <c r="Z38" i="34" s="1"/>
  <c r="Q37" i="34"/>
  <c r="Z37" i="34"/>
  <c r="Q36" i="34"/>
  <c r="Z36" i="34" s="1"/>
  <c r="Q35" i="34"/>
  <c r="Z35" i="34" s="1"/>
  <c r="Q34" i="34"/>
  <c r="Z34" i="34" s="1"/>
  <c r="J34" i="34"/>
  <c r="AC34" i="34" s="1"/>
  <c r="H34" i="34"/>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c r="Q14" i="34"/>
  <c r="Z14" i="34"/>
  <c r="Q13" i="34"/>
  <c r="Z13" i="34"/>
  <c r="Q12" i="34"/>
  <c r="Z12" i="34"/>
  <c r="H12" i="34"/>
  <c r="F12" i="34"/>
  <c r="S12" i="34" s="1"/>
  <c r="Q11" i="34"/>
  <c r="Z11" i="34" s="1"/>
  <c r="Q10" i="34"/>
  <c r="Z10" i="34" s="1"/>
  <c r="F10" i="34"/>
  <c r="AA10" i="34" s="1"/>
  <c r="Q9" i="34"/>
  <c r="Z9" i="34"/>
  <c r="J8" i="34"/>
  <c r="AC8" i="34" s="1"/>
  <c r="H8" i="34"/>
  <c r="U8" i="34" s="1"/>
  <c r="F8" i="34"/>
  <c r="AA8" i="34" s="1"/>
  <c r="D121" i="33"/>
  <c r="E121" i="33" s="1"/>
  <c r="F109" i="33"/>
  <c r="E109" i="33"/>
  <c r="D109" i="33"/>
  <c r="C109" i="33"/>
  <c r="D91" i="33"/>
  <c r="E91" i="33"/>
  <c r="B88" i="33"/>
  <c r="J26" i="33" s="1"/>
  <c r="C23" i="33"/>
  <c r="C19" i="33"/>
  <c r="C17" i="33"/>
  <c r="C15" i="33"/>
  <c r="C15" i="21"/>
  <c r="D125" i="33"/>
  <c r="D123" i="33"/>
  <c r="D117" i="33"/>
  <c r="E117" i="33"/>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F28" i="33" s="1"/>
  <c r="AA28" i="33" s="1"/>
  <c r="B90" i="33"/>
  <c r="D87" i="33"/>
  <c r="E87" i="33" s="1"/>
  <c r="D85" i="33"/>
  <c r="E85" i="33"/>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P49" i="33"/>
  <c r="P48" i="33"/>
  <c r="V47" i="33"/>
  <c r="T47" i="33"/>
  <c r="R47" i="33"/>
  <c r="P47" i="33"/>
  <c r="Q46" i="33"/>
  <c r="Z46" i="33" s="1"/>
  <c r="Q45" i="33"/>
  <c r="Z45" i="33" s="1"/>
  <c r="Q44" i="33"/>
  <c r="Z44" i="33" s="1"/>
  <c r="Q43" i="33"/>
  <c r="Z43" i="33" s="1"/>
  <c r="Q42" i="33"/>
  <c r="Z42" i="33"/>
  <c r="J42" i="33"/>
  <c r="AC42" i="33" s="1"/>
  <c r="W41" i="33"/>
  <c r="Q41" i="33"/>
  <c r="Z41" i="33" s="1"/>
  <c r="Q40" i="33"/>
  <c r="Z40" i="33" s="1"/>
  <c r="J40" i="33"/>
  <c r="AC40" i="33" s="1"/>
  <c r="H40" i="33"/>
  <c r="AA40" i="33"/>
  <c r="Q39" i="33"/>
  <c r="Z39" i="33"/>
  <c r="J39" i="33"/>
  <c r="AC39" i="33" s="1"/>
  <c r="Q38" i="33"/>
  <c r="Z38" i="33" s="1"/>
  <c r="J38" i="33"/>
  <c r="AC38" i="33" s="1"/>
  <c r="H38" i="33"/>
  <c r="AB38" i="33"/>
  <c r="F38" i="33"/>
  <c r="AA38" i="33" s="1"/>
  <c r="Q37" i="33"/>
  <c r="Z37" i="33" s="1"/>
  <c r="Q36" i="33"/>
  <c r="Z36" i="33" s="1"/>
  <c r="Q35" i="33"/>
  <c r="Z35" i="33"/>
  <c r="H35" i="33"/>
  <c r="Q34" i="33"/>
  <c r="Z34" i="33" s="1"/>
  <c r="Q33" i="33"/>
  <c r="Z33" i="33" s="1"/>
  <c r="J33" i="33"/>
  <c r="AC33" i="33" s="1"/>
  <c r="H33" i="33"/>
  <c r="F33" i="33"/>
  <c r="AA33" i="33" s="1"/>
  <c r="Q32" i="33"/>
  <c r="Z32" i="33" s="1"/>
  <c r="Q31" i="33"/>
  <c r="Z31" i="33"/>
  <c r="Q30" i="33"/>
  <c r="Z30" i="33" s="1"/>
  <c r="Q29" i="33"/>
  <c r="Z29" i="33"/>
  <c r="Q28" i="33"/>
  <c r="Z28" i="33" s="1"/>
  <c r="Q27" i="33"/>
  <c r="Z27" i="33" s="1"/>
  <c r="Q26" i="33"/>
  <c r="Z26" i="33" s="1"/>
  <c r="Q25" i="33"/>
  <c r="Z25" i="33"/>
  <c r="Q23" i="33"/>
  <c r="Z23" i="33" s="1"/>
  <c r="Q19" i="33"/>
  <c r="Z19" i="33" s="1"/>
  <c r="Q17" i="33"/>
  <c r="Z17" i="33" s="1"/>
  <c r="Q15" i="33"/>
  <c r="Z15" i="33"/>
  <c r="F15" i="33"/>
  <c r="AA15" i="33" s="1"/>
  <c r="Q14" i="33"/>
  <c r="Z14" i="33" s="1"/>
  <c r="Q13" i="33"/>
  <c r="Z13" i="33" s="1"/>
  <c r="Q12" i="33"/>
  <c r="Z12" i="33" s="1"/>
  <c r="Q11" i="33"/>
  <c r="Z11" i="33" s="1"/>
  <c r="Q10" i="33"/>
  <c r="Z10" i="33" s="1"/>
  <c r="Q9" i="33"/>
  <c r="Z9" i="33"/>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C21" i="20"/>
  <c r="B99" i="43" s="1"/>
  <c r="C20" i="20"/>
  <c r="C18" i="20"/>
  <c r="B94" i="43" s="1"/>
  <c r="C17" i="20"/>
  <c r="B61" i="43"/>
  <c r="C16" i="20"/>
  <c r="C17" i="39" s="1"/>
  <c r="C15" i="20"/>
  <c r="B72" i="43"/>
  <c r="E54" i="21"/>
  <c r="F54" i="21" s="1"/>
  <c r="I54" i="21"/>
  <c r="J54" i="21" s="1"/>
  <c r="G54" i="21"/>
  <c r="H54" i="21" s="1"/>
  <c r="D125" i="21"/>
  <c r="E125" i="21"/>
  <c r="F125" i="21" s="1"/>
  <c r="G125" i="21" s="1"/>
  <c r="D123" i="21"/>
  <c r="E123" i="21" s="1"/>
  <c r="F123" i="21" s="1"/>
  <c r="G123" i="21" s="1"/>
  <c r="H123" i="21" s="1"/>
  <c r="F42" i="21"/>
  <c r="AA42" i="21" s="1"/>
  <c r="D119" i="21"/>
  <c r="E119" i="21" s="1"/>
  <c r="F119" i="21" s="1"/>
  <c r="G119" i="21" s="1"/>
  <c r="H119" i="21" s="1"/>
  <c r="I119" i="21" s="1"/>
  <c r="J119" i="21" s="1"/>
  <c r="K119" i="21" s="1"/>
  <c r="L119" i="21" s="1"/>
  <c r="M119" i="21" s="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c r="D77" i="21"/>
  <c r="E77" i="21" s="1"/>
  <c r="B130" i="21"/>
  <c r="B128" i="21"/>
  <c r="J45" i="21"/>
  <c r="W45" i="21" s="1"/>
  <c r="B126" i="21"/>
  <c r="B98" i="21"/>
  <c r="B96" i="21"/>
  <c r="B94" i="21"/>
  <c r="J29" i="21"/>
  <c r="AC29" i="21" s="1"/>
  <c r="B92" i="21"/>
  <c r="B90" i="21"/>
  <c r="J27" i="21"/>
  <c r="W27" i="21" s="1"/>
  <c r="B74" i="21"/>
  <c r="H14" i="21" s="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F5" i="3"/>
  <c r="G27" i="6"/>
  <c r="F34" i="21"/>
  <c r="AA34" i="21" s="1"/>
  <c r="H34" i="21"/>
  <c r="AB34" i="21"/>
  <c r="F43" i="21"/>
  <c r="S43" i="21" s="1"/>
  <c r="H38" i="21"/>
  <c r="U38" i="21"/>
  <c r="H43" i="21"/>
  <c r="AB43" i="21" s="1"/>
  <c r="F38" i="21"/>
  <c r="S38" i="21" s="1"/>
  <c r="F36" i="21"/>
  <c r="S36" i="21" s="1"/>
  <c r="F39" i="21"/>
  <c r="AA39" i="21"/>
  <c r="J40" i="21"/>
  <c r="W40" i="21" s="1"/>
  <c r="H35" i="21"/>
  <c r="AB35" i="21" s="1"/>
  <c r="J8" i="21"/>
  <c r="AC8" i="21" s="1"/>
  <c r="H8" i="21"/>
  <c r="U8" i="21" s="1"/>
  <c r="H10" i="21"/>
  <c r="AB10" i="21" s="1"/>
  <c r="H39" i="21"/>
  <c r="U39" i="21"/>
  <c r="J34" i="21"/>
  <c r="W34" i="21"/>
  <c r="H36" i="21"/>
  <c r="U36" i="21"/>
  <c r="F35" i="21"/>
  <c r="AA35" i="21"/>
  <c r="J10" i="21"/>
  <c r="AC10" i="21" s="1"/>
  <c r="H26" i="21"/>
  <c r="AB26" i="21" s="1"/>
  <c r="AB19" i="21"/>
  <c r="J19" i="21"/>
  <c r="W19" i="21" s="1"/>
  <c r="J26" i="21"/>
  <c r="W26" i="21" s="1"/>
  <c r="F26" i="21"/>
  <c r="S26" i="21"/>
  <c r="AA41" i="21"/>
  <c r="F45" i="39"/>
  <c r="S45" i="39"/>
  <c r="J44" i="39"/>
  <c r="AC44" i="39"/>
  <c r="F36" i="39"/>
  <c r="S36" i="39" s="1"/>
  <c r="H36" i="39"/>
  <c r="AB36" i="39"/>
  <c r="J35" i="39"/>
  <c r="AC35" i="39" s="1"/>
  <c r="F35" i="39"/>
  <c r="AA35" i="39" s="1"/>
  <c r="J36" i="39"/>
  <c r="AC36" i="39" s="1"/>
  <c r="W40" i="39"/>
  <c r="W25" i="37"/>
  <c r="U30" i="37"/>
  <c r="E103" i="37"/>
  <c r="F103" i="37" s="1"/>
  <c r="G103" i="37" s="1"/>
  <c r="H103" i="37" s="1"/>
  <c r="I103" i="37" s="1"/>
  <c r="J103" i="37" s="1"/>
  <c r="K103" i="37" s="1"/>
  <c r="L103" i="37" s="1"/>
  <c r="M103" i="37" s="1"/>
  <c r="F29" i="36"/>
  <c r="AA29" i="36" s="1"/>
  <c r="F16" i="36"/>
  <c r="AA16" i="36" s="1"/>
  <c r="U31" i="36"/>
  <c r="J33" i="36"/>
  <c r="AC33" i="36" s="1"/>
  <c r="H22" i="35"/>
  <c r="AB22" i="35" s="1"/>
  <c r="AC27" i="35"/>
  <c r="U31" i="35"/>
  <c r="S31" i="35"/>
  <c r="F36" i="34"/>
  <c r="J35" i="34"/>
  <c r="AC35" i="34" s="1"/>
  <c r="H39" i="33"/>
  <c r="AB39" i="33" s="1"/>
  <c r="F26" i="33"/>
  <c r="AA26" i="33"/>
  <c r="S40" i="33"/>
  <c r="W33" i="33"/>
  <c r="W39" i="33"/>
  <c r="S27" i="35"/>
  <c r="F11" i="40"/>
  <c r="AA11" i="40" s="1"/>
  <c r="H11" i="40"/>
  <c r="AB11" i="40" s="1"/>
  <c r="W8" i="40"/>
  <c r="AA9" i="40"/>
  <c r="U9" i="40"/>
  <c r="S34" i="40"/>
  <c r="U34" i="40"/>
  <c r="S38" i="40"/>
  <c r="F42" i="39"/>
  <c r="AA42" i="39" s="1"/>
  <c r="F41" i="39"/>
  <c r="H40" i="39"/>
  <c r="AB40" i="39" s="1"/>
  <c r="H39" i="39"/>
  <c r="U39" i="39" s="1"/>
  <c r="S38" i="39"/>
  <c r="S34" i="39"/>
  <c r="H34" i="39"/>
  <c r="U34" i="39" s="1"/>
  <c r="E108" i="39"/>
  <c r="F108" i="39" s="1"/>
  <c r="G108" i="39" s="1"/>
  <c r="H108" i="39" s="1"/>
  <c r="I108" i="39" s="1"/>
  <c r="J108" i="39" s="1"/>
  <c r="K108" i="39" s="1"/>
  <c r="L108" i="39" s="1"/>
  <c r="M108" i="39" s="1"/>
  <c r="F31" i="39"/>
  <c r="AA31" i="39" s="1"/>
  <c r="E100" i="39"/>
  <c r="F100" i="39" s="1"/>
  <c r="H19" i="39"/>
  <c r="AB19" i="39" s="1"/>
  <c r="F19" i="39"/>
  <c r="AA19" i="39" s="1"/>
  <c r="H17" i="39"/>
  <c r="AB17" i="39" s="1"/>
  <c r="F17" i="39"/>
  <c r="AA17" i="39" s="1"/>
  <c r="J23" i="40"/>
  <c r="AC23" i="40"/>
  <c r="F21" i="40"/>
  <c r="AA21" i="40"/>
  <c r="J21" i="40"/>
  <c r="W21" i="40"/>
  <c r="H42" i="39"/>
  <c r="AB42" i="39" s="1"/>
  <c r="J34" i="39"/>
  <c r="AC34" i="39" s="1"/>
  <c r="J31" i="39"/>
  <c r="H27" i="39"/>
  <c r="U27" i="39" s="1"/>
  <c r="J19" i="39"/>
  <c r="AC19" i="39" s="1"/>
  <c r="J17" i="39"/>
  <c r="J27" i="39"/>
  <c r="AC27" i="39"/>
  <c r="F27" i="39"/>
  <c r="F11" i="21"/>
  <c r="S11" i="21" s="1"/>
  <c r="S40" i="21"/>
  <c r="U34" i="21"/>
  <c r="H11" i="39"/>
  <c r="C15" i="39"/>
  <c r="H32" i="33"/>
  <c r="AB32" i="33"/>
  <c r="H11" i="21"/>
  <c r="U11" i="21" s="1"/>
  <c r="J11" i="21"/>
  <c r="W11" i="21" s="1"/>
  <c r="H37" i="40"/>
  <c r="U37" i="40"/>
  <c r="H36" i="40"/>
  <c r="AB36" i="40" s="1"/>
  <c r="F35" i="40"/>
  <c r="AA35" i="40" s="1"/>
  <c r="H23" i="40"/>
  <c r="AB23" i="40" s="1"/>
  <c r="H17" i="40"/>
  <c r="U17" i="40"/>
  <c r="J15" i="40"/>
  <c r="W15" i="40" s="1"/>
  <c r="J11" i="40"/>
  <c r="AB8" i="39"/>
  <c r="AC12" i="34"/>
  <c r="F37" i="39"/>
  <c r="AA37" i="39" s="1"/>
  <c r="U30" i="36"/>
  <c r="J30" i="35"/>
  <c r="W30" i="35" s="1"/>
  <c r="H30" i="35"/>
  <c r="AB30" i="35" s="1"/>
  <c r="F22" i="35"/>
  <c r="AA22" i="35"/>
  <c r="H10" i="35"/>
  <c r="U10" i="35" s="1"/>
  <c r="F33" i="36"/>
  <c r="AA33" i="36" s="1"/>
  <c r="W30" i="36"/>
  <c r="H16" i="36"/>
  <c r="AB16" i="36"/>
  <c r="J29" i="36"/>
  <c r="AC29" i="36" s="1"/>
  <c r="F12" i="36"/>
  <c r="F24" i="36"/>
  <c r="AA24" i="36" s="1"/>
  <c r="F14" i="35"/>
  <c r="AA14" i="35"/>
  <c r="J32" i="35"/>
  <c r="AC32" i="35" s="1"/>
  <c r="J16" i="35"/>
  <c r="AC16" i="35"/>
  <c r="H16" i="35"/>
  <c r="U16" i="35"/>
  <c r="F16" i="35"/>
  <c r="S16" i="35"/>
  <c r="H14" i="35"/>
  <c r="AB14" i="35"/>
  <c r="J29" i="35"/>
  <c r="H33" i="35"/>
  <c r="J20" i="35"/>
  <c r="W20" i="35"/>
  <c r="F35" i="37"/>
  <c r="S35" i="37" s="1"/>
  <c r="E101" i="37"/>
  <c r="F101" i="37" s="1"/>
  <c r="G101" i="37" s="1"/>
  <c r="H101" i="37" s="1"/>
  <c r="I101" i="37" s="1"/>
  <c r="J101" i="37" s="1"/>
  <c r="K101" i="37" s="1"/>
  <c r="L101" i="37" s="1"/>
  <c r="M101" i="37" s="1"/>
  <c r="J34" i="37"/>
  <c r="W34" i="37" s="1"/>
  <c r="AB34" i="37"/>
  <c r="J33" i="37"/>
  <c r="AC33" i="37" s="1"/>
  <c r="H40" i="34"/>
  <c r="U40" i="34" s="1"/>
  <c r="E114" i="34"/>
  <c r="H36" i="34"/>
  <c r="U36" i="34" s="1"/>
  <c r="F37" i="34"/>
  <c r="AA37" i="34" s="1"/>
  <c r="F25" i="34"/>
  <c r="S25" i="34" s="1"/>
  <c r="H23" i="34"/>
  <c r="AB23" i="34" s="1"/>
  <c r="J23" i="34"/>
  <c r="W23" i="34" s="1"/>
  <c r="F19" i="34"/>
  <c r="H17" i="34"/>
  <c r="AB17" i="34" s="1"/>
  <c r="U17" i="34"/>
  <c r="F15" i="34"/>
  <c r="AA15" i="34" s="1"/>
  <c r="J15" i="34"/>
  <c r="H15" i="34"/>
  <c r="AB15" i="34" s="1"/>
  <c r="F41" i="33"/>
  <c r="S41" i="33" s="1"/>
  <c r="AA41" i="33"/>
  <c r="S38" i="33"/>
  <c r="E113" i="33"/>
  <c r="F32" i="33"/>
  <c r="AA32" i="33"/>
  <c r="J19" i="33"/>
  <c r="AC19" i="33"/>
  <c r="J15" i="33"/>
  <c r="AC15" i="33"/>
  <c r="F11" i="33"/>
  <c r="AA11" i="33" s="1"/>
  <c r="S26" i="33"/>
  <c r="W40" i="33"/>
  <c r="F37" i="40"/>
  <c r="AA37" i="40"/>
  <c r="F36" i="40"/>
  <c r="AA36" i="40"/>
  <c r="H28" i="40"/>
  <c r="U28" i="40"/>
  <c r="F23" i="40"/>
  <c r="AA23" i="40"/>
  <c r="F17" i="40"/>
  <c r="AA17" i="40" s="1"/>
  <c r="J17" i="40"/>
  <c r="W17" i="40" s="1"/>
  <c r="F15" i="40"/>
  <c r="S15" i="40" s="1"/>
  <c r="H15" i="40"/>
  <c r="AB15" i="40"/>
  <c r="S12" i="36"/>
  <c r="AA12" i="36"/>
  <c r="AB30" i="36"/>
  <c r="F29" i="35"/>
  <c r="S29" i="35" s="1"/>
  <c r="H29" i="35"/>
  <c r="AB29" i="35" s="1"/>
  <c r="H33" i="37"/>
  <c r="F33" i="37"/>
  <c r="AA33" i="37" s="1"/>
  <c r="U34" i="37"/>
  <c r="S34" i="37"/>
  <c r="AA34" i="37"/>
  <c r="J43" i="34"/>
  <c r="AC43" i="34" s="1"/>
  <c r="J40" i="34"/>
  <c r="W40" i="34" s="1"/>
  <c r="F114" i="34"/>
  <c r="G114" i="34" s="1"/>
  <c r="H114" i="34" s="1"/>
  <c r="I114" i="34" s="1"/>
  <c r="J114" i="34" s="1"/>
  <c r="K114" i="34" s="1"/>
  <c r="L114" i="34" s="1"/>
  <c r="M114" i="34" s="1"/>
  <c r="H38" i="34"/>
  <c r="AB38" i="34" s="1"/>
  <c r="J36" i="34"/>
  <c r="W36" i="34"/>
  <c r="H37" i="34"/>
  <c r="U37" i="34" s="1"/>
  <c r="H25" i="34"/>
  <c r="AB25" i="34" s="1"/>
  <c r="J25" i="34"/>
  <c r="AC25" i="34" s="1"/>
  <c r="F23" i="34"/>
  <c r="AA23" i="34" s="1"/>
  <c r="J19" i="34"/>
  <c r="AC19" i="34" s="1"/>
  <c r="F17" i="34"/>
  <c r="AA17" i="34"/>
  <c r="J17" i="34"/>
  <c r="W17" i="34" s="1"/>
  <c r="F113" i="33"/>
  <c r="G113" i="33" s="1"/>
  <c r="H113" i="33" s="1"/>
  <c r="I113" i="33" s="1"/>
  <c r="J113" i="33" s="1"/>
  <c r="K113" i="33" s="1"/>
  <c r="L113" i="33" s="1"/>
  <c r="M113" i="33" s="1"/>
  <c r="H37" i="33"/>
  <c r="AB37" i="33" s="1"/>
  <c r="H15" i="33"/>
  <c r="AB15" i="33" s="1"/>
  <c r="H11" i="33"/>
  <c r="AB11" i="33" s="1"/>
  <c r="F28" i="40"/>
  <c r="AA28" i="40" s="1"/>
  <c r="AA29" i="35"/>
  <c r="AC38" i="34"/>
  <c r="J37" i="34"/>
  <c r="AC37" i="34" s="1"/>
  <c r="J11" i="33"/>
  <c r="W11" i="33" s="1"/>
  <c r="I123" i="21"/>
  <c r="J123" i="21" s="1"/>
  <c r="K123" i="21" s="1"/>
  <c r="L123" i="21" s="1"/>
  <c r="M123" i="21" s="1"/>
  <c r="J42" i="21"/>
  <c r="AC42" i="21" s="1"/>
  <c r="H42" i="21"/>
  <c r="U42" i="21" s="1"/>
  <c r="J44" i="34"/>
  <c r="AC44" i="34" s="1"/>
  <c r="F44" i="34"/>
  <c r="S44" i="34" s="1"/>
  <c r="J10" i="35"/>
  <c r="AC10" i="35" s="1"/>
  <c r="J14" i="21"/>
  <c r="W14" i="21" s="1"/>
  <c r="F14" i="21"/>
  <c r="S14" i="21" s="1"/>
  <c r="U14" i="21"/>
  <c r="J30" i="21"/>
  <c r="AC30" i="21" s="1"/>
  <c r="J44" i="21"/>
  <c r="H44" i="21"/>
  <c r="U44" i="21"/>
  <c r="F44" i="21"/>
  <c r="AA44" i="21" s="1"/>
  <c r="H26" i="33"/>
  <c r="U26" i="33" s="1"/>
  <c r="H28" i="33"/>
  <c r="U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c r="H14" i="36"/>
  <c r="U14" i="36" s="1"/>
  <c r="F28" i="36"/>
  <c r="AA28" i="36" s="1"/>
  <c r="J13" i="21"/>
  <c r="AC13" i="21" s="1"/>
  <c r="H27" i="21"/>
  <c r="AB27" i="21" s="1"/>
  <c r="F27" i="21"/>
  <c r="AA27" i="21" s="1"/>
  <c r="H29" i="21"/>
  <c r="U29" i="21"/>
  <c r="F31" i="21"/>
  <c r="S31" i="21" s="1"/>
  <c r="F45" i="21"/>
  <c r="AA45" i="21" s="1"/>
  <c r="F27" i="33"/>
  <c r="AA27" i="33"/>
  <c r="J13" i="33"/>
  <c r="H13" i="33"/>
  <c r="U13" i="33" s="1"/>
  <c r="F13" i="33"/>
  <c r="S13" i="33"/>
  <c r="H29" i="33"/>
  <c r="U29" i="33" s="1"/>
  <c r="J31" i="33"/>
  <c r="W31" i="33"/>
  <c r="H31" i="33"/>
  <c r="F31" i="33"/>
  <c r="J14" i="34"/>
  <c r="W14" i="34" s="1"/>
  <c r="H30" i="34"/>
  <c r="F30" i="34"/>
  <c r="S30" i="34"/>
  <c r="J30" i="34"/>
  <c r="H46" i="34"/>
  <c r="AB46" i="34" s="1"/>
  <c r="U46" i="34"/>
  <c r="F46" i="34"/>
  <c r="J46" i="34"/>
  <c r="H11" i="35"/>
  <c r="AB11" i="35" s="1"/>
  <c r="J11" i="35"/>
  <c r="F11" i="35"/>
  <c r="S11" i="35" s="1"/>
  <c r="J26" i="36"/>
  <c r="W26" i="36"/>
  <c r="H28" i="36"/>
  <c r="U28" i="36" s="1"/>
  <c r="H32" i="36"/>
  <c r="AB32" i="36" s="1"/>
  <c r="J32" i="36"/>
  <c r="W32" i="36" s="1"/>
  <c r="J11" i="36"/>
  <c r="AC11" i="36" s="1"/>
  <c r="F11" i="36"/>
  <c r="AA11" i="36" s="1"/>
  <c r="F13" i="36"/>
  <c r="S13" i="36" s="1"/>
  <c r="E89" i="37"/>
  <c r="F89" i="37" s="1"/>
  <c r="G89" i="37" s="1"/>
  <c r="H89" i="37" s="1"/>
  <c r="I89" i="37" s="1"/>
  <c r="J89" i="37" s="1"/>
  <c r="K89" i="37" s="1"/>
  <c r="L89" i="37" s="1"/>
  <c r="M89" i="37" s="1"/>
  <c r="J29" i="37"/>
  <c r="W29" i="37" s="1"/>
  <c r="F29" i="37"/>
  <c r="S29" i="37" s="1"/>
  <c r="F105" i="37"/>
  <c r="G105" i="37" s="1"/>
  <c r="H36" i="37"/>
  <c r="AB36" i="37"/>
  <c r="J37" i="37"/>
  <c r="AC37" i="37" s="1"/>
  <c r="H37" i="37"/>
  <c r="U37" i="37" s="1"/>
  <c r="J40" i="37"/>
  <c r="W40" i="37" s="1"/>
  <c r="F40" i="37"/>
  <c r="AA40" i="37" s="1"/>
  <c r="W12" i="40"/>
  <c r="H14" i="33"/>
  <c r="U14" i="33" s="1"/>
  <c r="F14" i="33"/>
  <c r="S14" i="33" s="1"/>
  <c r="J14" i="33"/>
  <c r="H30" i="33"/>
  <c r="AB30" i="33"/>
  <c r="F30" i="33"/>
  <c r="J30" i="33"/>
  <c r="H44" i="33"/>
  <c r="J44" i="33"/>
  <c r="AC44" i="33" s="1"/>
  <c r="F44" i="33"/>
  <c r="S44" i="33" s="1"/>
  <c r="J46" i="33"/>
  <c r="AC46" i="33" s="1"/>
  <c r="F46" i="33"/>
  <c r="AA46" i="33" s="1"/>
  <c r="H46" i="33"/>
  <c r="AB46" i="33"/>
  <c r="H13" i="34"/>
  <c r="U13" i="34" s="1"/>
  <c r="J13" i="34"/>
  <c r="W13" i="34"/>
  <c r="F13" i="34"/>
  <c r="AA13" i="34" s="1"/>
  <c r="J29" i="34"/>
  <c r="F29" i="34"/>
  <c r="S29" i="34"/>
  <c r="H29" i="34"/>
  <c r="AB29" i="34" s="1"/>
  <c r="J31" i="34"/>
  <c r="AC31" i="34" s="1"/>
  <c r="H31" i="34"/>
  <c r="F31" i="34"/>
  <c r="S31" i="34"/>
  <c r="H45" i="34"/>
  <c r="U45" i="34" s="1"/>
  <c r="J45" i="34"/>
  <c r="W45" i="34" s="1"/>
  <c r="F45" i="34"/>
  <c r="S45" i="34" s="1"/>
  <c r="H47" i="34"/>
  <c r="U47" i="34"/>
  <c r="F47" i="34"/>
  <c r="S47" i="34" s="1"/>
  <c r="J47" i="34"/>
  <c r="F13" i="35"/>
  <c r="J13" i="35"/>
  <c r="AC13" i="35" s="1"/>
  <c r="H13" i="35"/>
  <c r="U13" i="35" s="1"/>
  <c r="J25" i="35"/>
  <c r="W25" i="35"/>
  <c r="F25" i="35"/>
  <c r="S25" i="35" s="1"/>
  <c r="H25" i="35"/>
  <c r="AB25" i="35"/>
  <c r="J35" i="35"/>
  <c r="AC35" i="35" s="1"/>
  <c r="F35" i="35"/>
  <c r="AA35" i="35" s="1"/>
  <c r="H35" i="35"/>
  <c r="J25" i="36"/>
  <c r="W25" i="36"/>
  <c r="F25" i="36"/>
  <c r="S25" i="36" s="1"/>
  <c r="H25" i="36"/>
  <c r="AB25" i="36" s="1"/>
  <c r="H13" i="37"/>
  <c r="AB13" i="37" s="1"/>
  <c r="F13" i="37"/>
  <c r="S13" i="37"/>
  <c r="J13" i="37"/>
  <c r="W13" i="37" s="1"/>
  <c r="F28" i="37"/>
  <c r="AA28" i="37" s="1"/>
  <c r="AC28" i="37"/>
  <c r="H28" i="37"/>
  <c r="H38" i="37"/>
  <c r="AB38" i="37" s="1"/>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J13" i="40"/>
  <c r="W13" i="40" s="1"/>
  <c r="F14" i="37"/>
  <c r="S14" i="37"/>
  <c r="F27" i="37"/>
  <c r="AA27" i="37"/>
  <c r="F13" i="39"/>
  <c r="J13" i="39"/>
  <c r="W13" i="39" s="1"/>
  <c r="H14" i="40"/>
  <c r="U14" i="40" s="1"/>
  <c r="AB14" i="40"/>
  <c r="J14" i="40"/>
  <c r="W14" i="40" s="1"/>
  <c r="F14" i="40"/>
  <c r="AA14" i="40"/>
  <c r="J14" i="37"/>
  <c r="J27" i="37"/>
  <c r="AC27" i="37" s="1"/>
  <c r="AA44" i="33"/>
  <c r="U46" i="33"/>
  <c r="AA14" i="33"/>
  <c r="J36" i="37"/>
  <c r="AC36" i="37"/>
  <c r="J10" i="36"/>
  <c r="AC10" i="36" s="1"/>
  <c r="AB26" i="33"/>
  <c r="AA14" i="37"/>
  <c r="W31" i="34"/>
  <c r="S11" i="36"/>
  <c r="BA586" i="3"/>
  <c r="BA585" i="3"/>
  <c r="F17" i="21"/>
  <c r="AA17" i="21" s="1"/>
  <c r="H17" i="21"/>
  <c r="AB17" i="21" s="1"/>
  <c r="F15" i="21"/>
  <c r="S15" i="21" s="1"/>
  <c r="J41" i="39"/>
  <c r="W41" i="39" s="1"/>
  <c r="W44" i="39"/>
  <c r="U36" i="39"/>
  <c r="S35" i="39"/>
  <c r="G544" i="3"/>
  <c r="G536" i="3"/>
  <c r="G535" i="3"/>
  <c r="G528" i="3"/>
  <c r="G527" i="3"/>
  <c r="G514" i="3"/>
  <c r="G508" i="3"/>
  <c r="G500" i="3"/>
  <c r="G496" i="3"/>
  <c r="G584" i="3"/>
  <c r="G576" i="3"/>
  <c r="G568" i="3"/>
  <c r="G564" i="3"/>
  <c r="G560" i="3"/>
  <c r="G554" i="3"/>
  <c r="G550" i="3"/>
  <c r="BL584" i="3"/>
  <c r="BL572" i="3"/>
  <c r="BL564" i="3"/>
  <c r="BL560" i="3"/>
  <c r="BL554" i="3"/>
  <c r="BL542" i="3"/>
  <c r="BL582" i="3"/>
  <c r="BL566" i="3"/>
  <c r="BL562" i="3"/>
  <c r="BL556" i="3"/>
  <c r="BL552" i="3"/>
  <c r="BL544" i="3"/>
  <c r="G529" i="3"/>
  <c r="BA584" i="3"/>
  <c r="AZ584" i="3" s="1"/>
  <c r="BA582" i="3"/>
  <c r="AZ582" i="3" s="1"/>
  <c r="BA574" i="3"/>
  <c r="BA564" i="3"/>
  <c r="AZ564" i="3" s="1"/>
  <c r="BA562" i="3"/>
  <c r="BA560" i="3"/>
  <c r="AZ560" i="3" s="1"/>
  <c r="BA558" i="3"/>
  <c r="AZ558" i="3"/>
  <c r="BA556" i="3"/>
  <c r="AZ556" i="3"/>
  <c r="BA554" i="3"/>
  <c r="AZ554" i="3"/>
  <c r="BA552" i="3"/>
  <c r="AZ552" i="3"/>
  <c r="BA526" i="3"/>
  <c r="BA500" i="3"/>
  <c r="BA583" i="3"/>
  <c r="BA575" i="3"/>
  <c r="BA565" i="3"/>
  <c r="AZ565" i="3" s="1"/>
  <c r="BA563" i="3"/>
  <c r="BA561" i="3"/>
  <c r="BA559" i="3"/>
  <c r="BA555" i="3"/>
  <c r="BA553" i="3"/>
  <c r="BA523" i="3"/>
  <c r="BA511" i="3"/>
  <c r="G583" i="3"/>
  <c r="G581" i="3"/>
  <c r="G579" i="3"/>
  <c r="G571" i="3"/>
  <c r="G567" i="3"/>
  <c r="G565" i="3"/>
  <c r="G563" i="3"/>
  <c r="G561" i="3"/>
  <c r="BL558" i="3"/>
  <c r="BA557" i="3"/>
  <c r="AZ557" i="3" s="1"/>
  <c r="AC557" i="3"/>
  <c r="G557" i="3" s="1"/>
  <c r="BQ557" i="3"/>
  <c r="BL557" i="3" s="1"/>
  <c r="BQ583" i="3"/>
  <c r="BL583" i="3" s="1"/>
  <c r="AZ583" i="3" s="1"/>
  <c r="BQ581" i="3"/>
  <c r="BQ579" i="3"/>
  <c r="BQ577" i="3"/>
  <c r="BQ575" i="3"/>
  <c r="BQ573" i="3"/>
  <c r="BL573" i="3" s="1"/>
  <c r="BQ571" i="3"/>
  <c r="BQ569" i="3"/>
  <c r="BQ567" i="3"/>
  <c r="BQ565" i="3"/>
  <c r="BL565" i="3" s="1"/>
  <c r="BQ563" i="3"/>
  <c r="BL563" i="3"/>
  <c r="AZ563" i="3" s="1"/>
  <c r="BQ561" i="3"/>
  <c r="BL561" i="3" s="1"/>
  <c r="BQ559" i="3"/>
  <c r="BL559" i="3" s="1"/>
  <c r="AZ559" i="3" s="1"/>
  <c r="G559" i="3"/>
  <c r="G555" i="3"/>
  <c r="G553" i="3"/>
  <c r="G543" i="3"/>
  <c r="BQ555" i="3"/>
  <c r="BL555" i="3" s="1"/>
  <c r="BQ553" i="3"/>
  <c r="BL553" i="3" s="1"/>
  <c r="AZ553" i="3" s="1"/>
  <c r="BQ551" i="3"/>
  <c r="BL551" i="3"/>
  <c r="BQ549" i="3"/>
  <c r="BQ547" i="3"/>
  <c r="BQ545" i="3"/>
  <c r="BL545" i="3"/>
  <c r="BQ543" i="3"/>
  <c r="BQ541" i="3"/>
  <c r="BQ539" i="3"/>
  <c r="BQ537" i="3"/>
  <c r="BQ535" i="3"/>
  <c r="BQ533" i="3"/>
  <c r="BQ531" i="3"/>
  <c r="BQ529" i="3"/>
  <c r="BQ527" i="3"/>
  <c r="BQ525" i="3"/>
  <c r="BQ523" i="3"/>
  <c r="AC521" i="3"/>
  <c r="G521" i="3" s="1"/>
  <c r="BQ521" i="3"/>
  <c r="G515" i="3"/>
  <c r="G513" i="3"/>
  <c r="BQ519" i="3"/>
  <c r="BQ517" i="3"/>
  <c r="BQ515" i="3"/>
  <c r="BQ513" i="3"/>
  <c r="BQ511" i="3"/>
  <c r="AC509" i="3"/>
  <c r="G509" i="3" s="1"/>
  <c r="BQ509" i="3"/>
  <c r="G507" i="3"/>
  <c r="G501" i="3"/>
  <c r="G499" i="3"/>
  <c r="BQ507" i="3"/>
  <c r="BQ505" i="3"/>
  <c r="BQ503" i="3"/>
  <c r="BQ501" i="3"/>
  <c r="BQ499" i="3"/>
  <c r="BQ497" i="3"/>
  <c r="BQ495" i="3"/>
  <c r="BQ493" i="3"/>
  <c r="BL493" i="3" s="1"/>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123" i="33" s="1"/>
  <c r="G123" i="33" s="1"/>
  <c r="H123" i="33" s="1"/>
  <c r="I123" i="33" s="1"/>
  <c r="J123" i="33" s="1"/>
  <c r="K123" i="33" s="1"/>
  <c r="L123" i="33" s="1"/>
  <c r="M123" i="33" s="1"/>
  <c r="F42" i="33"/>
  <c r="AA42" i="33"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J36" i="40"/>
  <c r="W36" i="40" s="1"/>
  <c r="H19" i="37"/>
  <c r="AB19" i="37" s="1"/>
  <c r="H42" i="33"/>
  <c r="AB42" i="33" s="1"/>
  <c r="J43" i="33"/>
  <c r="AC43" i="33" s="1"/>
  <c r="S28" i="31"/>
  <c r="S27" i="31"/>
  <c r="S26" i="31"/>
  <c r="U26" i="37"/>
  <c r="AC36" i="34"/>
  <c r="AA13" i="33"/>
  <c r="AC31" i="33"/>
  <c r="U11" i="33"/>
  <c r="U19" i="21"/>
  <c r="AB38" i="21"/>
  <c r="F43" i="33"/>
  <c r="AA43" i="33"/>
  <c r="W16" i="35"/>
  <c r="H107" i="37"/>
  <c r="I107" i="37" s="1"/>
  <c r="J107" i="37" s="1"/>
  <c r="K107" i="37" s="1"/>
  <c r="L107" i="37" s="1"/>
  <c r="M107" i="37" s="1"/>
  <c r="H37" i="21"/>
  <c r="U37" i="21" s="1"/>
  <c r="S42" i="21"/>
  <c r="H19" i="34"/>
  <c r="AB19" i="34" s="1"/>
  <c r="F36" i="35"/>
  <c r="S36" i="35" s="1"/>
  <c r="J9" i="37"/>
  <c r="W9" i="37" s="1"/>
  <c r="H9" i="37"/>
  <c r="U9" i="37" s="1"/>
  <c r="F9" i="37"/>
  <c r="S9" i="37" s="1"/>
  <c r="J12" i="37"/>
  <c r="E71" i="37"/>
  <c r="F71" i="37" s="1"/>
  <c r="G71" i="37" s="1"/>
  <c r="F15" i="37"/>
  <c r="AA15" i="37" s="1"/>
  <c r="E94" i="37"/>
  <c r="F94" i="37" s="1"/>
  <c r="G94" i="37" s="1"/>
  <c r="H94" i="37" s="1"/>
  <c r="I94" i="37" s="1"/>
  <c r="J94" i="37" s="1"/>
  <c r="K94" i="37" s="1"/>
  <c r="L94" i="37" s="1"/>
  <c r="M94" i="37" s="1"/>
  <c r="F31" i="37"/>
  <c r="S31" i="37" s="1"/>
  <c r="F12" i="39"/>
  <c r="S12" i="39" s="1"/>
  <c r="J42" i="39"/>
  <c r="AC42" i="39" s="1"/>
  <c r="H21" i="40"/>
  <c r="AB21" i="40" s="1"/>
  <c r="H31" i="37"/>
  <c r="U31" i="37" s="1"/>
  <c r="J15" i="37"/>
  <c r="W15" i="37" s="1"/>
  <c r="AT6"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W9" i="39"/>
  <c r="W8" i="39"/>
  <c r="J19" i="40"/>
  <c r="AC19" i="40" s="1"/>
  <c r="J50" i="40"/>
  <c r="H103" i="9"/>
  <c r="D8" i="53" s="1"/>
  <c r="B16" i="53"/>
  <c r="B33" i="72" s="1"/>
  <c r="C7" i="37"/>
  <c r="C52" i="37" s="1"/>
  <c r="D52" i="37" s="1"/>
  <c r="W35" i="40"/>
  <c r="A4" i="52"/>
  <c r="B41" i="72" s="1"/>
  <c r="J11" i="39"/>
  <c r="W11" i="39" s="1"/>
  <c r="F11" i="39"/>
  <c r="G4" i="4"/>
  <c r="I4" i="4"/>
  <c r="F61" i="43"/>
  <c r="H64" i="43" s="1"/>
  <c r="G303" i="3"/>
  <c r="BL304" i="3"/>
  <c r="G305" i="3"/>
  <c r="BL306" i="3"/>
  <c r="BA308" i="3"/>
  <c r="AZ308" i="3" s="1"/>
  <c r="BA309" i="3"/>
  <c r="BL309" i="3"/>
  <c r="G310" i="3"/>
  <c r="BA311" i="3"/>
  <c r="G319" i="3"/>
  <c r="BL320" i="3"/>
  <c r="G321" i="3"/>
  <c r="BL322" i="3"/>
  <c r="BA324" i="3"/>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BA376" i="3"/>
  <c r="BL376" i="3"/>
  <c r="G377" i="3"/>
  <c r="BA378" i="3"/>
  <c r="BL378" i="3"/>
  <c r="G379" i="3"/>
  <c r="BA380" i="3"/>
  <c r="G388" i="3"/>
  <c r="BL389" i="3"/>
  <c r="G390" i="3"/>
  <c r="BL391" i="3"/>
  <c r="BA393" i="3"/>
  <c r="BA394" i="3"/>
  <c r="AZ394" i="3" s="1"/>
  <c r="BL394" i="3"/>
  <c r="G113" i="3"/>
  <c r="BA115" i="3"/>
  <c r="BL116" i="3"/>
  <c r="AZ116" i="3"/>
  <c r="G117" i="3"/>
  <c r="BA119" i="3"/>
  <c r="BL120" i="3"/>
  <c r="G121" i="3"/>
  <c r="BA123" i="3"/>
  <c r="BL124" i="3"/>
  <c r="G125" i="3"/>
  <c r="BA127" i="3"/>
  <c r="BL128" i="3"/>
  <c r="G129" i="3"/>
  <c r="BA131" i="3"/>
  <c r="BL132" i="3"/>
  <c r="AZ132" i="3" s="1"/>
  <c r="G133" i="3"/>
  <c r="BA135" i="3"/>
  <c r="AZ135" i="3" s="1"/>
  <c r="BL136" i="3"/>
  <c r="G137" i="3"/>
  <c r="BA139" i="3"/>
  <c r="AZ139" i="3" s="1"/>
  <c r="BL140" i="3"/>
  <c r="G141" i="3"/>
  <c r="BA143" i="3"/>
  <c r="AZ143" i="3" s="1"/>
  <c r="BL144" i="3"/>
  <c r="G145" i="3"/>
  <c r="BA147" i="3"/>
  <c r="BL148" i="3"/>
  <c r="AZ148" i="3"/>
  <c r="G149" i="3"/>
  <c r="BA151" i="3"/>
  <c r="BL152" i="3"/>
  <c r="G153" i="3"/>
  <c r="BA155" i="3"/>
  <c r="BL156" i="3"/>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67" i="3"/>
  <c r="AZ152" i="3"/>
  <c r="AZ168" i="3"/>
  <c r="AZ120" i="3"/>
  <c r="G534" i="3"/>
  <c r="G522" i="3"/>
  <c r="G512" i="3"/>
  <c r="G506" i="3"/>
  <c r="G498"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AZ337" i="3" s="1"/>
  <c r="BL337" i="3"/>
  <c r="G338" i="3"/>
  <c r="G341" i="3"/>
  <c r="BA342" i="3"/>
  <c r="AZ342" i="3" s="1"/>
  <c r="BL342" i="3"/>
  <c r="BA344" i="3"/>
  <c r="BL344" i="3"/>
  <c r="BA346" i="3"/>
  <c r="BA347" i="3"/>
  <c r="BL347" i="3"/>
  <c r="AZ347" i="3" s="1"/>
  <c r="G350" i="3"/>
  <c r="BA351" i="3"/>
  <c r="BL351" i="3"/>
  <c r="G352" i="3"/>
  <c r="G354" i="3"/>
  <c r="BA355" i="3"/>
  <c r="AZ355" i="3" s="1"/>
  <c r="BA356" i="3"/>
  <c r="AZ356" i="3" s="1"/>
  <c r="BL356" i="3"/>
  <c r="G357" i="3"/>
  <c r="G360" i="3"/>
  <c r="BL361" i="3"/>
  <c r="BA363" i="3"/>
  <c r="BA364" i="3"/>
  <c r="AZ364" i="3" s="1"/>
  <c r="BL364" i="3"/>
  <c r="G365" i="3"/>
  <c r="G368" i="3"/>
  <c r="BL369" i="3"/>
  <c r="BA371" i="3"/>
  <c r="AZ371" i="3" s="1"/>
  <c r="BA372" i="3"/>
  <c r="AZ372" i="3" s="1"/>
  <c r="BL372" i="3"/>
  <c r="G373" i="3"/>
  <c r="G376" i="3"/>
  <c r="BL377" i="3"/>
  <c r="BL379" i="3"/>
  <c r="BA381" i="3"/>
  <c r="AZ381" i="3" s="1"/>
  <c r="BA382" i="3"/>
  <c r="BL382" i="3"/>
  <c r="G383" i="3"/>
  <c r="G386" i="3"/>
  <c r="BL387" i="3"/>
  <c r="BA389" i="3"/>
  <c r="BA390" i="3"/>
  <c r="BL390" i="3"/>
  <c r="G391" i="3"/>
  <c r="G394" i="3"/>
  <c r="AZ154" i="3"/>
  <c r="AZ162" i="3"/>
  <c r="AZ194" i="3"/>
  <c r="AZ198" i="3"/>
  <c r="BA16" i="3"/>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BL327" i="3"/>
  <c r="AZ327" i="3"/>
  <c r="G328" i="3"/>
  <c r="BA330" i="3"/>
  <c r="BL331" i="3"/>
  <c r="AZ331" i="3" s="1"/>
  <c r="G332" i="3"/>
  <c r="BA334" i="3"/>
  <c r="AZ334" i="3" s="1"/>
  <c r="BL335" i="3"/>
  <c r="G336" i="3"/>
  <c r="BA338" i="3"/>
  <c r="AZ338" i="3" s="1"/>
  <c r="BL339" i="3"/>
  <c r="G340" i="3"/>
  <c r="BL343" i="3"/>
  <c r="G344" i="3"/>
  <c r="G348" i="3"/>
  <c r="G355" i="3"/>
  <c r="G342" i="3"/>
  <c r="BL345" i="3"/>
  <c r="AZ345" i="3" s="1"/>
  <c r="G346" i="3"/>
  <c r="BL349" i="3"/>
  <c r="AZ349" i="3" s="1"/>
  <c r="BL352" i="3"/>
  <c r="G353" i="3"/>
  <c r="BA357" i="3"/>
  <c r="AZ357" i="3" s="1"/>
  <c r="BL358" i="3"/>
  <c r="AZ358" i="3" s="1"/>
  <c r="G359" i="3"/>
  <c r="BA361" i="3"/>
  <c r="AZ361" i="3"/>
  <c r="BL362" i="3"/>
  <c r="AZ362" i="3" s="1"/>
  <c r="G363" i="3"/>
  <c r="BA365" i="3"/>
  <c r="AZ365" i="3"/>
  <c r="BL366" i="3"/>
  <c r="G367" i="3"/>
  <c r="BA369" i="3"/>
  <c r="AZ369" i="3"/>
  <c r="BL370" i="3"/>
  <c r="G371" i="3"/>
  <c r="BA373" i="3"/>
  <c r="AZ373" i="3"/>
  <c r="BL374" i="3"/>
  <c r="AZ374" i="3" s="1"/>
  <c r="G375" i="3"/>
  <c r="BA377" i="3"/>
  <c r="AZ377" i="3"/>
  <c r="BA379" i="3"/>
  <c r="AZ379" i="3" s="1"/>
  <c r="BL380" i="3"/>
  <c r="G381" i="3"/>
  <c r="BA383" i="3"/>
  <c r="AZ383" i="3" s="1"/>
  <c r="BL384" i="3"/>
  <c r="G385" i="3"/>
  <c r="BA387" i="3"/>
  <c r="AZ387" i="3" s="1"/>
  <c r="BL388" i="3"/>
  <c r="AZ388" i="3" s="1"/>
  <c r="G389" i="3"/>
  <c r="BA391" i="3"/>
  <c r="AZ391" i="3" s="1"/>
  <c r="BL392" i="3"/>
  <c r="AZ392" i="3" s="1"/>
  <c r="G393" i="3"/>
  <c r="BM5" i="3"/>
  <c r="BD5" i="3"/>
  <c r="AZ325" i="3"/>
  <c r="AZ341" i="3"/>
  <c r="G548" i="3"/>
  <c r="G520" i="3"/>
  <c r="BS5" i="3"/>
  <c r="BN5" i="3"/>
  <c r="BE5" i="3"/>
  <c r="BC5" i="3"/>
  <c r="G17" i="3"/>
  <c r="BA17" i="3"/>
  <c r="BT5" i="3"/>
  <c r="AZ368" i="3"/>
  <c r="BA15" i="3"/>
  <c r="AZ15" i="3" s="1"/>
  <c r="BB5" i="3"/>
  <c r="U36" i="40"/>
  <c r="F83" i="43"/>
  <c r="H85" i="43" s="1"/>
  <c r="F50" i="43"/>
  <c r="H54" i="43" s="1"/>
  <c r="F72" i="43"/>
  <c r="H75" i="43" s="1"/>
  <c r="U17" i="39"/>
  <c r="S14" i="35"/>
  <c r="U43" i="21"/>
  <c r="U35" i="21"/>
  <c r="AC35" i="21"/>
  <c r="AC11" i="39"/>
  <c r="W37" i="37"/>
  <c r="S15"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c r="AB29" i="36"/>
  <c r="U29" i="36"/>
  <c r="H32" i="37"/>
  <c r="AB32" i="37" s="1"/>
  <c r="F96" i="37"/>
  <c r="G96" i="37" s="1"/>
  <c r="H96" i="37" s="1"/>
  <c r="I96" i="37" s="1"/>
  <c r="J96" i="37" s="1"/>
  <c r="K96" i="37" s="1"/>
  <c r="L96" i="37" s="1"/>
  <c r="M96" i="37" s="1"/>
  <c r="H27" i="40"/>
  <c r="U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53" i="3"/>
  <c r="C40" i="11"/>
  <c r="AZ256" i="3"/>
  <c r="AZ50" i="3"/>
  <c r="AZ74" i="3"/>
  <c r="AZ82" i="3"/>
  <c r="F23" i="39"/>
  <c r="AA23" i="39"/>
  <c r="H27" i="36"/>
  <c r="U27" i="36" s="1"/>
  <c r="F27" i="36"/>
  <c r="AA27" i="36" s="1"/>
  <c r="H33" i="34"/>
  <c r="AB33" i="34" s="1"/>
  <c r="U33" i="34"/>
  <c r="F32" i="37"/>
  <c r="AA32" i="37" s="1"/>
  <c r="F20" i="36"/>
  <c r="AA20" i="36" s="1"/>
  <c r="J33" i="34"/>
  <c r="AC33" i="34" s="1"/>
  <c r="H23" i="39"/>
  <c r="U23" i="39" s="1"/>
  <c r="D48" i="9"/>
  <c r="M52" i="9" s="1"/>
  <c r="K9" i="1"/>
  <c r="M9" i="1" s="1"/>
  <c r="D93" i="9"/>
  <c r="K6" i="1"/>
  <c r="AP6" i="1" s="1"/>
  <c r="AC26" i="33"/>
  <c r="W26" i="33"/>
  <c r="AB33" i="36"/>
  <c r="U33" i="36"/>
  <c r="AC12" i="39"/>
  <c r="W12" i="39"/>
  <c r="AC39" i="40"/>
  <c r="W39" i="40"/>
  <c r="AZ412" i="3"/>
  <c r="AZ433" i="3"/>
  <c r="W12" i="33"/>
  <c r="AC12" i="33"/>
  <c r="AA32" i="36"/>
  <c r="S32" i="36"/>
  <c r="AZ437" i="3"/>
  <c r="BL14" i="3"/>
  <c r="U30" i="33"/>
  <c r="AC13" i="34"/>
  <c r="AA47" i="34"/>
  <c r="W28" i="37"/>
  <c r="S19" i="39"/>
  <c r="F12" i="33"/>
  <c r="H12" i="39"/>
  <c r="AB12" i="39" s="1"/>
  <c r="F39" i="40"/>
  <c r="S39" i="40" s="1"/>
  <c r="BA14" i="3"/>
  <c r="AZ14" i="3" s="1"/>
  <c r="AZ254" i="3"/>
  <c r="AZ286" i="3"/>
  <c r="AZ297" i="3"/>
  <c r="AZ149" i="3"/>
  <c r="AZ173" i="3"/>
  <c r="AZ181" i="3"/>
  <c r="B12" i="1"/>
  <c r="E12" i="1" s="1"/>
  <c r="B10" i="1"/>
  <c r="E10" i="1" s="1"/>
  <c r="K12" i="1"/>
  <c r="M12" i="1" s="1"/>
  <c r="S13" i="1"/>
  <c r="AR13" i="1" s="1"/>
  <c r="R13" i="1"/>
  <c r="AA34" i="33"/>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S21" i="39" s="1"/>
  <c r="G94" i="39"/>
  <c r="H21" i="39"/>
  <c r="W19" i="39"/>
  <c r="U19" i="39"/>
  <c r="S17" i="39"/>
  <c r="S15" i="39"/>
  <c r="AA12" i="39"/>
  <c r="S9" i="39"/>
  <c r="U14" i="39"/>
  <c r="AC13" i="39"/>
  <c r="U12" i="39"/>
  <c r="S23" i="36"/>
  <c r="U26" i="36"/>
  <c r="S33" i="36"/>
  <c r="AA26" i="36"/>
  <c r="AC26" i="36"/>
  <c r="AA22" i="36"/>
  <c r="W14" i="36"/>
  <c r="AB14" i="36"/>
  <c r="U22" i="36"/>
  <c r="S16" i="36"/>
  <c r="AA25" i="36"/>
  <c r="S24" i="36"/>
  <c r="U23" i="36"/>
  <c r="AB20" i="36"/>
  <c r="U16" i="36"/>
  <c r="S14" i="36"/>
  <c r="AA25" i="35"/>
  <c r="W24" i="35"/>
  <c r="AB13" i="35"/>
  <c r="U29" i="35"/>
  <c r="U28" i="35"/>
  <c r="AB27" i="35"/>
  <c r="U36" i="35"/>
  <c r="U32" i="35"/>
  <c r="AA33" i="35"/>
  <c r="AC30" i="35"/>
  <c r="S32" i="35"/>
  <c r="AA36" i="35"/>
  <c r="S28" i="35"/>
  <c r="AB16" i="35"/>
  <c r="U22" i="35"/>
  <c r="S20" i="35"/>
  <c r="AC20" i="35"/>
  <c r="S22" i="35"/>
  <c r="U14" i="35"/>
  <c r="AA11" i="35"/>
  <c r="AC9" i="35"/>
  <c r="W9" i="35"/>
  <c r="W13" i="35"/>
  <c r="F9" i="35"/>
  <c r="S9" i="35" s="1"/>
  <c r="H9" i="35"/>
  <c r="U9" i="35" s="1"/>
  <c r="AB40" i="37"/>
  <c r="S25" i="37"/>
  <c r="W27" i="37"/>
  <c r="AC29" i="37"/>
  <c r="U29" i="37"/>
  <c r="S32" i="37"/>
  <c r="AB31" i="37"/>
  <c r="W30" i="37"/>
  <c r="S36" i="37"/>
  <c r="AA38" i="37"/>
  <c r="U32" i="37"/>
  <c r="W38" i="37"/>
  <c r="AC35" i="37"/>
  <c r="S30" i="37"/>
  <c r="S37" i="37"/>
  <c r="J17" i="37"/>
  <c r="W17" i="37"/>
  <c r="G73" i="37"/>
  <c r="F17" i="37"/>
  <c r="AA17" i="37" s="1"/>
  <c r="AB17" i="37"/>
  <c r="F75" i="37"/>
  <c r="G75" i="37" s="1"/>
  <c r="F19" i="37"/>
  <c r="S19" i="37" s="1"/>
  <c r="F79" i="37"/>
  <c r="F23" i="37"/>
  <c r="S23" i="37" s="1"/>
  <c r="U23" i="37"/>
  <c r="U15" i="37"/>
  <c r="AC13" i="37"/>
  <c r="AA13" i="37"/>
  <c r="H10" i="37"/>
  <c r="AB10" i="37" s="1"/>
  <c r="F63" i="37"/>
  <c r="F11" i="37"/>
  <c r="S11" i="37" s="1"/>
  <c r="W25" i="34"/>
  <c r="W41" i="34"/>
  <c r="AC42" i="34"/>
  <c r="AA45" i="34"/>
  <c r="S17" i="34"/>
  <c r="AA29" i="34"/>
  <c r="H10" i="34"/>
  <c r="AB10" i="34" s="1"/>
  <c r="F11" i="34"/>
  <c r="S11" i="34" s="1"/>
  <c r="F70" i="34"/>
  <c r="G70" i="34" s="1"/>
  <c r="H70" i="34" s="1"/>
  <c r="I70" i="34" s="1"/>
  <c r="J70" i="34" s="1"/>
  <c r="K70" i="34" s="1"/>
  <c r="L70" i="34" s="1"/>
  <c r="M70" i="34" s="1"/>
  <c r="W42" i="33"/>
  <c r="AA35" i="33"/>
  <c r="S27" i="33"/>
  <c r="S32"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G87" i="33" s="1"/>
  <c r="H87" i="33" s="1"/>
  <c r="I87" i="33" s="1"/>
  <c r="J87" i="33" s="1"/>
  <c r="K87" i="33" s="1"/>
  <c r="L87" i="33" s="1"/>
  <c r="M87" i="33" s="1"/>
  <c r="H25" i="33"/>
  <c r="U25" i="33" s="1"/>
  <c r="F25" i="33"/>
  <c r="J23" i="33"/>
  <c r="AC23" i="33" s="1"/>
  <c r="F85" i="33"/>
  <c r="H23" i="33"/>
  <c r="AB23" i="33" s="1"/>
  <c r="F81" i="33"/>
  <c r="F19" i="33"/>
  <c r="S19" i="33" s="1"/>
  <c r="W19" i="33"/>
  <c r="J17" i="33"/>
  <c r="F79" i="33"/>
  <c r="G79" i="33" s="1"/>
  <c r="S15" i="33"/>
  <c r="W15" i="33"/>
  <c r="J10" i="33"/>
  <c r="W10" i="33" s="1"/>
  <c r="H10" i="33"/>
  <c r="U10" i="33" s="1"/>
  <c r="AC11" i="33"/>
  <c r="AB14" i="33"/>
  <c r="W43" i="21"/>
  <c r="W36" i="21"/>
  <c r="W41" i="21"/>
  <c r="AB39" i="21"/>
  <c r="AA43" i="21"/>
  <c r="S39" i="21"/>
  <c r="AA38" i="21"/>
  <c r="AA36" i="21"/>
  <c r="AC40" i="21"/>
  <c r="J15" i="21"/>
  <c r="W15" i="21" s="1"/>
  <c r="F77" i="21"/>
  <c r="G77" i="21" s="1"/>
  <c r="F23" i="21"/>
  <c r="S23" i="21" s="1"/>
  <c r="E85" i="21"/>
  <c r="AA14" i="21"/>
  <c r="D120" i="9"/>
  <c r="D121" i="9" s="1"/>
  <c r="D7" i="52" s="1"/>
  <c r="F34" i="67"/>
  <c r="F62" i="67" s="1"/>
  <c r="M20" i="67"/>
  <c r="F34" i="15"/>
  <c r="F62" i="15" s="1"/>
  <c r="G13" i="3"/>
  <c r="BL17" i="3"/>
  <c r="AZ17" i="3"/>
  <c r="BL13" i="3"/>
  <c r="J56" i="9"/>
  <c r="J57" i="9" s="1"/>
  <c r="J59" i="9" s="1"/>
  <c r="J61" i="9" s="1"/>
  <c r="A24" i="51"/>
  <c r="B18" i="72" s="1"/>
  <c r="U29" i="34"/>
  <c r="E5" i="6"/>
  <c r="E32" i="6"/>
  <c r="G1" i="68"/>
  <c r="K1" i="12"/>
  <c r="E19" i="69"/>
  <c r="E19" i="68"/>
  <c r="E19" i="11"/>
  <c r="E1" i="73"/>
  <c r="G22" i="69"/>
  <c r="G22" i="68"/>
  <c r="G26" i="12"/>
  <c r="G22" i="11"/>
  <c r="C6" i="43"/>
  <c r="B19" i="53"/>
  <c r="B37" i="72" s="1"/>
  <c r="C7" i="33"/>
  <c r="G23" i="43"/>
  <c r="C23" i="43" s="1"/>
  <c r="A4" i="51"/>
  <c r="B6" i="72" s="1"/>
  <c r="L20" i="6"/>
  <c r="B6" i="1"/>
  <c r="E6" i="1" s="1"/>
  <c r="K11" i="1"/>
  <c r="M11" i="1" s="1"/>
  <c r="O11" i="1" s="1"/>
  <c r="B9" i="1"/>
  <c r="E9" i="1" s="1"/>
  <c r="K7" i="1"/>
  <c r="M7" i="1" s="1"/>
  <c r="O7" i="1" s="1"/>
  <c r="P7" i="1" s="1"/>
  <c r="G1" i="15"/>
  <c r="G1" i="69"/>
  <c r="G1" i="67"/>
  <c r="W23" i="40"/>
  <c r="AB31" i="40"/>
  <c r="S37" i="40"/>
  <c r="AB28" i="40"/>
  <c r="W28" i="40"/>
  <c r="W34" i="40"/>
  <c r="W19" i="40"/>
  <c r="W27" i="40"/>
  <c r="S36" i="40"/>
  <c r="W37" i="40"/>
  <c r="AC14" i="40"/>
  <c r="S33" i="40"/>
  <c r="AA15" i="40"/>
  <c r="U11" i="40"/>
  <c r="S31"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AC45" i="34"/>
  <c r="AA31" i="34"/>
  <c r="AA30" i="34"/>
  <c r="AB45" i="34"/>
  <c r="AB47" i="34"/>
  <c r="AB36" i="34"/>
  <c r="AC14" i="34"/>
  <c r="AC29" i="34"/>
  <c r="W29" i="34"/>
  <c r="W46" i="34"/>
  <c r="AC46" i="34"/>
  <c r="U30" i="34"/>
  <c r="AB30" i="34"/>
  <c r="S37" i="34"/>
  <c r="U38" i="34"/>
  <c r="AC40" i="34"/>
  <c r="AA19" i="34"/>
  <c r="S19" i="34"/>
  <c r="AA36" i="34"/>
  <c r="S36" i="34"/>
  <c r="S46" i="34"/>
  <c r="AA46"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S45" i="21"/>
  <c r="I101" i="21"/>
  <c r="J101" i="21" s="1"/>
  <c r="K101" i="21" s="1"/>
  <c r="L101" i="21" s="1"/>
  <c r="M101" i="21" s="1"/>
  <c r="F33" i="21"/>
  <c r="AA33" i="21" s="1"/>
  <c r="J33" i="21"/>
  <c r="AC33" i="21" s="1"/>
  <c r="H33" i="21"/>
  <c r="AB33" i="21" s="1"/>
  <c r="F37" i="21"/>
  <c r="AA37" i="21" s="1"/>
  <c r="AA26" i="21"/>
  <c r="AB14" i="21"/>
  <c r="U40" i="21"/>
  <c r="U13" i="21"/>
  <c r="AB13" i="21"/>
  <c r="S35" i="21"/>
  <c r="J37" i="21"/>
  <c r="W37" i="21" s="1"/>
  <c r="H15" i="21"/>
  <c r="U15" i="21" s="1"/>
  <c r="J17" i="21"/>
  <c r="AC17" i="21" s="1"/>
  <c r="AC19" i="21"/>
  <c r="W39" i="21"/>
  <c r="AC14" i="21"/>
  <c r="W30" i="21"/>
  <c r="H45" i="21"/>
  <c r="U45" i="21" s="1"/>
  <c r="F29" i="21"/>
  <c r="AA29" i="21" s="1"/>
  <c r="F13" i="21"/>
  <c r="AA13" i="21" s="1"/>
  <c r="AC38" i="21"/>
  <c r="H32" i="21"/>
  <c r="U32" i="21" s="1"/>
  <c r="H9" i="21"/>
  <c r="J9" i="21"/>
  <c r="J32" i="21"/>
  <c r="W32" i="21" s="1"/>
  <c r="F32" i="21"/>
  <c r="S32" i="21" s="1"/>
  <c r="AA31" i="21"/>
  <c r="U17" i="21"/>
  <c r="W29" i="21"/>
  <c r="S19" i="21"/>
  <c r="S9" i="21"/>
  <c r="AA9" i="21"/>
  <c r="K141" i="21"/>
  <c r="K144" i="21"/>
  <c r="K143" i="21"/>
  <c r="U27" i="21"/>
  <c r="AB25" i="21"/>
  <c r="AB44" i="21"/>
  <c r="W13" i="21"/>
  <c r="W42" i="21"/>
  <c r="AC45" i="21"/>
  <c r="F10" i="21"/>
  <c r="AA10" i="21" s="1"/>
  <c r="K145" i="21"/>
  <c r="W17" i="21"/>
  <c r="W25" i="21"/>
  <c r="S27" i="21"/>
  <c r="S17" i="21"/>
  <c r="AA15" i="21"/>
  <c r="AC27" i="21"/>
  <c r="AC26" i="21"/>
  <c r="AB29" i="21"/>
  <c r="AC34" i="21"/>
  <c r="AB36" i="21"/>
  <c r="W30" i="40"/>
  <c r="C19" i="39"/>
  <c r="C15" i="40"/>
  <c r="C17" i="40"/>
  <c r="C23" i="40"/>
  <c r="C21" i="40"/>
  <c r="U30" i="40"/>
  <c r="B56" i="43"/>
  <c r="B67" i="43"/>
  <c r="B51" i="43"/>
  <c r="B54" i="43"/>
  <c r="B58" i="43"/>
  <c r="B62" i="43"/>
  <c r="B65" i="43"/>
  <c r="B69" i="43"/>
  <c r="D23" i="15"/>
  <c r="D22" i="15"/>
  <c r="E4" i="4"/>
  <c r="B5" i="62" s="1"/>
  <c r="B73" i="72" s="1"/>
  <c r="C4" i="4"/>
  <c r="AA39" i="40"/>
  <c r="S12" i="33"/>
  <c r="AA12" i="33"/>
  <c r="J32" i="39"/>
  <c r="W32" i="39" s="1"/>
  <c r="H32" i="39"/>
  <c r="AB32" i="39" s="1"/>
  <c r="AA32" i="39"/>
  <c r="S32" i="39"/>
  <c r="AB21" i="39"/>
  <c r="U21" i="39"/>
  <c r="AA21" i="39"/>
  <c r="AC17" i="37"/>
  <c r="S17" i="37"/>
  <c r="J19" i="37"/>
  <c r="W19" i="37" s="1"/>
  <c r="AA19" i="37"/>
  <c r="AA23" i="37"/>
  <c r="J23" i="37"/>
  <c r="W23" i="37" s="1"/>
  <c r="G79" i="37"/>
  <c r="J10" i="37"/>
  <c r="W10" i="37" s="1"/>
  <c r="G63" i="37"/>
  <c r="H63" i="37" s="1"/>
  <c r="I63" i="37" s="1"/>
  <c r="H11" i="37"/>
  <c r="AB11" i="37" s="1"/>
  <c r="H11" i="34"/>
  <c r="U11" i="34" s="1"/>
  <c r="J10" i="34"/>
  <c r="AC10" i="34" s="1"/>
  <c r="AB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W27" i="33" s="1"/>
  <c r="AB25" i="33"/>
  <c r="S25" i="33"/>
  <c r="AA25" i="33"/>
  <c r="J25" i="33"/>
  <c r="AC25" i="33" s="1"/>
  <c r="U23" i="33"/>
  <c r="F23" i="33"/>
  <c r="G85" i="33"/>
  <c r="H19" i="33"/>
  <c r="AB19" i="33" s="1"/>
  <c r="G81" i="33"/>
  <c r="H17" i="33"/>
  <c r="U17" i="33" s="1"/>
  <c r="F17" i="33"/>
  <c r="S17" i="33" s="1"/>
  <c r="W17" i="33"/>
  <c r="AC17" i="33"/>
  <c r="S37" i="21"/>
  <c r="AB15" i="21"/>
  <c r="J23" i="21"/>
  <c r="W23" i="21" s="1"/>
  <c r="F85" i="21"/>
  <c r="G85" i="21" s="1"/>
  <c r="H23" i="21"/>
  <c r="S13" i="21"/>
  <c r="D6" i="52"/>
  <c r="AP7" i="1"/>
  <c r="AB9" i="21"/>
  <c r="U9" i="21"/>
  <c r="AA32" i="21"/>
  <c r="W9" i="21"/>
  <c r="AC9" i="21"/>
  <c r="AB32" i="21"/>
  <c r="U32" i="39"/>
  <c r="AC32" i="39"/>
  <c r="AC23" i="37"/>
  <c r="J63" i="37"/>
  <c r="K63" i="37" s="1"/>
  <c r="L63" i="37" s="1"/>
  <c r="M63" i="37" s="1"/>
  <c r="J11" i="37"/>
  <c r="AC11" i="37" s="1"/>
  <c r="J11" i="34"/>
  <c r="W11" i="34" s="1"/>
  <c r="AC27" i="33"/>
  <c r="W25" i="33"/>
  <c r="U19" i="33"/>
  <c r="AA17" i="33"/>
  <c r="U23" i="21"/>
  <c r="AB23" i="21"/>
  <c r="H109" i="9"/>
  <c r="H112" i="9"/>
  <c r="D21" i="53"/>
  <c r="B39" i="72" s="1"/>
  <c r="H111" i="9"/>
  <c r="D126" i="9" s="1"/>
  <c r="AD3" i="71"/>
  <c r="J1" i="7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M9" i="67"/>
  <c r="M8" i="15"/>
  <c r="F20" i="31"/>
  <c r="B10" i="76"/>
  <c r="F5" i="73"/>
  <c r="E11" i="76"/>
  <c r="L48" i="15"/>
  <c r="F9" i="15"/>
  <c r="F6" i="73"/>
  <c r="L48" i="67"/>
  <c r="F8" i="67"/>
  <c r="B9" i="76"/>
  <c r="B11" i="76"/>
  <c r="E10" i="76"/>
  <c r="B8" i="76"/>
  <c r="F7" i="73"/>
  <c r="E2" i="68"/>
  <c r="F40" i="67"/>
  <c r="M28" i="67"/>
  <c r="F7" i="15"/>
  <c r="F6" i="67"/>
  <c r="F37" i="67"/>
  <c r="F38" i="15"/>
  <c r="E13" i="76"/>
  <c r="F36" i="15"/>
  <c r="B13" i="76"/>
  <c r="B7" i="76"/>
  <c r="E7" i="76"/>
  <c r="F16" i="67"/>
  <c r="F4" i="73"/>
  <c r="E2" i="69"/>
  <c r="M29" i="15"/>
  <c r="C76" i="67"/>
  <c r="M23" i="67"/>
  <c r="F7" i="67"/>
  <c r="F26" i="15"/>
  <c r="M29" i="67"/>
  <c r="F9" i="67"/>
  <c r="F37" i="15"/>
  <c r="M6" i="15"/>
  <c r="F26" i="67"/>
  <c r="M26" i="15"/>
  <c r="B12" i="76"/>
  <c r="J15" i="15"/>
  <c r="E12" i="76"/>
  <c r="F8" i="15"/>
  <c r="M8" i="67"/>
  <c r="F13" i="15"/>
  <c r="M6" i="67"/>
  <c r="F36" i="67"/>
  <c r="F13" i="67"/>
  <c r="E9" i="76"/>
  <c r="L47" i="15"/>
  <c r="M24" i="15"/>
  <c r="F3" i="73"/>
  <c r="L47" i="67"/>
  <c r="F43" i="67"/>
  <c r="F43" i="15"/>
  <c r="D6" i="73"/>
  <c r="F42" i="67"/>
  <c r="M26" i="67"/>
  <c r="J15" i="67"/>
  <c r="E8" i="76"/>
  <c r="AO13" i="1"/>
  <c r="F43" i="34" l="1"/>
  <c r="AA43" i="34" s="1"/>
  <c r="H43" i="34"/>
  <c r="AB43" i="34" s="1"/>
  <c r="W35" i="34"/>
  <c r="AC23" i="34"/>
  <c r="S23" i="34"/>
  <c r="W19" i="34"/>
  <c r="U15" i="34"/>
  <c r="I7" i="34"/>
  <c r="E7" i="34"/>
  <c r="G7" i="34"/>
  <c r="J51" i="67"/>
  <c r="J53" i="67" s="1"/>
  <c r="S8" i="34"/>
  <c r="A118" i="9"/>
  <c r="A2" i="9"/>
  <c r="W44" i="34"/>
  <c r="AA44" i="34"/>
  <c r="W43" i="34"/>
  <c r="U43" i="34"/>
  <c r="AB41" i="34"/>
  <c r="U39" i="34"/>
  <c r="AC39" i="34"/>
  <c r="S35" i="34"/>
  <c r="AA33" i="34"/>
  <c r="W33" i="34"/>
  <c r="U25" i="34"/>
  <c r="U23" i="34"/>
  <c r="U19" i="34"/>
  <c r="H9" i="34"/>
  <c r="J9" i="34"/>
  <c r="W8" i="34"/>
  <c r="AB8" i="34"/>
  <c r="AA25" i="34"/>
  <c r="AC27" i="34"/>
  <c r="U27" i="34"/>
  <c r="BA13" i="3"/>
  <c r="B41" i="1"/>
  <c r="C21" i="68"/>
  <c r="C40" i="68"/>
  <c r="C7" i="35"/>
  <c r="C48" i="35" s="1"/>
  <c r="D48" i="35" s="1"/>
  <c r="C7" i="40"/>
  <c r="C63" i="40" s="1"/>
  <c r="C7" i="39"/>
  <c r="C67" i="39" s="1"/>
  <c r="C7" i="36"/>
  <c r="C46" i="36" s="1"/>
  <c r="D46" i="36" s="1"/>
  <c r="E46" i="36" s="1"/>
  <c r="F46" i="36" s="1"/>
  <c r="G46" i="36" s="1"/>
  <c r="H46" i="36" s="1"/>
  <c r="I46" i="36" s="1"/>
  <c r="J46" i="36" s="1"/>
  <c r="K46" i="36" s="1"/>
  <c r="L46" i="36" s="1"/>
  <c r="M46" i="36" s="1"/>
  <c r="N46" i="36" s="1"/>
  <c r="O46" i="36" s="1"/>
  <c r="M47" i="9"/>
  <c r="C7" i="21"/>
  <c r="C42" i="1"/>
  <c r="C24" i="12" s="1"/>
  <c r="AZ514" i="3"/>
  <c r="AC23" i="21"/>
  <c r="AZ344" i="3"/>
  <c r="BL539" i="3"/>
  <c r="AC47" i="34"/>
  <c r="W47" i="34"/>
  <c r="AC28" i="35"/>
  <c r="W28" i="35"/>
  <c r="J29" i="33"/>
  <c r="F29" i="33"/>
  <c r="J45" i="33"/>
  <c r="H45" i="33"/>
  <c r="F45" i="33"/>
  <c r="F14" i="34"/>
  <c r="H14" i="34"/>
  <c r="F32" i="34"/>
  <c r="H32" i="34"/>
  <c r="J32" i="34"/>
  <c r="F12" i="35"/>
  <c r="J12" i="35"/>
  <c r="H12" i="35"/>
  <c r="AC28" i="36"/>
  <c r="W28" i="36"/>
  <c r="H34" i="36"/>
  <c r="J34" i="36"/>
  <c r="W34" i="36" s="1"/>
  <c r="F34" i="36"/>
  <c r="J39" i="37"/>
  <c r="H39" i="37"/>
  <c r="F39" i="37"/>
  <c r="S39" i="37" s="1"/>
  <c r="AC31" i="40"/>
  <c r="W31" i="40"/>
  <c r="U41" i="21"/>
  <c r="AB41" i="21"/>
  <c r="S38" i="34"/>
  <c r="AA38" i="34"/>
  <c r="AA42" i="34"/>
  <c r="S42" i="34"/>
  <c r="BL581" i="3"/>
  <c r="BA581" i="3"/>
  <c r="BL580" i="3"/>
  <c r="BA580" i="3"/>
  <c r="AZ580" i="3" s="1"/>
  <c r="BA579" i="3"/>
  <c r="AZ579" i="3" s="1"/>
  <c r="BL578" i="3"/>
  <c r="BA578" i="3"/>
  <c r="BA577" i="3"/>
  <c r="BL576" i="3"/>
  <c r="BA576" i="3"/>
  <c r="AZ576" i="3" s="1"/>
  <c r="BL575" i="3"/>
  <c r="BL574" i="3"/>
  <c r="BA573" i="3"/>
  <c r="AZ573" i="3" s="1"/>
  <c r="BA572" i="3"/>
  <c r="AZ572" i="3" s="1"/>
  <c r="BA571" i="3"/>
  <c r="AZ571" i="3" s="1"/>
  <c r="BA570" i="3"/>
  <c r="AB36" i="33"/>
  <c r="AB45" i="21"/>
  <c r="AA23" i="21"/>
  <c r="AA19" i="33"/>
  <c r="F54" i="9"/>
  <c r="F32" i="15"/>
  <c r="F60" i="15" s="1"/>
  <c r="F52" i="9"/>
  <c r="F30" i="68"/>
  <c r="F48" i="68" s="1"/>
  <c r="AC15" i="21"/>
  <c r="S20" i="36"/>
  <c r="S13" i="34"/>
  <c r="AB35" i="34"/>
  <c r="AC15" i="37"/>
  <c r="AC34" i="33"/>
  <c r="AZ390" i="3"/>
  <c r="AZ351" i="3"/>
  <c r="AZ380" i="3"/>
  <c r="AZ306" i="3"/>
  <c r="S11" i="39"/>
  <c r="AA11" i="39"/>
  <c r="F12" i="37"/>
  <c r="S12" i="37" s="1"/>
  <c r="AZ575" i="3"/>
  <c r="W11" i="40"/>
  <c r="AC11" i="40"/>
  <c r="AZ326" i="3"/>
  <c r="W12" i="37"/>
  <c r="AC12" i="37"/>
  <c r="AZ574" i="3"/>
  <c r="W15" i="34"/>
  <c r="AC15" i="34"/>
  <c r="H28" i="21"/>
  <c r="F28" i="21"/>
  <c r="J28" i="21"/>
  <c r="J31" i="21"/>
  <c r="H31" i="21"/>
  <c r="F46" i="21"/>
  <c r="H46" i="21"/>
  <c r="J46" i="21"/>
  <c r="B101" i="43"/>
  <c r="B79" i="43"/>
  <c r="C25" i="39"/>
  <c r="BA569" i="3"/>
  <c r="BA568" i="3"/>
  <c r="BL567" i="3"/>
  <c r="BA567" i="3"/>
  <c r="BA566" i="3"/>
  <c r="AZ566" i="3" s="1"/>
  <c r="BA551" i="3"/>
  <c r="AZ551" i="3" s="1"/>
  <c r="BA550" i="3"/>
  <c r="BL549" i="3"/>
  <c r="BA549" i="3"/>
  <c r="BL548" i="3"/>
  <c r="BA548" i="3"/>
  <c r="AZ548" i="3" s="1"/>
  <c r="BA547" i="3"/>
  <c r="BL546" i="3"/>
  <c r="AZ546" i="3" s="1"/>
  <c r="BA544" i="3"/>
  <c r="AZ544" i="3" s="1"/>
  <c r="BA543" i="3"/>
  <c r="BA542" i="3"/>
  <c r="AZ542" i="3" s="1"/>
  <c r="BL541" i="3"/>
  <c r="BA541" i="3"/>
  <c r="BL540" i="3"/>
  <c r="BA539" i="3"/>
  <c r="BL538" i="3"/>
  <c r="AZ538" i="3" s="1"/>
  <c r="BA537" i="3"/>
  <c r="AZ537" i="3" s="1"/>
  <c r="BL536" i="3"/>
  <c r="BA536" i="3"/>
  <c r="BA535" i="3"/>
  <c r="BL534" i="3"/>
  <c r="BA534" i="3"/>
  <c r="AZ534" i="3" s="1"/>
  <c r="BL533" i="3"/>
  <c r="AZ533" i="3" s="1"/>
  <c r="BL532" i="3"/>
  <c r="BA532" i="3"/>
  <c r="AZ532" i="3" s="1"/>
  <c r="BA531" i="3"/>
  <c r="BL530" i="3"/>
  <c r="BA530" i="3"/>
  <c r="AZ530" i="3" s="1"/>
  <c r="BA529" i="3"/>
  <c r="AZ529" i="3" s="1"/>
  <c r="BL528" i="3"/>
  <c r="BA528" i="3"/>
  <c r="AZ528" i="3" s="1"/>
  <c r="BA527" i="3"/>
  <c r="BL526" i="3"/>
  <c r="AZ526" i="3" s="1"/>
  <c r="BL525" i="3"/>
  <c r="BA525" i="3"/>
  <c r="BL524" i="3"/>
  <c r="BA522" i="3"/>
  <c r="AZ522" i="3" s="1"/>
  <c r="BA521" i="3"/>
  <c r="AZ521" i="3" s="1"/>
  <c r="BL520" i="3"/>
  <c r="BA520" i="3"/>
  <c r="AZ520" i="3" s="1"/>
  <c r="BA519" i="3"/>
  <c r="BL518" i="3"/>
  <c r="BA518" i="3"/>
  <c r="AZ518" i="3" s="1"/>
  <c r="BL517" i="3"/>
  <c r="BL516" i="3"/>
  <c r="BA515" i="3"/>
  <c r="BA513" i="3"/>
  <c r="AZ513" i="3" s="1"/>
  <c r="BA512" i="3"/>
  <c r="BL510" i="3"/>
  <c r="BA507" i="3"/>
  <c r="BL506" i="3"/>
  <c r="BA506" i="3"/>
  <c r="AZ506" i="3" s="1"/>
  <c r="BL505" i="3"/>
  <c r="BA505" i="3"/>
  <c r="BL504" i="3"/>
  <c r="BA503" i="3"/>
  <c r="BL502" i="3"/>
  <c r="AZ502" i="3" s="1"/>
  <c r="BA502" i="3"/>
  <c r="BL501" i="3"/>
  <c r="BA501" i="3"/>
  <c r="AZ501" i="3" s="1"/>
  <c r="BL500" i="3"/>
  <c r="AZ500" i="3" s="1"/>
  <c r="BL499" i="3"/>
  <c r="BA499" i="3"/>
  <c r="AZ499" i="3" s="1"/>
  <c r="BO5" i="3"/>
  <c r="F29" i="6" s="1"/>
  <c r="BF5" i="3"/>
  <c r="BA498" i="3"/>
  <c r="AZ498" i="3" s="1"/>
  <c r="BL497" i="3"/>
  <c r="AZ497" i="3" s="1"/>
  <c r="BL496" i="3"/>
  <c r="BA496" i="3"/>
  <c r="AC5" i="3"/>
  <c r="BL495" i="3"/>
  <c r="BA495" i="3"/>
  <c r="BL494" i="3"/>
  <c r="BA494" i="3"/>
  <c r="AZ494" i="3" s="1"/>
  <c r="H5" i="3"/>
  <c r="G494" i="3"/>
  <c r="BP5" i="3"/>
  <c r="G29" i="6" s="1"/>
  <c r="BG5" i="3"/>
  <c r="E10" i="6" s="1"/>
  <c r="BA493" i="3"/>
  <c r="AZ493" i="3" s="1"/>
  <c r="AZ336" i="3"/>
  <c r="AZ305" i="3"/>
  <c r="AZ204" i="3"/>
  <c r="AZ140" i="3"/>
  <c r="BL519" i="3"/>
  <c r="AZ519" i="3" s="1"/>
  <c r="BL535" i="3"/>
  <c r="AZ535" i="3" s="1"/>
  <c r="AC40" i="37"/>
  <c r="BA587" i="3"/>
  <c r="AZ587" i="3" s="1"/>
  <c r="AB33" i="33"/>
  <c r="U33" i="33"/>
  <c r="F28" i="34"/>
  <c r="J28" i="34"/>
  <c r="H28" i="34"/>
  <c r="AB9" i="39"/>
  <c r="U9" i="39"/>
  <c r="AA40" i="39"/>
  <c r="S40" i="39"/>
  <c r="U39" i="40"/>
  <c r="AB39" i="40"/>
  <c r="BL577" i="3"/>
  <c r="AZ577" i="3" s="1"/>
  <c r="AC44" i="21"/>
  <c r="W44" i="21"/>
  <c r="S41" i="39"/>
  <c r="AA41" i="39"/>
  <c r="B97" i="43"/>
  <c r="B75" i="43"/>
  <c r="H9" i="33"/>
  <c r="J9" i="33"/>
  <c r="J24" i="36"/>
  <c r="H24" i="36"/>
  <c r="J32" i="40"/>
  <c r="H32" i="40"/>
  <c r="AB38" i="40"/>
  <c r="U38" i="40"/>
  <c r="BL570" i="3"/>
  <c r="BL568" i="3"/>
  <c r="BL550" i="3"/>
  <c r="BA540" i="3"/>
  <c r="BA524" i="3"/>
  <c r="AZ524" i="3" s="1"/>
  <c r="BA517" i="3"/>
  <c r="BA516" i="3"/>
  <c r="AZ516" i="3" s="1"/>
  <c r="BL512" i="3"/>
  <c r="BA510" i="3"/>
  <c r="AZ510" i="3" s="1"/>
  <c r="BA509" i="3"/>
  <c r="AZ509" i="3" s="1"/>
  <c r="BL508" i="3"/>
  <c r="AZ508" i="3" s="1"/>
  <c r="BA504" i="3"/>
  <c r="AZ504" i="3" s="1"/>
  <c r="U13" i="37"/>
  <c r="AZ384" i="3"/>
  <c r="AZ389" i="3"/>
  <c r="AZ313" i="3"/>
  <c r="AZ164" i="3"/>
  <c r="AZ378" i="3"/>
  <c r="W44" i="33"/>
  <c r="BL511" i="3"/>
  <c r="AZ511" i="3" s="1"/>
  <c r="BL531" i="3"/>
  <c r="AZ531" i="3" s="1"/>
  <c r="BL543" i="3"/>
  <c r="AZ561" i="3"/>
  <c r="W11" i="35"/>
  <c r="AC11" i="35"/>
  <c r="U42" i="34"/>
  <c r="F30" i="21"/>
  <c r="H30" i="21"/>
  <c r="F9" i="33"/>
  <c r="AA9" i="33" s="1"/>
  <c r="AB40" i="33"/>
  <c r="U40" i="33"/>
  <c r="AB34" i="34"/>
  <c r="U34" i="34"/>
  <c r="J23" i="35"/>
  <c r="H23" i="35"/>
  <c r="F23" i="35"/>
  <c r="J13" i="36"/>
  <c r="H13" i="36"/>
  <c r="AC31" i="37"/>
  <c r="W31" i="37"/>
  <c r="AA44" i="39"/>
  <c r="S44" i="39"/>
  <c r="H13" i="40"/>
  <c r="F13" i="40"/>
  <c r="BL587" i="3"/>
  <c r="BL586" i="3"/>
  <c r="AZ586" i="3" s="1"/>
  <c r="AB35" i="33"/>
  <c r="U35" i="33"/>
  <c r="AC22" i="35"/>
  <c r="W22" i="35"/>
  <c r="G582" i="3"/>
  <c r="AZ413" i="3"/>
  <c r="AZ376" i="3"/>
  <c r="AZ309" i="3"/>
  <c r="BL503" i="3"/>
  <c r="BL515" i="3"/>
  <c r="AZ515" i="3" s="1"/>
  <c r="BL523" i="3"/>
  <c r="AZ523" i="3" s="1"/>
  <c r="BL527" i="3"/>
  <c r="BL547" i="3"/>
  <c r="AZ547" i="3" s="1"/>
  <c r="BL569" i="3"/>
  <c r="AZ569" i="3" s="1"/>
  <c r="G587" i="3"/>
  <c r="W31" i="35"/>
  <c r="AC31" i="35"/>
  <c r="G552" i="3"/>
  <c r="BL413" i="3"/>
  <c r="BL417" i="3"/>
  <c r="BL418" i="3"/>
  <c r="BL420" i="3"/>
  <c r="AZ420" i="3" s="1"/>
  <c r="G423" i="3"/>
  <c r="BL424" i="3"/>
  <c r="G427" i="3"/>
  <c r="BL428" i="3"/>
  <c r="BL429" i="3"/>
  <c r="BL432" i="3"/>
  <c r="BL435" i="3"/>
  <c r="AZ435" i="3" s="1"/>
  <c r="BL436" i="3"/>
  <c r="BA439" i="3"/>
  <c r="BA440" i="3"/>
  <c r="AZ440" i="3" s="1"/>
  <c r="BA442" i="3"/>
  <c r="BA445" i="3"/>
  <c r="AZ445" i="3" s="1"/>
  <c r="BA447" i="3"/>
  <c r="AZ447" i="3" s="1"/>
  <c r="BA449" i="3"/>
  <c r="BL453" i="3"/>
  <c r="BL454" i="3"/>
  <c r="BL459" i="3"/>
  <c r="BA465" i="3"/>
  <c r="AZ465" i="3" s="1"/>
  <c r="BA467" i="3"/>
  <c r="BA468" i="3"/>
  <c r="J45" i="39"/>
  <c r="W45" i="39" s="1"/>
  <c r="BL585" i="3"/>
  <c r="AZ585" i="3" s="1"/>
  <c r="G558" i="3"/>
  <c r="BL398" i="3"/>
  <c r="G402" i="3"/>
  <c r="BL403" i="3"/>
  <c r="G405" i="3"/>
  <c r="G406" i="3"/>
  <c r="BA408" i="3"/>
  <c r="AZ408" i="3" s="1"/>
  <c r="BA409" i="3"/>
  <c r="AZ409" i="3" s="1"/>
  <c r="BA411" i="3"/>
  <c r="AZ411" i="3" s="1"/>
  <c r="BL414" i="3"/>
  <c r="BL415" i="3"/>
  <c r="AZ415" i="3" s="1"/>
  <c r="BA417" i="3"/>
  <c r="AZ417" i="3" s="1"/>
  <c r="BL421" i="3"/>
  <c r="BL422" i="3"/>
  <c r="BL425" i="3"/>
  <c r="AZ425" i="3" s="1"/>
  <c r="BL426" i="3"/>
  <c r="AZ426" i="3" s="1"/>
  <c r="BA428" i="3"/>
  <c r="BA429" i="3"/>
  <c r="AZ429" i="3" s="1"/>
  <c r="BA430" i="3"/>
  <c r="AZ430" i="3" s="1"/>
  <c r="BA432" i="3"/>
  <c r="AZ432" i="3" s="1"/>
  <c r="BA434" i="3"/>
  <c r="BA436" i="3"/>
  <c r="BA438" i="3"/>
  <c r="G442" i="3"/>
  <c r="G443" i="3"/>
  <c r="BA446" i="3"/>
  <c r="BA450" i="3"/>
  <c r="BA453" i="3"/>
  <c r="AZ453" i="3" s="1"/>
  <c r="BA455" i="3"/>
  <c r="AZ455" i="3" s="1"/>
  <c r="BL457" i="3"/>
  <c r="AZ457" i="3" s="1"/>
  <c r="BL460" i="3"/>
  <c r="AZ460" i="3" s="1"/>
  <c r="BL461" i="3"/>
  <c r="AZ461" i="3" s="1"/>
  <c r="BL463" i="3"/>
  <c r="G465" i="3"/>
  <c r="BA476" i="3"/>
  <c r="AZ476" i="3" s="1"/>
  <c r="BA477" i="3"/>
  <c r="BA478" i="3"/>
  <c r="BA486" i="3"/>
  <c r="BA398" i="3"/>
  <c r="AZ398" i="3" s="1"/>
  <c r="BA399" i="3"/>
  <c r="AZ399" i="3" s="1"/>
  <c r="BL401" i="3"/>
  <c r="BL404" i="3"/>
  <c r="BL405" i="3"/>
  <c r="BL407" i="3"/>
  <c r="AZ407" i="3" s="1"/>
  <c r="BA414" i="3"/>
  <c r="AZ414" i="3" s="1"/>
  <c r="AZ418" i="3"/>
  <c r="AZ421" i="3"/>
  <c r="AZ451" i="3"/>
  <c r="AZ454" i="3"/>
  <c r="AZ459" i="3"/>
  <c r="AZ469" i="3"/>
  <c r="BL475" i="3"/>
  <c r="BL480" i="3"/>
  <c r="AZ480" i="3" s="1"/>
  <c r="BA483" i="3"/>
  <c r="BL483" i="3"/>
  <c r="AZ483" i="3" s="1"/>
  <c r="BA489" i="3"/>
  <c r="G574" i="3"/>
  <c r="BL16" i="3"/>
  <c r="AZ16" i="3" s="1"/>
  <c r="BA401" i="3"/>
  <c r="AZ401" i="3" s="1"/>
  <c r="BA403" i="3"/>
  <c r="BA404" i="3"/>
  <c r="AZ404" i="3" s="1"/>
  <c r="BA405" i="3"/>
  <c r="AZ405" i="3" s="1"/>
  <c r="G409" i="3"/>
  <c r="BL410" i="3"/>
  <c r="G412" i="3"/>
  <c r="G419" i="3"/>
  <c r="BA422" i="3"/>
  <c r="AZ422" i="3" s="1"/>
  <c r="G430" i="3"/>
  <c r="BL431" i="3"/>
  <c r="BL434" i="3"/>
  <c r="G437" i="3"/>
  <c r="BL438" i="3"/>
  <c r="BL439" i="3"/>
  <c r="BA441" i="3"/>
  <c r="AZ441" i="3" s="1"/>
  <c r="BL445" i="3"/>
  <c r="BL446" i="3"/>
  <c r="BL449" i="3"/>
  <c r="BL450" i="3"/>
  <c r="BL452" i="3"/>
  <c r="AZ452" i="3" s="1"/>
  <c r="G454" i="3"/>
  <c r="G455" i="3"/>
  <c r="BL456" i="3"/>
  <c r="BA464" i="3"/>
  <c r="AZ464" i="3" s="1"/>
  <c r="BL467" i="3"/>
  <c r="BL468" i="3"/>
  <c r="G471" i="3"/>
  <c r="BL471" i="3"/>
  <c r="AZ471" i="3" s="1"/>
  <c r="BL484" i="3"/>
  <c r="BA219" i="3"/>
  <c r="AZ219" i="3" s="1"/>
  <c r="BL248" i="3"/>
  <c r="AZ248" i="3" s="1"/>
  <c r="BL250" i="3"/>
  <c r="AZ250" i="3" s="1"/>
  <c r="BA259" i="3"/>
  <c r="AZ259" i="3" s="1"/>
  <c r="BL261" i="3"/>
  <c r="BA263" i="3"/>
  <c r="AZ263" i="3" s="1"/>
  <c r="BA267" i="3"/>
  <c r="AZ267" i="3" s="1"/>
  <c r="BA269" i="3"/>
  <c r="AZ269" i="3" s="1"/>
  <c r="BA271" i="3"/>
  <c r="BL271" i="3"/>
  <c r="BA274" i="3"/>
  <c r="BL274" i="3"/>
  <c r="BA296" i="3"/>
  <c r="BL489" i="3"/>
  <c r="BL491" i="3"/>
  <c r="AZ491" i="3" s="1"/>
  <c r="BL492" i="3"/>
  <c r="BA315" i="3"/>
  <c r="AZ315" i="3" s="1"/>
  <c r="BA333" i="3"/>
  <c r="BL346" i="3"/>
  <c r="AZ346" i="3" s="1"/>
  <c r="G349" i="3"/>
  <c r="G374" i="3"/>
  <c r="BA384" i="3"/>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G302" i="3"/>
  <c r="BL113" i="3"/>
  <c r="BL115" i="3"/>
  <c r="AZ115" i="3" s="1"/>
  <c r="BA126" i="3"/>
  <c r="BL133" i="3"/>
  <c r="BA145" i="3"/>
  <c r="BL470" i="3"/>
  <c r="G472" i="3"/>
  <c r="G473" i="3"/>
  <c r="BL473" i="3"/>
  <c r="AZ473" i="3" s="1"/>
  <c r="BL474" i="3"/>
  <c r="G475" i="3"/>
  <c r="BA482" i="3"/>
  <c r="BA484" i="3"/>
  <c r="AZ484" i="3" s="1"/>
  <c r="G491" i="3"/>
  <c r="BA303" i="3"/>
  <c r="AZ303" i="3" s="1"/>
  <c r="BA307" i="3"/>
  <c r="AZ307" i="3" s="1"/>
  <c r="G311" i="3"/>
  <c r="BL314" i="3"/>
  <c r="AZ314" i="3" s="1"/>
  <c r="G315" i="3"/>
  <c r="BA332" i="3"/>
  <c r="BL332" i="3"/>
  <c r="G339" i="3"/>
  <c r="G364" i="3"/>
  <c r="BA367" i="3"/>
  <c r="AZ367" i="3" s="1"/>
  <c r="BA370" i="3"/>
  <c r="AZ370" i="3" s="1"/>
  <c r="BA386" i="3"/>
  <c r="AZ386" i="3" s="1"/>
  <c r="G397" i="3"/>
  <c r="G210" i="3"/>
  <c r="BA216" i="3"/>
  <c r="AZ216" i="3" s="1"/>
  <c r="BA218" i="3"/>
  <c r="BL218" i="3"/>
  <c r="BL220" i="3"/>
  <c r="BL221" i="3"/>
  <c r="G222" i="3"/>
  <c r="BL223" i="3"/>
  <c r="AZ223" i="3" s="1"/>
  <c r="G224" i="3"/>
  <c r="BA227" i="3"/>
  <c r="AZ227" i="3" s="1"/>
  <c r="BA229" i="3"/>
  <c r="BL229" i="3"/>
  <c r="BL231" i="3"/>
  <c r="G233" i="3"/>
  <c r="BL233" i="3"/>
  <c r="AZ233" i="3" s="1"/>
  <c r="G235" i="3"/>
  <c r="BL235" i="3"/>
  <c r="AZ235" i="3" s="1"/>
  <c r="BL236" i="3"/>
  <c r="G237" i="3"/>
  <c r="BL238" i="3"/>
  <c r="AZ238" i="3" s="1"/>
  <c r="G239" i="3"/>
  <c r="BL243" i="3"/>
  <c r="AZ243" i="3" s="1"/>
  <c r="G244" i="3"/>
  <c r="BA247" i="3"/>
  <c r="AZ247" i="3" s="1"/>
  <c r="BL247" i="3"/>
  <c r="BA249" i="3"/>
  <c r="BL249" i="3"/>
  <c r="BA251" i="3"/>
  <c r="AZ251" i="3" s="1"/>
  <c r="BL251" i="3"/>
  <c r="BA253" i="3"/>
  <c r="BL260" i="3"/>
  <c r="G262" i="3"/>
  <c r="BL263" i="3"/>
  <c r="G264" i="3"/>
  <c r="BL270" i="3"/>
  <c r="BA272" i="3"/>
  <c r="AZ272" i="3" s="1"/>
  <c r="BL275" i="3"/>
  <c r="AZ275" i="3" s="1"/>
  <c r="G277" i="3"/>
  <c r="G280" i="3"/>
  <c r="G282" i="3"/>
  <c r="BL285" i="3"/>
  <c r="BL287" i="3"/>
  <c r="BA290" i="3"/>
  <c r="G297" i="3"/>
  <c r="BL299" i="3"/>
  <c r="G300" i="3"/>
  <c r="BA302" i="3"/>
  <c r="G115" i="3"/>
  <c r="BA117" i="3"/>
  <c r="BA124" i="3"/>
  <c r="AZ124" i="3" s="1"/>
  <c r="BL127" i="3"/>
  <c r="AZ127" i="3" s="1"/>
  <c r="BA130" i="3"/>
  <c r="AZ130" i="3" s="1"/>
  <c r="BL130" i="3"/>
  <c r="G138" i="3"/>
  <c r="BA156" i="3"/>
  <c r="AZ156" i="3" s="1"/>
  <c r="BL324" i="3"/>
  <c r="AZ324" i="3" s="1"/>
  <c r="BL328" i="3"/>
  <c r="AZ328" i="3" s="1"/>
  <c r="G329" i="3"/>
  <c r="BA335" i="3"/>
  <c r="AZ335" i="3" s="1"/>
  <c r="BA339" i="3"/>
  <c r="AZ339" i="3" s="1"/>
  <c r="G343" i="3"/>
  <c r="G347" i="3"/>
  <c r="BA348" i="3"/>
  <c r="BA350" i="3"/>
  <c r="AZ350" i="3" s="1"/>
  <c r="BA354" i="3"/>
  <c r="BA366" i="3"/>
  <c r="AZ366" i="3" s="1"/>
  <c r="BL375" i="3"/>
  <c r="AZ375" i="3" s="1"/>
  <c r="BL385" i="3"/>
  <c r="AZ385" i="3" s="1"/>
  <c r="G392" i="3"/>
  <c r="BA397" i="3"/>
  <c r="BL397" i="3"/>
  <c r="BA210" i="3"/>
  <c r="AZ210" i="3" s="1"/>
  <c r="BL210" i="3"/>
  <c r="BL212" i="3"/>
  <c r="G214" i="3"/>
  <c r="BL214" i="3"/>
  <c r="AZ214" i="3" s="1"/>
  <c r="G216" i="3"/>
  <c r="BL225" i="3"/>
  <c r="BL226" i="3"/>
  <c r="G227" i="3"/>
  <c r="BA239" i="3"/>
  <c r="BL239" i="3"/>
  <c r="BA241" i="3"/>
  <c r="BL241" i="3"/>
  <c r="BA244" i="3"/>
  <c r="AZ244" i="3" s="1"/>
  <c r="BL244" i="3"/>
  <c r="BA246" i="3"/>
  <c r="AZ270" i="3"/>
  <c r="BA277" i="3"/>
  <c r="AZ277" i="3" s="1"/>
  <c r="BL277" i="3"/>
  <c r="BA282" i="3"/>
  <c r="BL282" i="3"/>
  <c r="BA284" i="3"/>
  <c r="AZ284" i="3" s="1"/>
  <c r="BL290" i="3"/>
  <c r="BL291" i="3"/>
  <c r="AZ291" i="3" s="1"/>
  <c r="BL300" i="3"/>
  <c r="G127" i="3"/>
  <c r="BA133" i="3"/>
  <c r="BA134" i="3"/>
  <c r="BL138" i="3"/>
  <c r="BA140" i="3"/>
  <c r="BA142" i="3"/>
  <c r="G45" i="3"/>
  <c r="BL45" i="3"/>
  <c r="BA48" i="3"/>
  <c r="BA49" i="3"/>
  <c r="AZ49" i="3" s="1"/>
  <c r="BA51" i="3"/>
  <c r="AZ51" i="3" s="1"/>
  <c r="G54" i="3"/>
  <c r="G55" i="3"/>
  <c r="BL56" i="3"/>
  <c r="BA58" i="3"/>
  <c r="AZ58" i="3" s="1"/>
  <c r="BL59" i="3"/>
  <c r="AZ59" i="3" s="1"/>
  <c r="BL60" i="3"/>
  <c r="BA61" i="3"/>
  <c r="AZ61" i="3" s="1"/>
  <c r="BL69" i="3"/>
  <c r="G70" i="3"/>
  <c r="BL70" i="3"/>
  <c r="BL71" i="3"/>
  <c r="BL72" i="3"/>
  <c r="AZ72" i="3" s="1"/>
  <c r="G74" i="3"/>
  <c r="BA75" i="3"/>
  <c r="AZ75" i="3" s="1"/>
  <c r="G93" i="3"/>
  <c r="BA98" i="3"/>
  <c r="BL103" i="3"/>
  <c r="G104" i="3"/>
  <c r="AB21" i="37"/>
  <c r="U21" i="37"/>
  <c r="D34" i="71"/>
  <c r="C35" i="71"/>
  <c r="D67" i="71"/>
  <c r="C66" i="71"/>
  <c r="O67" i="71"/>
  <c r="BL157" i="3"/>
  <c r="AZ157" i="3" s="1"/>
  <c r="BL159" i="3"/>
  <c r="AZ159" i="3" s="1"/>
  <c r="BL177" i="3"/>
  <c r="AZ177" i="3" s="1"/>
  <c r="BL183" i="3"/>
  <c r="AZ183" i="3" s="1"/>
  <c r="BA186" i="3"/>
  <c r="AZ186" i="3" s="1"/>
  <c r="BA190" i="3"/>
  <c r="BA197" i="3"/>
  <c r="AZ197" i="3" s="1"/>
  <c r="BL201" i="3"/>
  <c r="AZ201" i="3" s="1"/>
  <c r="BL203" i="3"/>
  <c r="AZ203" i="3" s="1"/>
  <c r="BA204" i="3"/>
  <c r="BA18" i="3"/>
  <c r="BL21" i="3"/>
  <c r="G23" i="3"/>
  <c r="BL29" i="3"/>
  <c r="G33" i="3"/>
  <c r="G34" i="3"/>
  <c r="BA37" i="3"/>
  <c r="BL39" i="3"/>
  <c r="G43" i="3"/>
  <c r="G44" i="3"/>
  <c r="BA45" i="3"/>
  <c r="AZ45" i="3" s="1"/>
  <c r="BA46" i="3"/>
  <c r="BL53" i="3"/>
  <c r="BA56" i="3"/>
  <c r="AZ70" i="3"/>
  <c r="BA87" i="3"/>
  <c r="U21" i="33"/>
  <c r="AB21" i="33"/>
  <c r="BL301" i="3"/>
  <c r="AZ301" i="3" s="1"/>
  <c r="BL302" i="3"/>
  <c r="BA114" i="3"/>
  <c r="BL123" i="3"/>
  <c r="AZ123" i="3" s="1"/>
  <c r="BA128" i="3"/>
  <c r="AZ128" i="3" s="1"/>
  <c r="BL134" i="3"/>
  <c r="BL137" i="3"/>
  <c r="AZ137" i="3" s="1"/>
  <c r="BA146" i="3"/>
  <c r="AZ146" i="3" s="1"/>
  <c r="BA150" i="3"/>
  <c r="AZ150" i="3" s="1"/>
  <c r="G159" i="3"/>
  <c r="BL167" i="3"/>
  <c r="AZ167" i="3" s="1"/>
  <c r="G175" i="3"/>
  <c r="G176" i="3"/>
  <c r="BL178" i="3"/>
  <c r="BA180" i="3"/>
  <c r="AZ180" i="3" s="1"/>
  <c r="BL182" i="3"/>
  <c r="AZ182" i="3" s="1"/>
  <c r="G183" i="3"/>
  <c r="BA185" i="3"/>
  <c r="BL191" i="3"/>
  <c r="AZ191" i="3" s="1"/>
  <c r="G192" i="3"/>
  <c r="BA193" i="3"/>
  <c r="BA196" i="3"/>
  <c r="AZ196" i="3" s="1"/>
  <c r="G203" i="3"/>
  <c r="BA205" i="3"/>
  <c r="AZ205" i="3" s="1"/>
  <c r="BL20" i="3"/>
  <c r="BA21" i="3"/>
  <c r="AZ21" i="3" s="1"/>
  <c r="BA25" i="3"/>
  <c r="BA26" i="3"/>
  <c r="BL28" i="3"/>
  <c r="BA29" i="3"/>
  <c r="AZ29" i="3" s="1"/>
  <c r="BA36" i="3"/>
  <c r="BL38" i="3"/>
  <c r="BA39" i="3"/>
  <c r="AZ39" i="3" s="1"/>
  <c r="BL47" i="3"/>
  <c r="AZ47" i="3" s="1"/>
  <c r="G49" i="3"/>
  <c r="G50" i="3"/>
  <c r="G52" i="3"/>
  <c r="BA52" i="3"/>
  <c r="AZ52" i="3" s="1"/>
  <c r="BA53" i="3"/>
  <c r="AZ53" i="3" s="1"/>
  <c r="BA54" i="3"/>
  <c r="BL57" i="3"/>
  <c r="G62" i="3"/>
  <c r="BL62" i="3"/>
  <c r="AZ62" i="3" s="1"/>
  <c r="BL63" i="3"/>
  <c r="G67" i="3"/>
  <c r="BL68" i="3"/>
  <c r="BA69" i="3"/>
  <c r="AZ69" i="3" s="1"/>
  <c r="BA73" i="3"/>
  <c r="G78" i="3"/>
  <c r="G79" i="3"/>
  <c r="G81" i="3"/>
  <c r="G85" i="3"/>
  <c r="BL85" i="3"/>
  <c r="BA86" i="3"/>
  <c r="AZ86" i="3" s="1"/>
  <c r="G89" i="3"/>
  <c r="BA92" i="3"/>
  <c r="BL96" i="3"/>
  <c r="BL97" i="3"/>
  <c r="AZ97" i="3" s="1"/>
  <c r="G103" i="3"/>
  <c r="BA103" i="3"/>
  <c r="AZ103" i="3" s="1"/>
  <c r="BA110" i="3"/>
  <c r="AZ110" i="3" s="1"/>
  <c r="B13" i="1"/>
  <c r="E13" i="1" s="1"/>
  <c r="K13" i="1"/>
  <c r="M13" i="1" s="1"/>
  <c r="O13" i="1" s="1"/>
  <c r="P13" i="1" s="1"/>
  <c r="F40" i="69"/>
  <c r="C40" i="69"/>
  <c r="D44" i="71"/>
  <c r="T44" i="71"/>
  <c r="B27" i="71"/>
  <c r="B26" i="71" s="1"/>
  <c r="S28" i="71"/>
  <c r="D50" i="71"/>
  <c r="C51" i="71"/>
  <c r="BA118" i="3"/>
  <c r="BL118" i="3"/>
  <c r="BA122" i="3"/>
  <c r="AZ122" i="3" s="1"/>
  <c r="BL125" i="3"/>
  <c r="AZ125" i="3" s="1"/>
  <c r="BL126" i="3"/>
  <c r="G130" i="3"/>
  <c r="BA144" i="3"/>
  <c r="AZ144" i="3" s="1"/>
  <c r="G152" i="3"/>
  <c r="BA153" i="3"/>
  <c r="BL155" i="3"/>
  <c r="AZ155" i="3" s="1"/>
  <c r="BA164" i="3"/>
  <c r="BA166" i="3"/>
  <c r="AZ166" i="3" s="1"/>
  <c r="BA169" i="3"/>
  <c r="AZ169" i="3" s="1"/>
  <c r="BL171" i="3"/>
  <c r="AZ171" i="3" s="1"/>
  <c r="G174" i="3"/>
  <c r="BA176" i="3"/>
  <c r="AZ176" i="3" s="1"/>
  <c r="BA178" i="3"/>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BA38" i="3"/>
  <c r="BA41" i="3"/>
  <c r="AZ41" i="3" s="1"/>
  <c r="BA42" i="3"/>
  <c r="BL48" i="3"/>
  <c r="AZ48" i="3" s="1"/>
  <c r="BL55" i="3"/>
  <c r="AZ55" i="3" s="1"/>
  <c r="AZ64" i="3"/>
  <c r="BA68" i="3"/>
  <c r="BL75" i="3"/>
  <c r="BA80" i="3"/>
  <c r="BL84" i="3"/>
  <c r="BA91" i="3"/>
  <c r="AZ91" i="3" s="1"/>
  <c r="BL93" i="3"/>
  <c r="G95" i="3"/>
  <c r="G96" i="3"/>
  <c r="G106" i="3"/>
  <c r="BL106" i="3"/>
  <c r="BA108" i="3"/>
  <c r="AZ108" i="3" s="1"/>
  <c r="T40" i="71"/>
  <c r="D40" i="71"/>
  <c r="D31" i="71"/>
  <c r="C32" i="71"/>
  <c r="T28" i="71"/>
  <c r="D28" i="71"/>
  <c r="U28" i="71" s="1"/>
  <c r="C27" i="71"/>
  <c r="C55" i="71"/>
  <c r="D54" i="71"/>
  <c r="C64" i="71"/>
  <c r="T64" i="71" s="1"/>
  <c r="D63" i="71"/>
  <c r="V24" i="71"/>
  <c r="E23" i="71"/>
  <c r="E22" i="71" s="1"/>
  <c r="E21" i="71" s="1"/>
  <c r="E20" i="71" s="1"/>
  <c r="P66" i="71"/>
  <c r="AA27" i="71"/>
  <c r="AB26" i="71"/>
  <c r="C75" i="71"/>
  <c r="O68" i="71"/>
  <c r="D46" i="71"/>
  <c r="Y28" i="71"/>
  <c r="Z28" i="71" s="1"/>
  <c r="X35" i="71"/>
  <c r="AA37" i="71"/>
  <c r="X28" i="71"/>
  <c r="X32" i="71"/>
  <c r="F38" i="71"/>
  <c r="F39" i="71" s="1"/>
  <c r="F40" i="71" s="1"/>
  <c r="V40" i="71" s="1"/>
  <c r="B79" i="71"/>
  <c r="B78" i="71" s="1"/>
  <c r="BA57" i="3"/>
  <c r="AZ57" i="3" s="1"/>
  <c r="BL58" i="3"/>
  <c r="G60" i="3"/>
  <c r="BA60" i="3"/>
  <c r="AZ60" i="3" s="1"/>
  <c r="BA63" i="3"/>
  <c r="AZ63" i="3" s="1"/>
  <c r="BA66" i="3"/>
  <c r="AZ66" i="3" s="1"/>
  <c r="BA71" i="3"/>
  <c r="AZ71" i="3" s="1"/>
  <c r="G76" i="3"/>
  <c r="BL77" i="3"/>
  <c r="AZ77" i="3" s="1"/>
  <c r="BA79" i="3"/>
  <c r="AZ79" i="3" s="1"/>
  <c r="G82" i="3"/>
  <c r="G83" i="3"/>
  <c r="BA84" i="3"/>
  <c r="AZ84" i="3" s="1"/>
  <c r="BL88" i="3"/>
  <c r="AZ88" i="3" s="1"/>
  <c r="G90" i="3"/>
  <c r="BL90" i="3"/>
  <c r="BL92" i="3"/>
  <c r="G101" i="3"/>
  <c r="BA101" i="3"/>
  <c r="AZ101" i="3" s="1"/>
  <c r="G108" i="3"/>
  <c r="G109" i="3"/>
  <c r="BL112" i="3"/>
  <c r="W18" i="35"/>
  <c r="U25" i="40"/>
  <c r="S21" i="34"/>
  <c r="B68" i="43"/>
  <c r="B88" i="43"/>
  <c r="D76" i="71"/>
  <c r="T68" i="71"/>
  <c r="X34" i="71"/>
  <c r="X31" i="71"/>
  <c r="F35" i="71"/>
  <c r="F36" i="71" s="1"/>
  <c r="V36" i="71" s="1"/>
  <c r="AA34" i="71"/>
  <c r="AB35" i="71"/>
  <c r="BA90" i="3"/>
  <c r="BL94" i="3"/>
  <c r="AZ94" i="3" s="1"/>
  <c r="BA100" i="3"/>
  <c r="AZ100" i="3" s="1"/>
  <c r="BA102" i="3"/>
  <c r="AZ102" i="3" s="1"/>
  <c r="BL105" i="3"/>
  <c r="AZ105" i="3" s="1"/>
  <c r="G107" i="3"/>
  <c r="BL107" i="3"/>
  <c r="BA111" i="3"/>
  <c r="AZ111" i="3" s="1"/>
  <c r="AC21" i="37"/>
  <c r="U21" i="34"/>
  <c r="W18" i="36"/>
  <c r="D87" i="71"/>
  <c r="AB28" i="71"/>
  <c r="Q67" i="71"/>
  <c r="AB33" i="71"/>
  <c r="AA30" i="71"/>
  <c r="F31" i="71"/>
  <c r="F32" i="71" s="1"/>
  <c r="V32" i="71" s="1"/>
  <c r="AB31" i="71"/>
  <c r="AB36" i="71"/>
  <c r="AA36" i="71"/>
  <c r="Y38" i="71"/>
  <c r="Z38" i="71" s="1"/>
  <c r="B47" i="71"/>
  <c r="B48" i="71" s="1"/>
  <c r="S48" i="71" s="1"/>
  <c r="E47" i="71"/>
  <c r="E48" i="71" s="1"/>
  <c r="U48" i="71" s="1"/>
  <c r="B55" i="71"/>
  <c r="B56" i="71" s="1"/>
  <c r="S56" i="71" s="1"/>
  <c r="F71" i="71"/>
  <c r="F70" i="71" s="1"/>
  <c r="F9" i="1"/>
  <c r="G9" i="1" s="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9" i="3"/>
  <c r="AZ456" i="3"/>
  <c r="AZ467" i="3"/>
  <c r="AZ468" i="3"/>
  <c r="AZ470" i="3"/>
  <c r="W35" i="39"/>
  <c r="F27" i="34"/>
  <c r="C21" i="39"/>
  <c r="U9" i="36"/>
  <c r="U14" i="37"/>
  <c r="H12" i="21"/>
  <c r="G526" i="3"/>
  <c r="AZ424" i="3"/>
  <c r="AZ434" i="3"/>
  <c r="AZ436" i="3"/>
  <c r="AZ438" i="3"/>
  <c r="AZ446" i="3"/>
  <c r="AZ450" i="3"/>
  <c r="G28" i="6"/>
  <c r="U26" i="21"/>
  <c r="W36" i="39"/>
  <c r="U23" i="40"/>
  <c r="AA39" i="37"/>
  <c r="AC16" i="36"/>
  <c r="AB12" i="33"/>
  <c r="C27" i="39"/>
  <c r="U40" i="40"/>
  <c r="AC9" i="40"/>
  <c r="W36" i="35"/>
  <c r="J12" i="21"/>
  <c r="B73" i="43"/>
  <c r="B76" i="43"/>
  <c r="F9" i="36"/>
  <c r="J40" i="40"/>
  <c r="G562" i="3"/>
  <c r="AZ463" i="3"/>
  <c r="AZ489"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40" i="3"/>
  <c r="AZ68" i="3"/>
  <c r="AZ73" i="3"/>
  <c r="AZ104" i="3"/>
  <c r="AZ106" i="3"/>
  <c r="G200" i="3"/>
  <c r="G207" i="3"/>
  <c r="BA23" i="3"/>
  <c r="AZ23" i="3" s="1"/>
  <c r="BA24" i="3"/>
  <c r="AZ24" i="3" s="1"/>
  <c r="BL26" i="3"/>
  <c r="AZ26" i="3" s="1"/>
  <c r="BL32" i="3"/>
  <c r="BA34" i="3"/>
  <c r="AZ34" i="3" s="1"/>
  <c r="BA35" i="3"/>
  <c r="AZ35" i="3" s="1"/>
  <c r="BL37" i="3"/>
  <c r="AZ37" i="3" s="1"/>
  <c r="BL42" i="3"/>
  <c r="AZ42" i="3" s="1"/>
  <c r="BA44" i="3"/>
  <c r="AZ44" i="3" s="1"/>
  <c r="AZ56"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F53" i="9"/>
  <c r="C5" i="11"/>
  <c r="C4" i="12"/>
  <c r="E14" i="6"/>
  <c r="E63" i="39" s="1"/>
  <c r="I4" i="6"/>
  <c r="G3" i="43" s="1"/>
  <c r="H26" i="43" s="1"/>
  <c r="G30" i="6"/>
  <c r="G31" i="6" s="1"/>
  <c r="L19" i="6"/>
  <c r="L27" i="6" s="1"/>
  <c r="M6" i="1"/>
  <c r="O6" i="1" s="1"/>
  <c r="T13" i="1"/>
  <c r="C58" i="21"/>
  <c r="D58" i="21" s="1"/>
  <c r="C58" i="33"/>
  <c r="C59" i="34"/>
  <c r="D59" i="34" s="1"/>
  <c r="E59" i="34" s="1"/>
  <c r="F59" i="34" s="1"/>
  <c r="G59" i="34" s="1"/>
  <c r="H59" i="34" s="1"/>
  <c r="I59" i="34" s="1"/>
  <c r="J59" i="34" s="1"/>
  <c r="K59" i="34" s="1"/>
  <c r="L59" i="34" s="1"/>
  <c r="M59" i="34" s="1"/>
  <c r="N59" i="34" s="1"/>
  <c r="O59" i="34"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8"/>
  <c r="C30" i="68"/>
  <c r="C77" i="9"/>
  <c r="C74" i="9" s="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1" i="6"/>
  <c r="E60" i="39" s="1"/>
  <c r="E13" i="6"/>
  <c r="P6" i="1"/>
  <c r="C13" i="12" s="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J53" i="15"/>
  <c r="L56" i="15" s="1"/>
  <c r="J57" i="15"/>
  <c r="J55" i="15" s="1"/>
  <c r="J58" i="15" s="1"/>
  <c r="Q50" i="15" s="1"/>
  <c r="I54" i="15"/>
  <c r="B20" i="31"/>
  <c r="B21" i="31" s="1"/>
  <c r="I1" i="73"/>
  <c r="B39" i="1" s="1"/>
  <c r="F51" i="67"/>
  <c r="F65" i="67"/>
  <c r="I54" i="67"/>
  <c r="M7" i="15"/>
  <c r="F50" i="15"/>
  <c r="F51" i="15"/>
  <c r="F71" i="15"/>
  <c r="L59" i="15"/>
  <c r="N59" i="15"/>
  <c r="L58" i="15"/>
  <c r="M59" i="15"/>
  <c r="F66" i="15"/>
  <c r="Q71" i="67"/>
  <c r="F64" i="15"/>
  <c r="C27" i="67"/>
  <c r="F71" i="67"/>
  <c r="C27" i="15"/>
  <c r="F65" i="15"/>
  <c r="N59" i="67"/>
  <c r="L58" i="67"/>
  <c r="B13" i="70"/>
  <c r="M7" i="67"/>
  <c r="J6" i="67" s="1"/>
  <c r="F50" i="67"/>
  <c r="F68" i="67"/>
  <c r="F64" i="67"/>
  <c r="C36" i="68"/>
  <c r="D9" i="68"/>
  <c r="M22" i="67"/>
  <c r="C76" i="15"/>
  <c r="M9" i="15"/>
  <c r="D3" i="73"/>
  <c r="F38" i="67"/>
  <c r="M28" i="15"/>
  <c r="C36" i="69"/>
  <c r="F16" i="15"/>
  <c r="C16" i="67"/>
  <c r="D5" i="73"/>
  <c r="F42" i="15"/>
  <c r="F40" i="15"/>
  <c r="M24" i="67"/>
  <c r="D4" i="73"/>
  <c r="F6" i="15"/>
  <c r="D9" i="69"/>
  <c r="D7" i="73"/>
  <c r="M23" i="15"/>
  <c r="M22" i="15"/>
  <c r="S43" i="34" l="1"/>
  <c r="M59" i="67"/>
  <c r="L56" i="67"/>
  <c r="J57" i="67"/>
  <c r="J55" i="67" s="1"/>
  <c r="J58" i="67" s="1"/>
  <c r="Q50" i="67" s="1"/>
  <c r="L59" i="67"/>
  <c r="Q74" i="67" s="1"/>
  <c r="AC9" i="34"/>
  <c r="W9" i="34"/>
  <c r="U9" i="34"/>
  <c r="AB9" i="34"/>
  <c r="N370" i="46"/>
  <c r="E28" i="6"/>
  <c r="K14" i="1" s="1"/>
  <c r="F26" i="43"/>
  <c r="G26" i="43"/>
  <c r="N94" i="46"/>
  <c r="J26" i="43"/>
  <c r="Q16" i="1"/>
  <c r="E26" i="43"/>
  <c r="F48" i="9"/>
  <c r="O52" i="9" s="1"/>
  <c r="M18" i="67"/>
  <c r="F28" i="15"/>
  <c r="C28" i="15" s="1"/>
  <c r="D68" i="9"/>
  <c r="F30" i="11"/>
  <c r="F32" i="67"/>
  <c r="F60" i="67" s="1"/>
  <c r="F30" i="69"/>
  <c r="F31" i="12"/>
  <c r="C31" i="12" s="1"/>
  <c r="M18" i="15"/>
  <c r="F28" i="67"/>
  <c r="C28" i="67" s="1"/>
  <c r="F68" i="15"/>
  <c r="F66" i="67"/>
  <c r="F31" i="15"/>
  <c r="C6" i="15"/>
  <c r="Q71" i="15"/>
  <c r="F30" i="6"/>
  <c r="E29" i="6"/>
  <c r="K15" i="1" s="1"/>
  <c r="K16" i="1" s="1"/>
  <c r="J7" i="36"/>
  <c r="C56" i="71"/>
  <c r="D55" i="71"/>
  <c r="T32" i="71"/>
  <c r="D32" i="71"/>
  <c r="C36" i="71"/>
  <c r="D35" i="71"/>
  <c r="AZ133" i="3"/>
  <c r="AZ397" i="3"/>
  <c r="AZ249" i="3"/>
  <c r="AB24" i="36"/>
  <c r="U24" i="36"/>
  <c r="AZ503" i="3"/>
  <c r="AZ512" i="3"/>
  <c r="AZ568" i="3"/>
  <c r="AA46" i="21"/>
  <c r="S46" i="21"/>
  <c r="AA28" i="21"/>
  <c r="S28" i="21"/>
  <c r="AB39" i="37"/>
  <c r="U39" i="37"/>
  <c r="AB34" i="36"/>
  <c r="U34" i="36"/>
  <c r="W12" i="35"/>
  <c r="AC12" i="35"/>
  <c r="AA32" i="34"/>
  <c r="S32" i="34"/>
  <c r="U45" i="33"/>
  <c r="AB45" i="33"/>
  <c r="J6" i="15"/>
  <c r="J18" i="15" s="1"/>
  <c r="D20" i="53"/>
  <c r="B40" i="72" s="1"/>
  <c r="H16" i="1"/>
  <c r="E15" i="6"/>
  <c r="E64" i="39" s="1"/>
  <c r="C26" i="71"/>
  <c r="D26" i="71" s="1"/>
  <c r="D27" i="71"/>
  <c r="AZ178" i="3"/>
  <c r="AZ118" i="3"/>
  <c r="AZ38" i="3"/>
  <c r="AZ239" i="3"/>
  <c r="AZ332" i="3"/>
  <c r="AZ274" i="3"/>
  <c r="AZ403" i="3"/>
  <c r="AZ428" i="3"/>
  <c r="S13" i="40"/>
  <c r="AA13" i="40"/>
  <c r="AA23" i="35"/>
  <c r="S23" i="35"/>
  <c r="AB30" i="21"/>
  <c r="U30" i="21"/>
  <c r="AC24" i="36"/>
  <c r="W24" i="36"/>
  <c r="AB28" i="34"/>
  <c r="U28" i="34"/>
  <c r="AZ527" i="3"/>
  <c r="AZ541" i="3"/>
  <c r="AB31" i="21"/>
  <c r="U31" i="21"/>
  <c r="AB28" i="21"/>
  <c r="U28" i="21"/>
  <c r="AC39" i="37"/>
  <c r="W39" i="37"/>
  <c r="AB14" i="34"/>
  <c r="U14" i="34"/>
  <c r="W45" i="33"/>
  <c r="AC45" i="33"/>
  <c r="AZ536" i="3"/>
  <c r="AZ549" i="3"/>
  <c r="AC31" i="21"/>
  <c r="W31" i="21"/>
  <c r="S34" i="36"/>
  <c r="AA34" i="36"/>
  <c r="W32" i="34"/>
  <c r="AC32" i="34"/>
  <c r="S14" i="34"/>
  <c r="AA14" i="34"/>
  <c r="S29" i="33"/>
  <c r="AA29" i="33"/>
  <c r="AZ539" i="3"/>
  <c r="C52" i="71"/>
  <c r="D51" i="71"/>
  <c r="AZ25" i="3"/>
  <c r="O65" i="71"/>
  <c r="D66" i="71"/>
  <c r="O66" i="71"/>
  <c r="U13" i="40"/>
  <c r="AB13" i="40"/>
  <c r="U23" i="35"/>
  <c r="AB23" i="35"/>
  <c r="S30" i="21"/>
  <c r="AA30" i="21"/>
  <c r="AB32" i="40"/>
  <c r="U32" i="40"/>
  <c r="AC9" i="33"/>
  <c r="W9" i="33"/>
  <c r="W28" i="34"/>
  <c r="AC28" i="34"/>
  <c r="G5" i="3"/>
  <c r="B3" i="3" s="1"/>
  <c r="E212" i="3" s="1"/>
  <c r="AZ32" i="3"/>
  <c r="AZ36" i="3"/>
  <c r="AZ113" i="3"/>
  <c r="D75" i="71"/>
  <c r="C74" i="71"/>
  <c r="D74" i="71" s="1"/>
  <c r="AZ190" i="3"/>
  <c r="AZ282" i="3"/>
  <c r="AZ241" i="3"/>
  <c r="AZ302" i="3"/>
  <c r="AZ229" i="3"/>
  <c r="AZ218" i="3"/>
  <c r="AZ126" i="3"/>
  <c r="AZ271" i="3"/>
  <c r="AB13" i="36"/>
  <c r="U13" i="36"/>
  <c r="AC23" i="35"/>
  <c r="W23" i="35"/>
  <c r="AC32" i="40"/>
  <c r="W32" i="40"/>
  <c r="AB9" i="33"/>
  <c r="U9" i="33"/>
  <c r="AA28" i="34"/>
  <c r="S28" i="34"/>
  <c r="AZ496" i="3"/>
  <c r="AZ505" i="3"/>
  <c r="AZ525" i="3"/>
  <c r="AZ540" i="3"/>
  <c r="AZ543" i="3"/>
  <c r="AZ550" i="3"/>
  <c r="U46" i="21"/>
  <c r="AB46" i="21"/>
  <c r="W28" i="21"/>
  <c r="AC28" i="21"/>
  <c r="AZ570" i="3"/>
  <c r="U12" i="35"/>
  <c r="AB12" i="35"/>
  <c r="U32" i="34"/>
  <c r="AB32" i="34"/>
  <c r="AA45" i="33"/>
  <c r="S45" i="33"/>
  <c r="G16" i="1"/>
  <c r="F10" i="39" s="1"/>
  <c r="S10" i="39" s="1"/>
  <c r="J7" i="37"/>
  <c r="W7" i="37" s="1"/>
  <c r="K1" i="73"/>
  <c r="E510" i="3"/>
  <c r="E541" i="3"/>
  <c r="E192" i="3"/>
  <c r="E363" i="3"/>
  <c r="E103" i="3"/>
  <c r="E381" i="3"/>
  <c r="E264" i="3"/>
  <c r="E75" i="3"/>
  <c r="E287" i="3"/>
  <c r="E22" i="3"/>
  <c r="E534" i="3"/>
  <c r="E360" i="3"/>
  <c r="E497" i="3"/>
  <c r="E452" i="3"/>
  <c r="E115" i="3"/>
  <c r="E243" i="3"/>
  <c r="E78" i="3"/>
  <c r="E342" i="3"/>
  <c r="E370" i="3"/>
  <c r="E158" i="3"/>
  <c r="E223" i="3"/>
  <c r="E105" i="3"/>
  <c r="E493" i="3"/>
  <c r="E422" i="3"/>
  <c r="E490" i="3"/>
  <c r="E498" i="3"/>
  <c r="E40" i="3"/>
  <c r="E202" i="3"/>
  <c r="E276" i="3"/>
  <c r="E43" i="3"/>
  <c r="E473" i="3"/>
  <c r="E455" i="3"/>
  <c r="E234" i="3"/>
  <c r="E339" i="3"/>
  <c r="E52" i="3"/>
  <c r="E147" i="3"/>
  <c r="E50" i="3"/>
  <c r="E62" i="3"/>
  <c r="E101" i="3"/>
  <c r="E141" i="3"/>
  <c r="E398" i="3"/>
  <c r="E58" i="3"/>
  <c r="E65" i="3"/>
  <c r="E24" i="3"/>
  <c r="E51" i="3"/>
  <c r="E244" i="3"/>
  <c r="E312" i="3"/>
  <c r="E500" i="3"/>
  <c r="E520" i="3"/>
  <c r="E57" i="3"/>
  <c r="E446" i="3"/>
  <c r="E138" i="3"/>
  <c r="E209" i="3"/>
  <c r="E48" i="3"/>
  <c r="E284" i="3"/>
  <c r="E19" i="3"/>
  <c r="E149" i="3"/>
  <c r="E464" i="3"/>
  <c r="E582" i="3"/>
  <c r="E297" i="3"/>
  <c r="E375" i="3"/>
  <c r="E47" i="3"/>
  <c r="E584" i="3"/>
  <c r="E341" i="3"/>
  <c r="E373" i="3"/>
  <c r="E374" i="3"/>
  <c r="E39" i="3"/>
  <c r="E259" i="3"/>
  <c r="E163" i="3"/>
  <c r="E66" i="3"/>
  <c r="Y6" i="3"/>
  <c r="AD6" i="3"/>
  <c r="E459" i="3"/>
  <c r="E488" i="3"/>
  <c r="E87" i="3"/>
  <c r="E154" i="3"/>
  <c r="E167" i="3"/>
  <c r="E187" i="3"/>
  <c r="E504" i="3"/>
  <c r="E98" i="3"/>
  <c r="E127" i="3"/>
  <c r="E82" i="3"/>
  <c r="E122" i="3"/>
  <c r="E136" i="3"/>
  <c r="E352" i="3"/>
  <c r="E306" i="3"/>
  <c r="E224" i="3"/>
  <c r="E313" i="3"/>
  <c r="E532" i="3"/>
  <c r="E474" i="3"/>
  <c r="E438" i="3"/>
  <c r="E288" i="3"/>
  <c r="E537" i="3"/>
  <c r="E471" i="3"/>
  <c r="E475" i="3"/>
  <c r="E168" i="3"/>
  <c r="E208" i="3"/>
  <c r="E257" i="3"/>
  <c r="E14" i="3"/>
  <c r="E93" i="3"/>
  <c r="E397" i="3"/>
  <c r="E207" i="3"/>
  <c r="E145" i="3"/>
  <c r="E379" i="3"/>
  <c r="E411" i="3"/>
  <c r="E548" i="3"/>
  <c r="E432" i="3"/>
  <c r="E547" i="3"/>
  <c r="E403" i="3"/>
  <c r="E546" i="3"/>
  <c r="E92" i="3"/>
  <c r="E126" i="3"/>
  <c r="E272" i="3"/>
  <c r="E317" i="3"/>
  <c r="AM6" i="3"/>
  <c r="E29" i="3"/>
  <c r="E319" i="3"/>
  <c r="E501" i="3"/>
  <c r="E153" i="3"/>
  <c r="E328" i="3"/>
  <c r="O6" i="3"/>
  <c r="E574" i="3"/>
  <c r="E285" i="3"/>
  <c r="E97" i="3"/>
  <c r="E390" i="3"/>
  <c r="E523" i="3"/>
  <c r="E506" i="3"/>
  <c r="E418" i="3"/>
  <c r="E321" i="3"/>
  <c r="E298" i="3"/>
  <c r="E169"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AA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C7" i="43"/>
  <c r="C5" i="43" s="1"/>
  <c r="D10" i="52"/>
  <c r="D125" i="9"/>
  <c r="D11" i="52" s="1"/>
  <c r="B7" i="74"/>
  <c r="C7" i="74" s="1"/>
  <c r="F67" i="39"/>
  <c r="F59" i="67"/>
  <c r="H7" i="37"/>
  <c r="AB7" i="37" s="1"/>
  <c r="T42" i="37" s="1"/>
  <c r="G42" i="37" s="1"/>
  <c r="H7" i="33"/>
  <c r="J7" i="33"/>
  <c r="D65" i="40"/>
  <c r="E63" i="40"/>
  <c r="F48" i="35"/>
  <c r="S7" i="36"/>
  <c r="AC7" i="37"/>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F1" i="15"/>
  <c r="Q52" i="15"/>
  <c r="J18" i="67"/>
  <c r="C32" i="15"/>
  <c r="F1" i="67"/>
  <c r="Q52" i="67"/>
  <c r="Q60" i="15"/>
  <c r="Q73" i="15"/>
  <c r="Q74" i="15"/>
  <c r="Q61" i="15"/>
  <c r="AE11" i="1"/>
  <c r="AE9" i="1"/>
  <c r="F27" i="68"/>
  <c r="AE7" i="1"/>
  <c r="AE8" i="1"/>
  <c r="AE12" i="1"/>
  <c r="AE10" i="1"/>
  <c r="G1" i="73"/>
  <c r="AE6" i="1"/>
  <c r="F27" i="69"/>
  <c r="F41" i="67"/>
  <c r="C16" i="15"/>
  <c r="Q61" i="67" l="1"/>
  <c r="U7" i="36"/>
  <c r="C47" i="69"/>
  <c r="D45" i="69" s="1"/>
  <c r="F45" i="69"/>
  <c r="J10" i="40"/>
  <c r="AC10" i="40" s="1"/>
  <c r="F10" i="40"/>
  <c r="S10" i="40" s="1"/>
  <c r="D26" i="43"/>
  <c r="C25" i="43" s="1"/>
  <c r="AA10" i="39"/>
  <c r="H10" i="40"/>
  <c r="AB10" i="40" s="1"/>
  <c r="F28" i="12"/>
  <c r="C29" i="12" s="1"/>
  <c r="D28" i="12" s="1"/>
  <c r="E237" i="3"/>
  <c r="E338" i="3"/>
  <c r="S6" i="3"/>
  <c r="H6" i="3" s="1"/>
  <c r="E359" i="3"/>
  <c r="E426" i="3"/>
  <c r="E53" i="3"/>
  <c r="E291" i="3"/>
  <c r="E71" i="3"/>
  <c r="E367" i="3"/>
  <c r="U6" i="3"/>
  <c r="E196" i="3"/>
  <c r="E357" i="3"/>
  <c r="E54" i="3"/>
  <c r="W6" i="3"/>
  <c r="E529" i="3"/>
  <c r="E157" i="3"/>
  <c r="E461" i="3"/>
  <c r="E307" i="3"/>
  <c r="E413" i="3"/>
  <c r="E195" i="3"/>
  <c r="E179" i="3"/>
  <c r="E462" i="3"/>
  <c r="E542" i="3"/>
  <c r="E266" i="3"/>
  <c r="E436" i="3"/>
  <c r="E323" i="3"/>
  <c r="E354" i="3"/>
  <c r="E110" i="3"/>
  <c r="E421" i="3"/>
  <c r="E250" i="3"/>
  <c r="E155" i="3"/>
  <c r="E218" i="3"/>
  <c r="E112" i="3"/>
  <c r="E137" i="3"/>
  <c r="E333" i="3"/>
  <c r="E401" i="3"/>
  <c r="E486" i="3"/>
  <c r="E83" i="3"/>
  <c r="E220" i="3"/>
  <c r="E104" i="3"/>
  <c r="E405" i="3"/>
  <c r="E129" i="3"/>
  <c r="E300" i="3"/>
  <c r="I3" i="6"/>
  <c r="H10" i="39"/>
  <c r="U10" i="39" s="1"/>
  <c r="F27" i="11"/>
  <c r="C29" i="11" s="1"/>
  <c r="D27" i="11" s="1"/>
  <c r="J10" i="39"/>
  <c r="W10" i="39" s="1"/>
  <c r="C29" i="69"/>
  <c r="D27" i="69" s="1"/>
  <c r="E3" i="6"/>
  <c r="E416" i="3"/>
  <c r="E222" i="3"/>
  <c r="E386" i="3"/>
  <c r="E460" i="3"/>
  <c r="E365" i="3"/>
  <c r="E340" i="3"/>
  <c r="E392" i="3"/>
  <c r="E38" i="3"/>
  <c r="L6" i="3"/>
  <c r="E108" i="3"/>
  <c r="AH6" i="3"/>
  <c r="E543" i="3"/>
  <c r="E16" i="3"/>
  <c r="E49" i="3"/>
  <c r="E428" i="3"/>
  <c r="E420" i="3"/>
  <c r="E408" i="3"/>
  <c r="E173" i="3"/>
  <c r="E251" i="3"/>
  <c r="E332" i="3"/>
  <c r="E144" i="3"/>
  <c r="E425" i="3"/>
  <c r="E56" i="3"/>
  <c r="R6" i="3"/>
  <c r="E469" i="3"/>
  <c r="E140" i="3"/>
  <c r="E522" i="3"/>
  <c r="E21" i="3"/>
  <c r="E23" i="3"/>
  <c r="E76" i="3"/>
  <c r="E435" i="3"/>
  <c r="E199" i="3"/>
  <c r="J5" i="15"/>
  <c r="J24" i="15" s="1"/>
  <c r="F48" i="69"/>
  <c r="C48" i="69"/>
  <c r="C30" i="69"/>
  <c r="C48" i="11"/>
  <c r="C30" i="11"/>
  <c r="E102" i="3"/>
  <c r="E34" i="3"/>
  <c r="E235" i="3"/>
  <c r="E18" i="3"/>
  <c r="AL6" i="3"/>
  <c r="E198" i="3"/>
  <c r="E309" i="3"/>
  <c r="E63" i="3"/>
  <c r="E233" i="3"/>
  <c r="E67" i="3"/>
  <c r="E310" i="3"/>
  <c r="E267" i="3"/>
  <c r="E64" i="3"/>
  <c r="E409" i="3"/>
  <c r="E389" i="3"/>
  <c r="E241" i="3"/>
  <c r="E95" i="3"/>
  <c r="E417" i="3"/>
  <c r="E554" i="3"/>
  <c r="E449" i="3"/>
  <c r="E442" i="3"/>
  <c r="E575" i="3"/>
  <c r="E536" i="3"/>
  <c r="T52" i="71"/>
  <c r="D52" i="71"/>
  <c r="E348" i="3"/>
  <c r="E566" i="3"/>
  <c r="E165" i="3"/>
  <c r="E265" i="3"/>
  <c r="E20" i="3"/>
  <c r="E289" i="3"/>
  <c r="E36" i="3"/>
  <c r="E325" i="3"/>
  <c r="E194" i="3"/>
  <c r="E79" i="3"/>
  <c r="E540" i="3"/>
  <c r="E372" i="3"/>
  <c r="E226" i="3"/>
  <c r="E25" i="3"/>
  <c r="E419" i="3"/>
  <c r="E376" i="3"/>
  <c r="E507" i="3"/>
  <c r="E564" i="3"/>
  <c r="E116" i="3"/>
  <c r="E329" i="3"/>
  <c r="E80" i="3"/>
  <c r="E35" i="3"/>
  <c r="E190" i="3"/>
  <c r="E356" i="3"/>
  <c r="E41" i="3"/>
  <c r="E470" i="3"/>
  <c r="E556" i="3"/>
  <c r="E512" i="3"/>
  <c r="T6" i="3"/>
  <c r="E197" i="3"/>
  <c r="E308" i="3"/>
  <c r="AF6" i="3"/>
  <c r="AC6" i="3" s="1"/>
  <c r="E6" i="3" s="1"/>
  <c r="E86" i="3"/>
  <c r="E174" i="3"/>
  <c r="E482" i="3"/>
  <c r="E391" i="3"/>
  <c r="E494" i="3"/>
  <c r="E283" i="3"/>
  <c r="E68" i="3"/>
  <c r="E184" i="3"/>
  <c r="E84" i="3"/>
  <c r="E371" i="3"/>
  <c r="E160" i="3"/>
  <c r="E467" i="3"/>
  <c r="E59" i="3"/>
  <c r="E349" i="3"/>
  <c r="E258" i="3"/>
  <c r="E37" i="3"/>
  <c r="E491" i="3"/>
  <c r="AP6" i="3"/>
  <c r="E430" i="3"/>
  <c r="E502" i="3"/>
  <c r="E286" i="3"/>
  <c r="E539" i="3"/>
  <c r="D36" i="71"/>
  <c r="T36" i="71"/>
  <c r="D56" i="71"/>
  <c r="T56" i="71"/>
  <c r="R36" i="36"/>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6" i="69" s="1"/>
  <c r="C7" i="69"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M27" i="15"/>
  <c r="F41" i="15"/>
  <c r="M27" i="67"/>
  <c r="G54" i="34" l="1"/>
  <c r="H54" i="34" s="1"/>
  <c r="R50" i="34"/>
  <c r="C49" i="34" s="1"/>
  <c r="F25" i="12"/>
  <c r="C26" i="12" s="1"/>
  <c r="D25" i="12" s="1"/>
  <c r="D116" i="43"/>
  <c r="F22" i="68"/>
  <c r="C23" i="68" s="1"/>
  <c r="F22" i="11"/>
  <c r="C23" i="11" s="1"/>
  <c r="F24" i="67"/>
  <c r="C24" i="67" s="1"/>
  <c r="F24" i="15"/>
  <c r="C24" i="15" s="1"/>
  <c r="F22" i="69"/>
  <c r="F41" i="69" s="1"/>
  <c r="E49" i="34"/>
  <c r="E54" i="34" s="1"/>
  <c r="F54"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3" i="40"/>
  <c r="F65" i="40"/>
  <c r="C37" i="36"/>
  <c r="C36" i="36"/>
  <c r="G58" i="21"/>
  <c r="C60" i="15"/>
  <c r="C66" i="67"/>
  <c r="C60" i="67"/>
  <c r="D10" i="68"/>
  <c r="C17" i="15"/>
  <c r="C17" i="67"/>
  <c r="D10" i="69"/>
  <c r="C34" i="69"/>
  <c r="C14" i="67"/>
  <c r="C50" i="34" l="1"/>
  <c r="I54" i="34"/>
  <c r="J54" i="34" s="1"/>
  <c r="E53" i="34"/>
  <c r="F53" i="34" s="1"/>
  <c r="C44" i="68"/>
  <c r="D41" i="68" s="1"/>
  <c r="C44" i="11"/>
  <c r="D41" i="11" s="1"/>
  <c r="C26" i="68"/>
  <c r="D22" i="68" s="1"/>
  <c r="F41" i="68"/>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M21" i="67"/>
  <c r="F35" i="67"/>
  <c r="M21" i="15"/>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7"/>
  <c r="D2" i="36"/>
  <c r="L51" i="15"/>
  <c r="D19" i="9"/>
  <c r="D2" i="34"/>
  <c r="D2" i="35"/>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AO12" i="1"/>
  <c r="AO7" i="1"/>
  <c r="D20" i="9"/>
  <c r="AO8" i="1"/>
  <c r="AO9" i="1"/>
  <c r="AO11" i="1"/>
  <c r="AO10" i="1"/>
  <c r="AO6"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C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5" i="9" l="1"/>
  <c r="C34" i="9"/>
  <c r="D6" i="71"/>
  <c r="C5" i="71"/>
  <c r="D5" i="71" s="1"/>
  <c r="M24" i="43" s="1"/>
  <c r="C42" i="40"/>
  <c r="C43" i="40"/>
  <c r="E47" i="40"/>
  <c r="F47" i="40" s="1"/>
  <c r="E46" i="40"/>
  <c r="F46" i="40" s="1"/>
  <c r="I47" i="40"/>
  <c r="J47" i="40" s="1"/>
  <c r="D34" i="9"/>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H118" i="9" s="1"/>
  <c r="E118" i="9" l="1"/>
  <c r="E14" i="74"/>
  <c r="I4" i="52"/>
  <c r="D118" i="9"/>
  <c r="E4" i="52"/>
  <c r="B48" i="72" s="1"/>
  <c r="F119" i="9"/>
  <c r="F5" i="52" s="1"/>
  <c r="B53" i="72" s="1"/>
  <c r="F4" i="52"/>
  <c r="B51" i="72" s="1"/>
  <c r="H102" i="9"/>
  <c r="G4" i="52"/>
  <c r="B52" i="72" s="1"/>
  <c r="D14" i="74"/>
  <c r="G14" i="74" s="1"/>
  <c r="B6" i="74" s="1"/>
  <c r="D6" i="74" s="1"/>
  <c r="C105" i="9"/>
  <c r="B5" i="74" l="1"/>
  <c r="D5" i="74" s="1"/>
  <c r="F14" i="74"/>
  <c r="H119" i="9"/>
  <c r="H5" i="52" s="1"/>
  <c r="H4" i="52"/>
  <c r="C104" i="9"/>
  <c r="H101" i="9"/>
  <c r="D7" i="53"/>
  <c r="B21" i="72" s="1"/>
  <c r="D119" i="9"/>
  <c r="D5" i="52" s="1"/>
  <c r="B49" i="72" s="1"/>
  <c r="D4" i="52"/>
  <c r="B47" i="72" s="1"/>
  <c r="C5" i="74" l="1"/>
  <c r="D5" i="53"/>
  <c r="M48" i="9"/>
  <c r="H107" i="9"/>
  <c r="D45" i="9"/>
  <c r="D13" i="53" l="1"/>
  <c r="D122" i="9"/>
  <c r="M49" i="9"/>
  <c r="H108" i="9"/>
  <c r="D55" i="9"/>
  <c r="M53" i="9" s="1"/>
  <c r="C64" i="9"/>
  <c r="C63" i="9" s="1"/>
  <c r="C67" i="9" s="1"/>
  <c r="C78" i="9"/>
  <c r="C73" i="9" s="1"/>
  <c r="D53" i="9"/>
  <c r="D52" i="9"/>
  <c r="C72" i="9"/>
  <c r="C85" i="9"/>
  <c r="C93" i="9"/>
  <c r="C86" i="9" s="1"/>
  <c r="B20" i="72"/>
  <c r="D6" i="53"/>
  <c r="B22" i="72" s="1"/>
  <c r="C6" i="74" l="1"/>
  <c r="D15" i="53"/>
  <c r="B31" i="72" s="1"/>
  <c r="C95" i="9"/>
  <c r="L68" i="9"/>
  <c r="M68" i="9" s="1"/>
  <c r="L67" i="9"/>
  <c r="M67" i="9" s="1"/>
  <c r="L64" i="9"/>
  <c r="M64" i="9" s="1"/>
  <c r="L63" i="9"/>
  <c r="M63" i="9" s="1"/>
  <c r="L66" i="9"/>
  <c r="M66" i="9" s="1"/>
  <c r="L65" i="9"/>
  <c r="M65" i="9" s="1"/>
  <c r="C79" i="9"/>
  <c r="C68" i="9"/>
  <c r="D54" i="9" s="1"/>
  <c r="D59" i="9"/>
  <c r="M55" i="9" s="1"/>
  <c r="D123" i="9"/>
  <c r="D9" i="52" s="1"/>
  <c r="D8" i="52"/>
  <c r="D14" i="53"/>
  <c r="B32" i="72" s="1"/>
  <c r="B30" i="72"/>
  <c r="C80" i="9" l="1"/>
  <c r="E80" i="9" s="1"/>
  <c r="E81" i="9" s="1"/>
  <c r="M69" i="9"/>
  <c r="N69" i="9" s="1"/>
  <c r="C96" i="9"/>
  <c r="E96" i="9" s="1"/>
  <c r="E97" i="9" s="1"/>
  <c r="C97" i="9" l="1"/>
  <c r="D58" i="9" s="1"/>
  <c r="D56" i="9" s="1"/>
  <c r="M54" i="9" s="1"/>
  <c r="N57" i="9" s="1"/>
  <c r="P57" i="9" s="1"/>
  <c r="C81" i="9"/>
  <c r="N58" i="9" l="1"/>
  <c r="N59" i="9"/>
  <c r="N60" i="9" s="1"/>
  <c r="N61"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<sst xmlns="http://schemas.openxmlformats.org/spreadsheetml/2006/main" count="7985" uniqueCount="3488">
  <si>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</si>
  <si>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</si>
  <si>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</si>
  <si>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</si>
  <si>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</si>
  <si>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</si>
  <si>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</si>
  <si>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</si>
  <si>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</si>
  <si>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</si>
  <si>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</si>
  <si>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</si>
  <si>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</si>
  <si>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</si>
  <si>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</si>
  <si>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</si>
  <si>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</si>
  <si>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</si>
  <si>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</si>
  <si>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</si>
  <si>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</si>
  <si>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</si>
  <si>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</si>
  <si>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</si>
  <si>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</si>
  <si>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</si>
  <si>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</si>
  <si>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</si>
  <si>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</si>
  <si>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</si>
  <si>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</si>
  <si>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</si>
  <si>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</si>
  <si>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</si>
  <si>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</si>
  <si>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</si>
  <si>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</si>
  <si>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</si>
  <si>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</si>
  <si>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</si>
  <si>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</si>
  <si>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</si>
  <si>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</si>
  <si>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</si>
  <si>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</si>
  <si>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</si>
  <si>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</si>
  <si>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</si>
  <si>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</si>
  <si>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</si>
  <si>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</si>
  <si>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</si>
  <si>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</si>
  <si>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</si>
  <si>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</si>
  <si>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</si>
  <si>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</si>
  <si>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</si>
  <si>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</si>
  <si>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</si>
  <si>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</si>
  <si>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</si>
  <si>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</si>
  <si>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</si>
  <si>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</si>
  <si>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</si>
  <si>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</si>
  <si>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</si>
  <si>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</si>
  <si>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</si>
  <si>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</si>
  <si>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</si>
  <si>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</si>
  <si>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</si>
  <si>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</si>
  <si>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</si>
  <si>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</si>
  <si>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</si>
  <si>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</si>
  <si>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</si>
  <si>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</si>
  <si>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</si>
  <si>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</si>
  <si>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</si>
  <si>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</si>
  <si>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</si>
  <si>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</si>
  <si>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</si>
  <si>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</si>
  <si>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</si>
  <si>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</si>
  <si>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</si>
  <si>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</si>
  <si>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</si>
  <si>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</si>
  <si>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</si>
  <si>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</si>
  <si>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</si>
  <si>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</si>
  <si>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</si>
  <si>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</si>
  <si>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</si>
  <si>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</si>
  <si>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</si>
  <si>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</si>
  <si>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</si>
  <si>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</si>
  <si>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</si>
  <si>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</si>
  <si>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</si>
  <si>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</si>
  <si>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</si>
  <si>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</si>
  <si>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</si>
  <si>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</si>
  <si>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</si>
  <si>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</si>
  <si>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</si>
  <si>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</si>
  <si>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</si>
  <si>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</si>
  <si>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</si>
  <si>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</si>
  <si>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</si>
  <si>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</si>
  <si>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</si>
  <si>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</si>
  <si>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</si>
  <si>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</si>
  <si>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</si>
  <si>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</si>
  <si>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</si>
  <si>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</si>
  <si>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</si>
  <si>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</si>
  <si>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</si>
  <si>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</si>
  <si>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</si>
  <si>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</si>
  <si>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</si>
  <si>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</si>
  <si>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</si>
  <si>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</si>
  <si>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</si>
  <si>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</si>
  <si>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</si>
  <si>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</si>
  <si>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</si>
  <si>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</si>
  <si>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</si>
  <si>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</si>
  <si>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</si>
  <si>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</si>
  <si>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</si>
  <si>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</si>
  <si>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</si>
  <si>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</si>
  <si>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</si>
  <si>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</si>
  <si>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</si>
  <si>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</si>
  <si>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</si>
  <si>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</si>
  <si>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</si>
  <si>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</si>
  <si>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</si>
  <si>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</si>
  <si>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</si>
  <si>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</si>
  <si>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</si>
  <si>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</si>
  <si>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</si>
  <si>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</si>
  <si>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</si>
  <si>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</si>
  <si>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</si>
  <si>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</si>
  <si>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</si>
  <si>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</si>
  <si>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</si>
  <si>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</si>
  <si>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</si>
  <si>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</si>
  <si>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</si>
  <si>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</si>
  <si>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</si>
  <si>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</si>
  <si>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</si>
  <si>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</si>
  <si>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</si>
  <si>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</si>
  <si>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</si>
  <si>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</si>
  <si>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</si>
  <si>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</si>
  <si>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</si>
  <si>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</si>
  <si>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</si>
  <si>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</si>
  <si>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</si>
  <si>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</si>
  <si>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</si>
  <si>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</si>
  <si>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</si>
  <si>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</si>
  <si>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</si>
  <si>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</si>
  <si>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</si>
  <si>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</si>
  <si>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</si>
  <si>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</si>
  <si>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</si>
  <si>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</si>
  <si>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</si>
  <si>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</si>
  <si>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</si>
  <si>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</si>
  <si>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</si>
  <si>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</si>
  <si>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</si>
  <si>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</si>
  <si>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</si>
  <si>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</si>
  <si>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</si>
  <si>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</si>
  <si>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</si>
  <si>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</si>
  <si>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</si>
  <si>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</si>
  <si>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</si>
  <si>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</si>
  <si>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</si>
  <si>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</si>
  <si>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</si>
  <si>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</si>
  <si>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</si>
  <si>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</si>
  <si>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</si>
  <si>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</si>
  <si>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</si>
  <si>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</si>
  <si>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</si>
  <si>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</si>
  <si>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</si>
  <si>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</si>
  <si>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</si>
  <si>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</si>
  <si>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</si>
  <si>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</si>
  <si>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</si>
  <si>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</si>
  <si>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</si>
  <si>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</si>
  <si>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</si>
  <si>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</si>
  <si>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</si>
  <si>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</si>
  <si>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</si>
  <si>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</si>
  <si>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</si>
  <si>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</si>
  <si>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</si>
  <si>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</si>
  <si>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</si>
  <si>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</si>
  <si>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</si>
  <si>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</si>
  <si>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</si>
  <si>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</si>
  <si>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</si>
  <si>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</si>
  <si>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</si>
  <si>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</si>
  <si>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</si>
  <si>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</si>
  <si>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</si>
  <si>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</si>
  <si>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</si>
  <si>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</si>
  <si>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</si>
  <si>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</si>
  <si>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</si>
  <si>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</si>
  <si>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</si>
  <si>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</si>
  <si>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</si>
  <si>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</si>
  <si>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</si>
  <si>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</si>
  <si>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</si>
  <si>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</si>
  <si>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</si>
  <si>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</si>
  <si>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</si>
  <si>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</si>
  <si>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</si>
  <si>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</si>
  <si>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</si>
  <si>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</si>
  <si>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</si>
  <si>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</si>
  <si>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</si>
  <si>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</si>
  <si>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</si>
  <si>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</si>
  <si>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</si>
  <si>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</si>
  <si>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</si>
  <si>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</si>
  <si>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</si>
  <si>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</si>
  <si>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</si>
  <si>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</si>
  <si>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</si>
  <si>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</si>
  <si>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</si>
  <si>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</si>
  <si>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</si>
  <si>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</si>
  <si>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</si>
  <si>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</si>
  <si>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</si>
  <si>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</si>
  <si>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</si>
  <si>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</si>
  <si>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</si>
  <si>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</si>
  <si>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</si>
  <si>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</si>
  <si>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</si>
  <si>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</si>
  <si>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</si>
  <si>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</si>
  <si>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</si>
  <si>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</si>
  <si>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</si>
  <si>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</si>
  <si>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</si>
  <si>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</si>
  <si>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</si>
  <si>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</si>
  <si>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</si>
  <si>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</si>
  <si>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</si>
  <si>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</si>
  <si>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</si>
  <si>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</si>
  <si>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</si>
  <si>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</si>
  <si>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</si>
  <si>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</si>
  <si>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</si>
  <si>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</si>
  <si>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</si>
  <si>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</si>
  <si>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</si>
  <si>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</si>
  <si>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</si>
  <si>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</si>
  <si>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</si>
  <si>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</si>
  <si>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</si>
  <si>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</si>
  <si>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</si>
  <si>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</si>
  <si>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</si>
  <si>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</si>
  <si>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</si>
  <si>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</si>
  <si>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</si>
  <si>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</si>
  <si>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</si>
  <si>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</si>
  <si>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</si>
  <si>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</si>
  <si>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</si>
  <si>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</si>
  <si>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</si>
  <si>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</si>
  <si>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</si>
  <si>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</si>
  <si>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</si>
  <si>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</si>
  <si>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</si>
  <si>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</si>
  <si>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</si>
  <si>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</si>
  <si>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</si>
  <si>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</si>
  <si>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</si>
  <si>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</si>
  <si>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</si>
  <si>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</si>
  <si>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</si>
  <si>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</si>
  <si>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</si>
  <si>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</si>
  <si>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</si>
  <si>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</si>
  <si>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</si>
  <si>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</si>
  <si>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</si>
  <si>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</si>
  <si>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</si>
  <si>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</si>
  <si>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</si>
  <si>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</si>
  <si>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</si>
  <si>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</si>
  <si>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</si>
  <si>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</si>
  <si>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</si>
  <si>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</si>
  <si>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</si>
  <si>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</si>
  <si>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</si>
  <si>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</si>
  <si>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</si>
  <si>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</si>
  <si>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</si>
  <si>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</si>
  <si>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</si>
  <si>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</si>
  <si>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</si>
  <si>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</si>
  <si>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</si>
  <si>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</si>
  <si>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</si>
  <si>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</si>
  <si>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</si>
  <si>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</si>
  <si>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</si>
  <si>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</si>
  <si>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</si>
  <si>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</si>
  <si>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</si>
  <si>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</si>
  <si>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</si>
  <si>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</si>
  <si>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</si>
  <si>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</si>
  <si>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</si>
  <si>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</si>
  <si>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</si>
  <si>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</si>
  <si>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</si>
  <si>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</si>
  <si>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</si>
  <si>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</si>
  <si>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</si>
  <si>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</si>
  <si>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</si>
  <si>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</si>
  <si>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</si>
  <si>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</si>
  <si>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</si>
  <si>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</si>
  <si>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</si>
  <si>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</si>
  <si>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</si>
  <si>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</si>
  <si>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</si>
  <si>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</si>
  <si>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</si>
  <si>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</si>
  <si>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</si>
  <si>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</si>
  <si>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</si>
  <si>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</si>
  <si>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</si>
  <si>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</si>
  <si>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</si>
  <si>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</si>
  <si>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</si>
  <si>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</si>
  <si>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</si>
  <si>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</si>
  <si>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</si>
  <si>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</si>
  <si>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</si>
  <si>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</si>
  <si>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</si>
  <si>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</si>
  <si>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</si>
  <si>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</si>
  <si>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</si>
  <si>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</si>
  <si>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</si>
  <si>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</si>
  <si>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</si>
  <si>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</si>
  <si>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</si>
  <si>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</si>
  <si>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</si>
  <si>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</si>
  <si>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</si>
  <si>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</si>
  <si>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</si>
  <si>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</si>
  <si>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</si>
  <si>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</si>
  <si>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</si>
  <si>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</si>
  <si>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</si>
  <si>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</si>
  <si>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</si>
  <si>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</si>
  <si>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</si>
  <si>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</si>
  <si>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</si>
  <si>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</si>
  <si>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</si>
  <si>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</si>
  <si>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</si>
  <si>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</si>
  <si>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</si>
  <si>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</si>
  <si>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</si>
  <si>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</si>
  <si>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</si>
  <si>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</si>
  <si>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</si>
  <si>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</si>
  <si>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</si>
  <si>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</si>
  <si>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</si>
  <si>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</si>
  <si>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</si>
  <si>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</si>
  <si>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</si>
  <si>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</si>
  <si>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</si>
  <si>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</si>
  <si>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</si>
  <si>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</si>
  <si>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</si>
  <si>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</si>
  <si>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</si>
  <si>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</si>
  <si>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</si>
  <si>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</si>
  <si>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</si>
  <si>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</si>
  <si>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</si>
  <si>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</si>
  <si>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</si>
  <si>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</si>
  <si>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</si>
  <si>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</si>
  <si>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</si>
  <si>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</si>
  <si>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</si>
  <si>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</si>
  <si>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</si>
  <si>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</si>
  <si>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</si>
  <si>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</si>
  <si>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</si>
  <si>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</si>
  <si>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</si>
  <si>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</si>
  <si>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</si>
  <si>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</si>
  <si>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</si>
  <si>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</si>
  <si>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</si>
  <si>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</si>
  <si>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</si>
  <si>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</si>
  <si>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</si>
  <si>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</si>
  <si>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</si>
  <si>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</si>
  <si>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</si>
  <si>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</si>
  <si>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</si>
  <si>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</si>
  <si>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</si>
  <si>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</si>
  <si>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</si>
  <si>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</si>
  <si>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</si>
  <si>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</si>
  <si>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</si>
  <si>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</si>
  <si>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</si>
  <si>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</si>
  <si>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</si>
  <si>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</si>
  <si>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</si>
  <si>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</si>
  <si>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</si>
  <si>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</si>
  <si>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</si>
  <si>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</si>
  <si>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</si>
  <si>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</si>
  <si>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</si>
  <si>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</si>
  <si>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</si>
  <si>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</si>
  <si>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</si>
  <si>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</si>
  <si>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</si>
  <si>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</si>
  <si>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</si>
  <si>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</si>
  <si>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</si>
  <si>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</si>
  <si>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</si>
  <si>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</si>
  <si>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</si>
  <si>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</si>
  <si>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</si>
  <si>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</si>
  <si>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</si>
  <si>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</si>
  <si>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</si>
  <si>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</si>
  <si>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</si>
  <si>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</si>
  <si>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</si>
  <si>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</si>
  <si>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</si>
  <si>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</si>
  <si>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</si>
  <si>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</si>
  <si>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</si>
  <si>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</si>
  <si>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</si>
  <si>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</si>
  <si>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</si>
  <si>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</si>
  <si>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</si>
  <si>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</si>
  <si>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</si>
  <si>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</si>
  <si>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</si>
  <si>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</si>
  <si>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</si>
  <si>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</si>
  <si>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</si>
  <si>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</si>
  <si>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</si>
  <si>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</si>
  <si>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</si>
  <si>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</si>
  <si>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</si>
  <si>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</si>
  <si>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</si>
  <si>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</si>
  <si>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</si>
  <si>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</si>
  <si>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</si>
  <si>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</si>
  <si>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</si>
  <si>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</si>
  <si>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</si>
  <si>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</si>
  <si>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</si>
  <si>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</si>
  <si>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</si>
  <si>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</si>
  <si>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</si>
  <si>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</si>
  <si>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</si>
  <si>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</si>
  <si>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</si>
  <si>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</si>
  <si>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</si>
  <si>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</si>
  <si>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</si>
  <si>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</si>
  <si>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</si>
  <si>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</si>
  <si>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</si>
  <si>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</si>
  <si>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</si>
  <si>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</si>
  <si>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</si>
  <si>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</si>
  <si>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</si>
  <si>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</si>
  <si>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</si>
  <si>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</si>
  <si>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</si>
  <si>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</si>
  <si>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</si>
  <si>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</si>
  <si>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</si>
  <si>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</si>
  <si>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</si>
  <si>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</si>
  <si>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</si>
  <si>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</si>
  <si>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</si>
  <si>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</si>
  <si>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</si>
  <si>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</si>
  <si>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</si>
  <si>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</si>
  <si>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</si>
  <si>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</si>
  <si>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</si>
  <si>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</si>
  <si>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</si>
  <si>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</si>
  <si>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</si>
  <si>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</si>
  <si>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</si>
  <si>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</si>
  <si>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</si>
  <si>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</si>
  <si>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</si>
  <si>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</si>
  <si>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</si>
  <si>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</si>
  <si>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</si>
  <si>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</si>
  <si>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</si>
  <si>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</si>
  <si>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</si>
  <si>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</si>
  <si>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</si>
  <si>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</si>
  <si>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</si>
  <si>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</si>
  <si>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</si>
  <si>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</si>
  <si>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</si>
  <si>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</si>
  <si>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</si>
  <si>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</si>
  <si>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</si>
  <si>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</si>
  <si>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</si>
  <si>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</si>
  <si>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</si>
  <si>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</si>
  <si>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</si>
  <si>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</si>
  <si>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</si>
  <si>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</si>
  <si>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</si>
  <si>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</si>
  <si>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</si>
  <si>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</si>
  <si>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</si>
  <si>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</si>
  <si>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</si>
  <si>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</si>
  <si>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</si>
  <si>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</si>
  <si>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</si>
  <si>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</si>
  <si>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</si>
  <si>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</si>
  <si>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</si>
  <si>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</si>
  <si>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</si>
  <si>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</si>
  <si>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</si>
  <si>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</si>
  <si>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</si>
  <si>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</si>
  <si>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</si>
  <si>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</si>
  <si>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</si>
  <si>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</si>
  <si>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</si>
  <si>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</si>
  <si>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</si>
  <si>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</si>
  <si>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</si>
  <si>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</si>
  <si>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</si>
  <si>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</si>
  <si>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</si>
  <si>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</si>
  <si>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</si>
  <si>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</si>
  <si>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</si>
  <si>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</si>
  <si>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</si>
  <si>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</si>
  <si>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</si>
  <si>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</si>
  <si>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</si>
  <si>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</si>
  <si>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</si>
  <si>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</si>
  <si>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</si>
  <si>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</si>
  <si>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</si>
  <si>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</si>
  <si>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</si>
  <si>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</si>
  <si>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</si>
  <si>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</si>
  <si>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</si>
  <si>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</si>
  <si>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</si>
  <si>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</si>
  <si>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</si>
  <si>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</si>
  <si>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</si>
  <si>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</si>
  <si>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</si>
  <si>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</si>
  <si>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</si>
  <si>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</si>
  <si>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</si>
  <si>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</si>
  <si>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</si>
  <si>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</si>
  <si>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</si>
  <si>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</si>
  <si>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</si>
  <si>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</si>
  <si>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</si>
  <si>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</si>
  <si>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</si>
  <si>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</si>
  <si>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</si>
  <si>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</si>
  <si>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</si>
  <si>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</si>
  <si>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</si>
  <si>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</si>
  <si>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</si>
  <si>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</si>
  <si>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</si>
  <si>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</si>
  <si>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</si>
  <si>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</si>
  <si>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</si>
  <si>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</si>
  <si>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</si>
  <si>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</si>
  <si>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</si>
  <si>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</si>
  <si>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</si>
  <si>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</si>
  <si>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</si>
  <si>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</si>
  <si>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</si>
  <si>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</si>
  <si>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</si>
  <si>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</si>
  <si>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</si>
  <si>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</si>
  <si>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</si>
  <si>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</si>
  <si>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</si>
  <si>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</si>
  <si>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</si>
  <si>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</si>
  <si>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</si>
  <si>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</si>
  <si>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</si>
  <si>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</si>
  <si>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</si>
  <si>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</si>
  <si>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</si>
  <si>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</si>
  <si>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</si>
  <si>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</si>
  <si>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</si>
  <si>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</si>
  <si>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</si>
  <si>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</si>
  <si>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</si>
  <si>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</si>
  <si>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</si>
  <si>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</si>
  <si>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</si>
  <si>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</si>
  <si>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</si>
  <si>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</si>
  <si>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</si>
  <si>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</si>
  <si>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</si>
  <si>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</si>
  <si>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</si>
  <si>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</si>
  <si>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</si>
  <si>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</si>
  <si>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</si>
  <si>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</si>
  <si>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</si>
  <si>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</si>
  <si>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</si>
  <si>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</si>
  <si>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</si>
  <si>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</si>
  <si>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</si>
  <si>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</si>
  <si>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</si>
  <si>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</si>
  <si>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</si>
  <si>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</si>
  <si>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</si>
  <si>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</si>
  <si>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</si>
  <si>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</si>
  <si>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</si>
  <si>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</si>
  <si>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</si>
  <si>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</si>
  <si>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</si>
  <si>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</si>
  <si>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</si>
  <si>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</si>
  <si>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</si>
  <si>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</si>
  <si>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</si>
  <si>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</si>
  <si>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</si>
  <si>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</si>
  <si>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</si>
  <si>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</si>
  <si>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</si>
  <si>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</si>
  <si>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</si>
  <si>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</si>
  <si>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</si>
  <si>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</si>
  <si>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</si>
  <si>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</si>
  <si>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</si>
  <si>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</si>
  <si>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</si>
  <si>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</si>
  <si>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</si>
  <si>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</si>
  <si>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</si>
  <si>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</si>
  <si>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</si>
  <si>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</si>
  <si>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</si>
  <si>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</si>
  <si>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</si>
  <si>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</si>
  <si>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</si>
  <si>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</si>
  <si>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</si>
  <si>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</si>
  <si>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</si>
  <si>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</si>
  <si>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</si>
  <si>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</si>
  <si>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</si>
  <si>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</si>
  <si>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</si>
  <si>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</si>
  <si>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</si>
  <si>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</si>
  <si>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</si>
  <si>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</si>
  <si>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</si>
  <si>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</si>
  <si>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</si>
  <si>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</si>
  <si>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</si>
  <si>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</si>
  <si>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</si>
  <si>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</si>
  <si>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</si>
  <si>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</si>
  <si>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</si>
  <si>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</si>
  <si>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</si>
  <si>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</si>
  <si>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</si>
  <si>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</si>
  <si>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</si>
  <si>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</si>
  <si>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</si>
  <si>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</si>
  <si>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</si>
  <si>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</si>
  <si>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</si>
  <si>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</si>
  <si>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</si>
  <si>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</si>
  <si>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</si>
  <si>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</si>
  <si>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</si>
  <si>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</si>
  <si>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</si>
  <si>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</si>
  <si>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</si>
  <si>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</si>
  <si>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</si>
  <si>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</si>
  <si>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</si>
  <si>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</si>
  <si>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</si>
  <si>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</si>
  <si>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</si>
  <si>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</si>
  <si>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</si>
  <si>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</si>
  <si>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</si>
  <si>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</si>
  <si>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</si>
  <si>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</si>
  <si>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</si>
  <si>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</si>
  <si>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</si>
  <si>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</si>
  <si>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</si>
  <si>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</si>
  <si>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</si>
  <si>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</si>
  <si>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</si>
  <si>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</si>
  <si>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</si>
  <si>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</si>
  <si>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</si>
  <si>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</si>
  <si>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</si>
  <si>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</si>
  <si>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</si>
  <si>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</si>
  <si>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</si>
  <si>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</si>
  <si>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</si>
  <si>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</si>
  <si>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</si>
  <si>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</si>
  <si>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</si>
  <si>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</si>
  <si>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</si>
  <si>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</si>
  <si>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</si>
  <si>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</si>
  <si>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</si>
  <si>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</si>
  <si>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</si>
  <si>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</si>
  <si>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</si>
  <si>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</si>
  <si>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</si>
  <si>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</si>
  <si>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</si>
  <si>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</si>
  <si>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</si>
  <si>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</si>
  <si>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</si>
  <si>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</si>
  <si>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</si>
  <si>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</si>
  <si>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</si>
  <si>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</si>
  <si>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</si>
  <si>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</si>
  <si>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</si>
  <si>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</si>
  <si>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</si>
  <si>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</si>
  <si>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</si>
  <si>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</si>
  <si>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</si>
  <si>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</si>
  <si>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</si>
  <si>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</si>
  <si>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</si>
  <si>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</si>
  <si>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</si>
  <si>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</si>
  <si>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</si>
  <si>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</si>
  <si>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</si>
  <si>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</si>
  <si>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</si>
  <si>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</si>
  <si>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</si>
  <si>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</si>
  <si>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</si>
  <si>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</si>
  <si>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</si>
  <si>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</si>
  <si>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</si>
  <si>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</si>
  <si>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</si>
  <si>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</si>
  <si>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</si>
  <si>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</si>
  <si>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</si>
  <si>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</si>
  <si>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</si>
  <si>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</si>
  <si>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</si>
  <si>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</si>
  <si>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</si>
  <si>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</si>
  <si>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</si>
  <si>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</si>
  <si>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</si>
  <si>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</si>
  <si>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</si>
  <si>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</si>
  <si>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</si>
  <si>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</si>
  <si>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</si>
  <si>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</si>
  <si>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</si>
  <si>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</si>
  <si>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</si>
  <si>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</si>
  <si>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</si>
  <si>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</si>
  <si>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</si>
  <si>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</si>
  <si>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</si>
  <si>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</si>
  <si>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</si>
  <si>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</si>
  <si>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</si>
  <si>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</si>
  <si>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</si>
  <si>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</si>
  <si>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</si>
  <si>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</si>
  <si>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</si>
  <si>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</si>
  <si>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</si>
  <si>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</si>
  <si>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</si>
  <si>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</si>
  <si>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</si>
  <si>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</si>
  <si>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</si>
  <si>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</si>
  <si>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</si>
  <si>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</si>
  <si>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</si>
  <si>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</si>
  <si>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</si>
  <si>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</si>
  <si>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</si>
  <si>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</si>
  <si>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</si>
  <si>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</si>
  <si>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</si>
  <si>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</si>
  <si>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</si>
  <si>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</si>
  <si>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</si>
  <si>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</si>
  <si>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</si>
  <si>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</si>
  <si>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</si>
  <si>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</si>
  <si>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</si>
  <si>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</si>
  <si>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</si>
  <si>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</si>
  <si>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</si>
  <si>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</si>
  <si>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</si>
  <si>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</si>
  <si>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</si>
  <si>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</si>
  <si>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</si>
  <si>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</si>
  <si>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</si>
  <si>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</si>
  <si>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</si>
  <si>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</si>
  <si>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</si>
  <si>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</si>
  <si>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</si>
  <si>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</si>
  <si>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</si>
  <si>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</si>
  <si>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</si>
  <si>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</si>
  <si>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</si>
  <si>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</si>
  <si>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</si>
  <si>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</si>
  <si>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</si>
  <si>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</si>
  <si>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</si>
  <si>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</si>
  <si>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</si>
  <si>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</si>
  <si>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</si>
  <si>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</si>
  <si>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</si>
  <si>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</si>
  <si>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</si>
  <si>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</si>
  <si>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</si>
  <si>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</si>
  <si>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</si>
  <si>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</si>
  <si>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</si>
  <si>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</si>
  <si>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</si>
  <si>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</si>
  <si>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</si>
  <si>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</si>
  <si>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</si>
  <si>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</si>
  <si>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</si>
  <si>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</si>
  <si>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</si>
  <si>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</si>
  <si>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</si>
  <si>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</si>
  <si>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</si>
  <si>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</si>
  <si>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</si>
  <si>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</si>
  <si>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</si>
  <si>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</si>
  <si>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</si>
  <si>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</si>
  <si>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</si>
  <si>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</si>
  <si>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</si>
  <si>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</si>
  <si>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</si>
  <si>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</si>
  <si>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</si>
  <si>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</si>
  <si>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</si>
  <si>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</si>
  <si>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</si>
  <si>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</si>
  <si>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</si>
  <si>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</si>
  <si>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</si>
  <si>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</si>
  <si>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</si>
  <si>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</si>
  <si>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</si>
  <si>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</si>
  <si>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</si>
  <si>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</si>
  <si>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</si>
  <si>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</si>
  <si>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</si>
  <si>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</si>
  <si>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</si>
  <si>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</si>
  <si>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</si>
  <si>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</si>
  <si>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</si>
  <si>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</si>
  <si>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</si>
  <si>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</si>
  <si>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</si>
  <si>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</si>
  <si>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</si>
  <si>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</si>
  <si>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</si>
  <si>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</si>
  <si>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</si>
  <si>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</si>
  <si>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</si>
  <si>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</si>
  <si>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</si>
  <si>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</si>
  <si>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</si>
  <si>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</si>
  <si>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</si>
  <si>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</si>
  <si>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</si>
  <si>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</si>
  <si>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</si>
  <si>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</si>
  <si>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</si>
  <si>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</si>
  <si>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</si>
  <si>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</si>
  <si>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</si>
  <si>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</si>
  <si>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</si>
  <si>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</si>
  <si>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</si>
  <si>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</si>
  <si>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</si>
  <si>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</si>
  <si>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</si>
  <si>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</si>
  <si>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</si>
  <si>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</si>
  <si>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</si>
  <si>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</si>
  <si>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</si>
  <si>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</si>
  <si>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</si>
  <si>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</si>
  <si>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</si>
  <si>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</si>
  <si>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</si>
  <si>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</si>
  <si>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</si>
  <si>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</si>
  <si>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</si>
  <si>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</si>
  <si>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</si>
  <si>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</si>
  <si>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</si>
  <si>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</si>
  <si>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</si>
  <si>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</si>
  <si>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</si>
  <si>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</si>
  <si>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</si>
  <si>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</si>
  <si>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</si>
  <si>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</si>
  <si>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</si>
  <si>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</si>
  <si>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</si>
  <si>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</si>
  <si>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</si>
  <si>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</si>
  <si>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</si>
  <si>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</si>
  <si>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</si>
  <si>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</si>
  <si>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</si>
  <si>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</si>
  <si>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</si>
  <si>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</si>
  <si>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</si>
  <si>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</si>
  <si>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</si>
  <si>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</si>
  <si>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</si>
  <si>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</si>
  <si>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</si>
  <si>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</si>
  <si>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</si>
  <si>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</si>
  <si>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</si>
  <si>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</si>
  <si>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</si>
  <si>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</si>
  <si>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</si>
  <si>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</si>
  <si>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</si>
  <si>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</si>
  <si>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</si>
  <si>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</si>
  <si>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</si>
  <si>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</si>
  <si>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</si>
  <si>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</si>
  <si>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</si>
  <si>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</si>
  <si>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</si>
  <si>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</si>
  <si>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</si>
  <si>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</si>
  <si>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</si>
  <si>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</si>
  <si>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</si>
  <si>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</si>
  <si>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</si>
  <si>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</si>
  <si>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</si>
  <si>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</si>
  <si>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</si>
  <si>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</si>
  <si>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</si>
  <si>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</si>
  <si>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</si>
  <si>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</si>
  <si>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</si>
  <si>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</si>
  <si>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</si>
  <si>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</si>
  <si>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</si>
  <si>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</si>
  <si>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</si>
  <si>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</si>
  <si>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</si>
  <si>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</si>
  <si>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</si>
  <si>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</si>
  <si>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</si>
  <si>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</si>
  <si>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</si>
  <si>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</si>
  <si>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</si>
  <si>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</si>
  <si>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</si>
  <si>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</si>
  <si>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</si>
  <si>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</si>
  <si>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</si>
  <si>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</si>
  <si>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</si>
  <si>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</si>
  <si>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</si>
  <si>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</si>
  <si>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</si>
  <si>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</si>
  <si>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</si>
  <si>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</si>
  <si>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</si>
  <si>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</si>
  <si>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</si>
  <si>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</si>
  <si>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</si>
  <si>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</si>
  <si>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</si>
  <si>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</si>
  <si>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</si>
  <si>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</si>
  <si>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</si>
  <si>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</si>
  <si>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</si>
  <si>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</si>
  <si>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</si>
  <si>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</si>
  <si>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</si>
  <si>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</si>
  <si>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</si>
  <si>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</si>
  <si>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</si>
  <si>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</si>
  <si>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</si>
  <si>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</si>
  <si>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</si>
  <si>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</si>
  <si>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</si>
  <si>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</si>
  <si>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</si>
  <si>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</si>
  <si>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</si>
  <si>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</si>
  <si>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</si>
  <si>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</si>
  <si>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</si>
  <si>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</si>
  <si>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</si>
  <si>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</si>
  <si>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</si>
  <si>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</si>
  <si>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</si>
  <si>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</si>
  <si>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</si>
  <si>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</si>
  <si>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</si>
  <si>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</si>
  <si>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</si>
  <si>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</si>
  <si>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</si>
  <si>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</si>
  <si>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</si>
  <si>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</si>
  <si>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</si>
  <si>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</si>
  <si>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</si>
  <si>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</si>
  <si>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</si>
  <si>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</si>
  <si>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</si>
  <si>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</si>
  <si>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</si>
  <si>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</si>
  <si>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</si>
  <si>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</si>
  <si>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</si>
  <si>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</si>
  <si>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</si>
  <si>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</si>
  <si>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</si>
  <si>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</si>
  <si>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</si>
  <si>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</si>
  <si>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</si>
  <si>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</si>
  <si>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</si>
  <si>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</si>
  <si>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</si>
  <si>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</si>
  <si>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</si>
  <si>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</si>
  <si>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</si>
  <si>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</si>
  <si>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</si>
  <si>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</si>
  <si>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</si>
  <si>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</si>
  <si>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</si>
  <si>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</si>
  <si>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</si>
  <si>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</si>
  <si>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</si>
  <si>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</si>
  <si>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</si>
  <si>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</si>
  <si>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</si>
  <si>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</si>
  <si>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</si>
  <si>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</si>
  <si>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</si>
  <si>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</si>
  <si>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</si>
  <si>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</si>
  <si>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</si>
  <si>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</si>
  <si>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</si>
  <si>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</si>
  <si>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</si>
  <si>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</si>
  <si>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</si>
  <si>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</si>
  <si>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</si>
  <si>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</si>
  <si>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</si>
  <si>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</si>
  <si>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</si>
  <si>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</si>
  <si>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</si>
  <si>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</si>
  <si>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</si>
  <si>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</si>
  <si>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</si>
  <si>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</si>
  <si>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</si>
  <si>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</si>
  <si>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</si>
  <si>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</si>
  <si>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</si>
  <si>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</si>
  <si>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</si>
  <si>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</si>
  <si>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</si>
  <si>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</si>
  <si>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</si>
  <si>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</si>
  <si>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</si>
  <si>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</si>
  <si>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</si>
  <si>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</si>
  <si>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</si>
  <si>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</si>
  <si>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</si>
  <si>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</si>
  <si>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</si>
  <si>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</si>
  <si>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</si>
  <si>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</si>
  <si>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</si>
  <si>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</si>
  <si>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</si>
  <si>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</si>
  <si>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</si>
  <si>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</si>
  <si>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</si>
  <si>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</si>
  <si>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</si>
  <si>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</si>
  <si>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</si>
  <si>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</si>
  <si>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</si>
  <si>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</si>
  <si>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</si>
  <si>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</si>
  <si>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</si>
  <si>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</si>
  <si>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</si>
  <si>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</si>
  <si>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</si>
  <si>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</si>
  <si>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</si>
  <si>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</si>
  <si>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</si>
  <si>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</si>
  <si>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</si>
  <si>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</si>
  <si>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</si>
  <si>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</si>
  <si>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</si>
  <si>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</si>
  <si>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</si>
  <si>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</si>
  <si>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</si>
  <si>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</si>
  <si>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</si>
  <si>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</si>
  <si>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</si>
  <si>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</si>
  <si>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</si>
  <si>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</si>
  <si>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</si>
  <si>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</si>
  <si>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</si>
  <si>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</si>
  <si>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</si>
  <si>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</si>
  <si>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</si>
  <si>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</si>
  <si>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</si>
  <si>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</si>
  <si>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</si>
  <si>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</si>
  <si>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</si>
  <si>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</si>
  <si>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</si>
  <si>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</si>
  <si>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</si>
  <si>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</si>
  <si>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</si>
  <si>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</si>
  <si>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</si>
  <si>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</si>
  <si>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</si>
  <si>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</si>
  <si>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</si>
  <si>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</si>
  <si>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</si>
  <si>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</si>
  <si>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</si>
  <si>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</si>
  <si>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</si>
  <si>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</si>
  <si>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</si>
  <si>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</si>
  <si>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</si>
  <si>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</si>
  <si>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</si>
  <si>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</si>
  <si>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</si>
  <si>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</si>
  <si>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</si>
  <si>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</si>
  <si>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</si>
  <si>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</si>
  <si>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</si>
  <si>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</si>
  <si>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</si>
  <si>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</si>
  <si>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</si>
  <si>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</si>
  <si>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</si>
  <si>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</si>
  <si>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</si>
  <si>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</si>
  <si>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</si>
  <si>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</si>
  <si>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</si>
  <si>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</si>
  <si>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</si>
  <si>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</si>
  <si>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</si>
  <si>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</si>
  <si>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</si>
  <si>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</si>
  <si>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</si>
  <si>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</si>
  <si>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</si>
  <si>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</si>
  <si>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</si>
  <si>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</si>
  <si>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</si>
  <si>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</si>
  <si>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</si>
  <si>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</si>
  <si>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</si>
  <si>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</si>
  <si>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</si>
  <si>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</si>
  <si>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</si>
  <si>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</si>
  <si>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</si>
  <si>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</si>
  <si>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</si>
  <si>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</si>
  <si>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</si>
  <si>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</si>
  <si>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</si>
  <si>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</si>
  <si>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</si>
  <si>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</si>
  <si>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</si>
  <si>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</si>
  <si>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</si>
  <si>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</si>
  <si>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</si>
  <si>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</si>
  <si>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</si>
  <si>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</si>
  <si>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</si>
  <si>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</si>
  <si>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</si>
  <si>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</si>
  <si>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</si>
  <si>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</si>
  <si>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</si>
  <si>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</si>
  <si>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</si>
  <si>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</si>
  <si>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</si>
  <si>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</si>
  <si>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</si>
  <si>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</si>
  <si>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</si>
  <si>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</si>
  <si>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</si>
  <si>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</si>
  <si>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</si>
  <si>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</si>
  <si>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</si>
  <si>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</si>
  <si>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</si>
  <si>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</si>
  <si>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</si>
  <si>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</si>
  <si>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</si>
  <si>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</si>
  <si>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</si>
  <si>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</si>
  <si>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</si>
  <si>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</si>
  <si>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</si>
  <si>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</si>
  <si>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</si>
  <si>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</si>
  <si>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</si>
  <si>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</si>
  <si>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</si>
  <si>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</si>
  <si>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</si>
  <si>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</si>
  <si>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</si>
  <si>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</si>
  <si>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</si>
  <si>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</si>
  <si>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</si>
  <si>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</si>
  <si>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</si>
  <si>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</si>
  <si>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</si>
  <si>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</si>
  <si>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</si>
  <si>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</si>
  <si>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</si>
  <si>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</si>
  <si>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</si>
  <si>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</si>
  <si>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</si>
  <si>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</si>
  <si>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</si>
  <si>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</si>
  <si>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</si>
  <si>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</si>
  <si>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</si>
  <si>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</si>
  <si>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</si>
  <si>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</si>
  <si>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</si>
  <si>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</si>
  <si>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</si>
  <si>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</si>
  <si>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</si>
  <si>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</si>
  <si>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</si>
  <si>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</si>
  <si>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</si>
  <si>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</si>
  <si>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</si>
  <si>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</si>
  <si>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</si>
  <si>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</si>
  <si>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</si>
  <si>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</si>
  <si>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</si>
  <si>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</si>
  <si>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</si>
  <si>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</si>
  <si>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</si>
  <si>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</si>
  <si>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</si>
  <si>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</si>
  <si>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</si>
  <si>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</si>
  <si>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</si>
  <si>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</si>
  <si>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</si>
  <si>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</si>
  <si>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</si>
  <si>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</si>
  <si>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</si>
  <si>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</si>
  <si>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</si>
  <si>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</si>
  <si>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</si>
  <si>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</si>
  <si>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</si>
  <si>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</si>
  <si>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</si>
  <si>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</si>
  <si>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</si>
  <si>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</si>
  <si>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</si>
  <si>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</si>
  <si>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</si>
  <si>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</si>
  <si>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</si>
  <si>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</si>
  <si>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</si>
  <si>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</si>
  <si>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</si>
  <si>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</si>
  <si>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</si>
  <si>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</si>
  <si>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</si>
  <si>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</si>
  <si>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</si>
  <si>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</si>
  <si>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</si>
  <si>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</si>
  <si>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</si>
  <si>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</si>
  <si>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</si>
  <si>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</si>
  <si>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</si>
  <si>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</si>
  <si>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</si>
  <si>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</si>
  <si>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</si>
  <si>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</si>
  <si>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</si>
  <si>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</si>
  <si>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</si>
  <si>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</si>
  <si>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</si>
  <si>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</si>
  <si>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</si>
  <si>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</si>
  <si>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</si>
  <si>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</si>
  <si>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</si>
  <si>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</si>
  <si>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</si>
  <si>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</si>
  <si>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</si>
  <si>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</si>
  <si>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</si>
  <si>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</si>
  <si>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</si>
  <si>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</si>
  <si>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</si>
  <si>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</si>
  <si>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</si>
  <si>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</si>
  <si>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</si>
  <si>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</si>
  <si>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</si>
  <si>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</si>
  <si>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</si>
  <si>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</si>
  <si>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</si>
  <si>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</si>
  <si>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</si>
  <si>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</si>
  <si>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</si>
  <si>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</si>
  <si>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</si>
  <si>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</si>
  <si>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</si>
  <si>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</si>
  <si>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</si>
  <si>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</si>
  <si>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</si>
  <si>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</si>
  <si>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</si>
  <si>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</si>
  <si>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</si>
  <si>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</si>
  <si>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</si>
  <si>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</si>
  <si>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</si>
  <si>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</si>
  <si>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</si>
  <si>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</si>
  <si>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</si>
  <si>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</si>
  <si>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</si>
  <si>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</si>
  <si>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</si>
  <si>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</si>
  <si>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</si>
  <si>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</si>
  <si>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</si>
  <si>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</si>
  <si>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</si>
  <si>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</si>
  <si>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</si>
  <si>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</si>
  <si>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</si>
  <si>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</si>
  <si>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</si>
  <si>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</si>
  <si>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</si>
  <si>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</si>
  <si>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</si>
  <si>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</si>
  <si>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</si>
  <si>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</si>
  <si>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</si>
  <si>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</si>
  <si>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</si>
  <si>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</si>
  <si>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</si>
  <si>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</si>
  <si>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</si>
  <si>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</si>
  <si>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</si>
  <si>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</si>
  <si>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</si>
  <si>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</si>
  <si>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</si>
  <si>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</si>
  <si>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</si>
  <si>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</si>
  <si>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</si>
  <si>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</si>
  <si>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</si>
  <si>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</si>
  <si>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</si>
  <si>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</si>
  <si>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</si>
  <si>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</si>
  <si>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</si>
  <si>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</si>
  <si>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</si>
  <si>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</si>
  <si>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</si>
  <si>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</si>
  <si>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</si>
  <si>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</si>
  <si>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</si>
  <si>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</si>
  <si>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</si>
  <si>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</si>
  <si>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</si>
  <si>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</si>
  <si>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</si>
  <si>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</si>
  <si>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</si>
  <si>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</si>
  <si>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</si>
  <si>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</si>
  <si>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</si>
  <si>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</si>
  <si>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</si>
  <si>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</si>
  <si>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</si>
  <si>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</si>
  <si>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</si>
  <si>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</si>
  <si>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</si>
  <si>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</si>
  <si>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</si>
  <si>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</si>
  <si>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</si>
  <si>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</si>
  <si>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</si>
  <si>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</si>
  <si>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</si>
  <si>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</si>
  <si>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</si>
  <si>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</si>
  <si>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</si>
  <si>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</si>
  <si>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</si>
  <si>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</si>
  <si>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</si>
  <si>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</si>
  <si>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</si>
  <si>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</si>
  <si>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</si>
  <si>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</si>
  <si>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</si>
  <si>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</si>
  <si>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</si>
  <si>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</si>
  <si>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</si>
  <si>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</si>
  <si>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</si>
  <si>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</si>
  <si>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</si>
  <si>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</si>
  <si>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</si>
  <si>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</si>
  <si>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</si>
  <si>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</si>
  <si>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</si>
  <si>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</si>
  <si>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</si>
  <si>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</si>
  <si>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</si>
  <si>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</si>
  <si>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</si>
  <si>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</si>
  <si>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</si>
  <si>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</si>
  <si>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</si>
  <si>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</si>
  <si>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</si>
  <si>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</si>
  <si>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</si>
  <si>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</si>
  <si>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</si>
  <si>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</si>
  <si>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</si>
  <si>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</si>
  <si>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</si>
  <si>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</si>
  <si>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</si>
  <si>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</si>
  <si>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</si>
  <si>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</si>
  <si>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</si>
  <si>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</si>
  <si>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</si>
  <si>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</si>
  <si>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</si>
  <si>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</si>
  <si>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</si>
  <si>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</si>
  <si>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</si>
  <si>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</si>
  <si>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</si>
  <si>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</si>
  <si>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</si>
  <si>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</si>
  <si>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</si>
  <si>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</si>
  <si>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</si>
  <si>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</si>
  <si>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</si>
  <si>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</si>
  <si>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</si>
  <si>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</si>
  <si>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</si>
  <si>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</si>
  <si>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</si>
  <si>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</si>
  <si>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</si>
  <si>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</si>
  <si>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</si>
  <si>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</si>
  <si>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</si>
  <si>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</si>
  <si>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</si>
  <si>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</si>
  <si>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</si>
  <si>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</si>
  <si>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</si>
  <si>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</si>
  <si>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</si>
  <si>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</si>
  <si>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</si>
  <si>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</si>
  <si>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</si>
  <si>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</si>
  <si>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</si>
  <si>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</si>
  <si>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</si>
  <si>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</si>
  <si>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</si>
  <si>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</si>
  <si>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</si>
  <si>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</si>
  <si>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</si>
  <si>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</si>
  <si>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</si>
  <si>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</si>
  <si>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</si>
  <si>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</si>
  <si>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</si>
  <si>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</si>
  <si>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</si>
  <si>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</si>
  <si>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</si>
  <si>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</si>
  <si>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</si>
  <si>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</si>
  <si>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</si>
  <si>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</si>
  <si>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</si>
  <si>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</si>
  <si>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</si>
  <si>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</si>
  <si>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</si>
  <si>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</si>
  <si>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</si>
  <si>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</si>
  <si>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</si>
  <si>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</si>
  <si>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</si>
  <si>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</si>
  <si>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</si>
  <si>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</si>
  <si>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</si>
  <si>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</si>
  <si>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</si>
  <si>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</si>
  <si>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</si>
  <si>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</si>
  <si>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</si>
  <si>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</si>
  <si>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</si>
  <si>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</si>
  <si>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</si>
  <si>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</si>
  <si>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</si>
  <si>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</si>
  <si>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</si>
  <si>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</si>
  <si>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</si>
  <si>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</si>
  <si>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</si>
  <si>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</si>
  <si>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</si>
  <si>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</si>
  <si>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</si>
  <si>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</si>
  <si>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</si>
  <si>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</si>
  <si>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</si>
  <si>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</si>
  <si>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</si>
  <si>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</si>
  <si>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</si>
  <si>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</si>
  <si>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</si>
  <si>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</si>
  <si>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</si>
  <si>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</si>
  <si>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</si>
  <si>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</si>
  <si>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</si>
  <si>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</si>
  <si>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</si>
  <si>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</si>
  <si>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</si>
  <si>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</si>
  <si>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</si>
  <si>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</si>
  <si>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</si>
  <si>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</si>
  <si>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</si>
  <si>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</si>
  <si>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</si>
  <si>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</si>
  <si>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</si>
  <si>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</si>
  <si>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</si>
  <si>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</si>
  <si>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</si>
  <si>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</si>
  <si>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</si>
  <si>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</si>
  <si>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</si>
  <si>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</si>
  <si>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</si>
  <si>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</si>
  <si>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</si>
  <si>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</si>
  <si>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</si>
  <si>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</si>
  <si>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</si>
  <si>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</si>
  <si>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</si>
  <si>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</si>
  <si>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</si>
  <si>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</si>
  <si>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</si>
  <si>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</si>
  <si>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</si>
  <si>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</si>
  <si>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</si>
  <si>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</si>
  <si>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</si>
  <si>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</si>
  <si>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</si>
  <si>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</si>
  <si>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</si>
  <si>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</si>
  <si>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</si>
  <si>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</si>
  <si>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</si>
  <si>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</si>
  <si>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</si>
  <si>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</si>
  <si>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</si>
  <si>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</si>
  <si>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</si>
  <si>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</si>
  <si>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</si>
  <si>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</si>
  <si>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</si>
  <si>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</si>
  <si>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</si>
  <si>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</si>
  <si>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</si>
  <si>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</si>
  <si>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</si>
  <si>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</si>
  <si>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</si>
  <si>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</si>
  <si>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</si>
  <si>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</si>
  <si>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</si>
  <si>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</si>
  <si>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</si>
  <si>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</si>
  <si>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</si>
  <si>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</si>
  <si>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</si>
  <si>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</si>
  <si>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</si>
  <si>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</si>
  <si>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</si>
  <si>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</si>
  <si>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</si>
  <si>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</si>
  <si>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</si>
  <si>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</si>
  <si>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</si>
  <si>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</si>
  <si>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</si>
  <si>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</si>
  <si>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</si>
  <si>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</si>
  <si>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</si>
  <si>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</si>
  <si>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</si>
  <si>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</si>
  <si>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</si>
  <si>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</si>
  <si>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</si>
  <si>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</si>
  <si>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</si>
  <si>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</si>
  <si>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</si>
  <si>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</si>
  <si>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</si>
  <si>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</si>
  <si>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</si>
  <si>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</si>
  <si>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</si>
  <si>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</si>
  <si>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</si>
  <si>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</si>
  <si>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</si>
  <si>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</si>
  <si>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</si>
  <si>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</si>
  <si>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</si>
  <si>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</si>
  <si>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</si>
  <si>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</si>
  <si>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</si>
  <si>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</si>
  <si>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</si>
  <si>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</si>
  <si>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</si>
  <si>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</si>
  <si>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</si>
  <si>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</si>
  <si>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</si>
  <si>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</si>
  <si>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</si>
  <si>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</si>
  <si>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</si>
  <si>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</si>
  <si>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</si>
  <si>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</si>
  <si>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</si>
  <si>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</si>
  <si>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</si>
  <si>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</si>
  <si>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</si>
  <si>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</si>
  <si>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</si>
  <si>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</si>
  <si>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</si>
  <si>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</si>
  <si>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</si>
  <si>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</si>
  <si>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</si>
  <si>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</si>
  <si>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</si>
  <si>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</si>
  <si>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</si>
  <si>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</si>
  <si>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</si>
  <si>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</si>
  <si>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</si>
  <si>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</si>
  <si>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</si>
  <si>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</si>
  <si>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</si>
  <si>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</si>
  <si>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</si>
  <si>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</si>
  <si>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</si>
  <si>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</si>
  <si>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</si>
  <si>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</si>
  <si>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</si>
  <si>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</si>
  <si>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</si>
  <si>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</si>
  <si>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</si>
  <si>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</si>
  <si>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</si>
  <si>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</si>
  <si>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</si>
  <si>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</si>
  <si>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</si>
  <si>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</si>
  <si>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</si>
  <si>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</si>
  <si>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</si>
  <si>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</si>
  <si>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</si>
  <si>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</si>
  <si>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</si>
  <si>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</si>
  <si>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</si>
  <si>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</si>
  <si>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</si>
  <si>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</si>
  <si>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</si>
  <si>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</si>
  <si>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</si>
  <si>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</si>
  <si>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</si>
  <si>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</si>
  <si>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</si>
  <si>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</si>
  <si>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</si>
  <si>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</si>
  <si>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</si>
  <si>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</si>
  <si>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</si>
  <si>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</si>
  <si>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</si>
  <si>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</si>
  <si>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</si>
  <si>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</si>
  <si>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</si>
  <si>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</si>
  <si>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</si>
  <si>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</si>
  <si>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</si>
  <si>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</si>
  <si>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</si>
  <si>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</si>
  <si>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</si>
  <si>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</si>
  <si>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</si>
  <si>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</si>
  <si>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</si>
  <si>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</si>
  <si>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</si>
  <si>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</si>
  <si>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</si>
  <si>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</si>
  <si>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</si>
  <si>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</si>
  <si>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</si>
  <si>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</si>
  <si>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</si>
  <si>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</si>
  <si>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</si>
  <si>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</si>
  <si>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</si>
  <si>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</si>
  <si>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</si>
  <si>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</si>
  <si>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</si>
  <si>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</si>
  <si>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</si>
  <si>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</si>
  <si>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</si>
  <si>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</si>
  <si>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</si>
  <si>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</si>
  <si>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</si>
  <si>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</si>
  <si>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</si>
  <si>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</si>
  <si>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</si>
  <si>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</si>
  <si>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</si>
  <si>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</si>
  <si>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</si>
  <si>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</si>
  <si>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</si>
  <si>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</si>
  <si>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</si>
  <si>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</si>
  <si>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</si>
  <si>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</si>
  <si>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</si>
  <si>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</si>
  <si>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</si>
  <si>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</si>
  <si>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</si>
  <si>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</si>
  <si>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</si>
  <si>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</si>
  <si>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</si>
  <si>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</si>
  <si>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</si>
  <si>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</si>
  <si>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</si>
  <si>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</si>
  <si>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</si>
  <si>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</si>
  <si>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</si>
  <si>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</si>
  <si>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</si>
  <si>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</si>
  <si>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</si>
  <si>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</si>
  <si>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</si>
  <si>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</si>
  <si>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</si>
  <si>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</si>
  <si>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</si>
  <si>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</si>
  <si>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</si>
  <si>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</si>
  <si>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</si>
  <si>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</si>
  <si>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</si>
  <si>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</si>
  <si>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</si>
  <si>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</si>
  <si>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</si>
  <si>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</si>
  <si>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</si>
  <si>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</si>
  <si>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</si>
  <si>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</si>
  <si>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</si>
  <si>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</si>
  <si>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</si>
  <si>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</si>
  <si>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</si>
  <si>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</si>
  <si>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</si>
  <si>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</si>
  <si>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</si>
  <si>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</si>
  <si>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</si>
  <si>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</si>
  <si>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</si>
  <si>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</si>
  <si>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</si>
  <si>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</si>
  <si>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</si>
  <si>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</si>
  <si>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</si>
  <si>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</si>
  <si>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</si>
  <si>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</si>
  <si>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</si>
  <si>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</si>
  <si>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</si>
  <si>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</si>
  <si>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</si>
  <si>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</si>
  <si>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</si>
  <si>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</si>
  <si>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</si>
  <si>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</si>
  <si>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</si>
  <si>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</si>
  <si>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</si>
  <si>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</si>
  <si>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</si>
  <si>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</si>
  <si>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</si>
  <si>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</si>
  <si>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</si>
  <si>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</si>
  <si>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</si>
  <si>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</si>
  <si>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</si>
  <si>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</si>
  <si>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</si>
  <si>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</si>
  <si>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</si>
  <si>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</si>
  <si>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</si>
  <si>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</si>
  <si>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</si>
  <si>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</si>
  <si>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</si>
  <si>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</si>
  <si>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</si>
  <si>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</si>
  <si>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</si>
  <si>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</si>
  <si>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</si>
  <si>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</si>
  <si>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</si>
  <si>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</si>
  <si>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</si>
  <si>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</si>
  <si>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</si>
  <si>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</si>
  <si>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</si>
  <si>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</si>
  <si>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</si>
  <si>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</si>
  <si>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</si>
  <si>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</si>
  <si>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</si>
  <si>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</si>
  <si>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</si>
  <si>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</si>
  <si>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</si>
  <si>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</si>
  <si>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</si>
  <si>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</si>
  <si>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</si>
  <si>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</si>
  <si>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</si>
  <si>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</si>
  <si>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</si>
  <si>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</si>
  <si>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</si>
  <si>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</si>
  <si>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</si>
  <si>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</si>
  <si>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</si>
  <si>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</si>
  <si>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</si>
  <si>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</si>
  <si>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</si>
  <si>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</si>
  <si>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</si>
  <si>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</si>
  <si>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</si>
  <si>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</si>
  <si>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</si>
  <si>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</si>
  <si>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</si>
  <si>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</si>
  <si>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</si>
  <si>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</si>
  <si>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</si>
  <si>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</si>
  <si>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</si>
  <si>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</si>
  <si>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</si>
  <si>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</si>
  <si>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</si>
  <si>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</si>
  <si>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</si>
  <si>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</si>
  <si>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</si>
  <si>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</si>
  <si>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</si>
  <si>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</si>
  <si>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</si>
  <si>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</si>
  <si>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</si>
  <si>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</si>
  <si>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</si>
  <si>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</si>
  <si>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</si>
  <si>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</si>
  <si>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</si>
  <si>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</si>
  <si>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</si>
  <si>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</si>
  <si>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</si>
  <si>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</si>
  <si>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</si>
  <si>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</si>
  <si>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</si>
  <si>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</si>
  <si>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</si>
  <si>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</si>
  <si>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</si>
  <si>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</si>
  <si>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</si>
  <si>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</si>
  <si>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</si>
  <si>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</si>
  <si>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</si>
  <si>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</si>
  <si>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</si>
  <si>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</si>
  <si>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</si>
  <si>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</si>
  <si>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</si>
  <si>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</si>
  <si>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</si>
  <si>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</si>
  <si>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</si>
  <si>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</si>
  <si>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</si>
  <si>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</si>
  <si>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</si>
  <si>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</si>
  <si>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</si>
  <si>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</si>
  <si>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</si>
  <si>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</si>
  <si>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</si>
  <si>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</si>
  <si>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</si>
  <si>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</si>
  <si>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</si>
  <si>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</si>
  <si>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</si>
  <si>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</si>
  <si>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</si>
  <si>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</si>
  <si>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</si>
  <si>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</si>
  <si>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</si>
  <si>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</si>
  <si>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</si>
  <si>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</si>
  <si>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</si>
  <si>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</si>
  <si>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</si>
  <si>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</si>
  <si>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</si>
  <si>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</si>
  <si>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</si>
  <si>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</si>
  <si>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</si>
  <si>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</si>
  <si>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</si>
  <si>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</si>
  <si>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</si>
  <si>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</si>
  <si>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</si>
  <si>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</si>
  <si>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</si>
  <si>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</si>
  <si>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</si>
  <si>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</si>
  <si>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</si>
  <si>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</si>
  <si>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</si>
  <si>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</si>
  <si>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</si>
  <si>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</si>
  <si>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</si>
  <si>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</si>
  <si>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</si>
  <si>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</si>
  <si>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</si>
  <si>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</si>
  <si>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</si>
  <si>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</si>
  <si>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</si>
  <si>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</si>
  <si>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</si>
  <si>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</si>
  <si>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</si>
  <si>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</si>
  <si>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</si>
  <si>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</si>
  <si>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</si>
  <si>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</si>
  <si>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</si>
  <si>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</si>
  <si>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</si>
  <si>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</si>
  <si>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</si>
  <si>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</si>
  <si>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</si>
  <si>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</si>
  <si>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</si>
  <si>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</si>
  <si>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</si>
  <si>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</si>
  <si>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</si>
  <si>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</si>
  <si>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</si>
  <si>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</si>
  <si>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</si>
  <si>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</si>
  <si>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</si>
  <si>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</si>
  <si>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</si>
  <si>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</si>
  <si>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</si>
  <si>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</si>
  <si>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</si>
  <si>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</si>
  <si>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</si>
  <si>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</si>
  <si>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</si>
  <si>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</si>
  <si>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</si>
  <si>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</si>
  <si>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</si>
  <si>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</si>
  <si>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</si>
  <si>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</si>
  <si>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</si>
  <si>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</si>
  <si>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</si>
  <si>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</si>
  <si>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</si>
  <si>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</si>
  <si>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</si>
  <si>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</si>
  <si>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</si>
  <si>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</si>
  <si>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</si>
  <si>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</si>
  <si>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</si>
  <si>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</si>
  <si>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</si>
  <si>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</si>
  <si>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</si>
  <si>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</si>
  <si>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</si>
  <si>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</si>
  <si>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</si>
  <si>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</si>
  <si>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</si>
  <si>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</si>
  <si>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</si>
  <si>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</si>
  <si>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</si>
  <si>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</si>
  <si>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</si>
  <si>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</si>
  <si>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</si>
  <si>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</si>
  <si>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</si>
  <si>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</si>
  <si>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</si>
  <si>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</si>
  <si>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</si>
  <si>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</si>
  <si>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</si>
  <si>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</si>
  <si>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</si>
  <si>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</si>
  <si>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</si>
  <si>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</si>
  <si>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</si>
  <si>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</si>
  <si>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</si>
  <si>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</si>
  <si>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</si>
  <si>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</si>
  <si>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</si>
  <si>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</si>
  <si>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</si>
  <si>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</si>
  <si>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</si>
  <si>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</si>
  <si>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</si>
  <si>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</si>
  <si>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</si>
  <si>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</si>
  <si>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</si>
  <si>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</si>
  <si>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</si>
  <si>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</si>
  <si>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</si>
  <si>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</si>
  <si>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</si>
  <si>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</si>
  <si>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</si>
  <si>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</si>
  <si>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</si>
  <si>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</si>
  <si>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</si>
  <si>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</si>
  <si>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</si>
  <si>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</si>
  <si>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</si>
  <si>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</si>
  <si>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</si>
  <si>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</si>
  <si>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</si>
  <si>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</si>
  <si>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</si>
  <si>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</si>
  <si>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</si>
  <si>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</si>
  <si>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</si>
  <si>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</si>
  <si>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</si>
  <si>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</si>
  <si>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</si>
  <si>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</si>
  <si>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</si>
  <si>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</si>
  <si>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</si>
  <si>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</si>
  <si>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</si>
  <si>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</si>
  <si>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</si>
  <si>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</si>
  <si>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</si>
  <si>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</si>
  <si>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</si>
  <si>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</si>
  <si>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</si>
  <si>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</si>
  <si>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</si>
  <si>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</si>
  <si>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</si>
  <si>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</si>
  <si>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</si>
  <si>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</si>
  <si>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</si>
  <si>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</si>
  <si>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</si>
  <si>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</si>
  <si>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</si>
  <si>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</si>
  <si>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</si>
  <si>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</si>
  <si>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</si>
  <si>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</si>
  <si>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</si>
  <si>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</si>
  <si>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</si>
  <si>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</si>
  <si>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</si>
  <si>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</si>
  <si>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</si>
  <si>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</si>
  <si>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</si>
  <si>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</si>
  <si>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</si>
  <si>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</si>
  <si>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</si>
  <si>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</si>
  <si>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</si>
  <si>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</si>
  <si>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</si>
  <si>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</si>
  <si>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</si>
  <si>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</si>
  <si>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</si>
  <si>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</si>
  <si>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</si>
  <si>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</si>
  <si>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</si>
  <si>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</si>
  <si>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</si>
  <si>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</si>
  <si>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</si>
  <si>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</si>
  <si>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</si>
  <si>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</si>
  <si>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</si>
  <si>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</si>
  <si>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</si>
  <si>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</si>
  <si>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</si>
  <si>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</si>
  <si>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</si>
  <si>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</si>
  <si>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</si>
  <si>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</si>
  <si>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</si>
  <si>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</si>
  <si>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</si>
  <si>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</si>
  <si>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</si>
  <si>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</si>
  <si>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</si>
  <si>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</si>
  <si>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</si>
  <si>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</si>
  <si>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</si>
  <si>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</si>
  <si>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</si>
  <si>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</si>
  <si>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</si>
  <si>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</si>
  <si>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</si>
  <si>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</si>
  <si>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</si>
  <si>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</si>
  <si>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</si>
  <si>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</si>
  <si>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</si>
  <si>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</si>
  <si>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</si>
  <si>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</si>
  <si>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</si>
  <si>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</si>
  <si>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</si>
  <si>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</si>
  <si>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</si>
  <si>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</si>
  <si>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</si>
  <si>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</si>
  <si>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</si>
  <si>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</si>
  <si>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</si>
  <si>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</si>
  <si>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</si>
  <si>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</si>
  <si>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</si>
  <si>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</si>
  <si>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</si>
  <si>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</si>
  <si>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</si>
  <si>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</si>
  <si>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</si>
  <si>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</si>
  <si>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</si>
  <si>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</si>
  <si>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</si>
  <si>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</si>
  <si>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</si>
  <si>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</si>
  <si>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</si>
  <si>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</si>
  <si>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</si>
  <si>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</si>
  <si>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</si>
  <si>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</si>
  <si>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</si>
  <si>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</si>
  <si>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</si>
  <si>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</si>
  <si>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</si>
  <si>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</si>
  <si>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</si>
  <si>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</si>
  <si>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</si>
  <si>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</si>
  <si>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</si>
  <si>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</si>
  <si>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</si>
  <si>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</si>
  <si>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</si>
  <si>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</si>
  <si>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</si>
  <si>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</si>
  <si>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</si>
  <si>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</si>
  <si>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</si>
  <si>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</si>
  <si>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</si>
  <si>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</si>
  <si>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</si>
  <si>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</si>
  <si>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</si>
  <si>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</si>
  <si>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</si>
  <si>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</si>
  <si>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</si>
  <si>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</si>
  <si>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</si>
  <si>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</si>
  <si>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</si>
  <si>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</si>
  <si>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</si>
  <si>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</si>
  <si>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</si>
  <si>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</si>
  <si>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</si>
  <si>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</si>
  <si>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</si>
  <si>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</si>
  <si>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</si>
  <si>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</si>
  <si>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</si>
  <si>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</si>
  <si>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</si>
  <si>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</si>
  <si>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</si>
  <si>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</si>
  <si>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</si>
  <si>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</si>
  <si>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</si>
  <si>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</si>
  <si>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</si>
  <si>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</si>
  <si>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</si>
  <si>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</si>
  <si>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</si>
  <si>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</si>
  <si>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</si>
  <si>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</si>
  <si>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</si>
  <si>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</si>
  <si>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</si>
  <si>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</si>
  <si>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</si>
  <si>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</si>
  <si>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</si>
  <si>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</si>
  <si>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</si>
  <si>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</si>
  <si>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</si>
  <si>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</si>
  <si>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</si>
  <si>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</si>
  <si>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</si>
  <si>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</si>
  <si>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</si>
  <si>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</si>
  <si>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</si>
  <si>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</si>
  <si>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</si>
  <si>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</si>
  <si>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</si>
  <si>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</si>
  <si>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</si>
  <si>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</si>
  <si>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</si>
  <si>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</si>
  <si>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</si>
  <si>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</si>
  <si>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</si>
  <si>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</si>
  <si>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</si>
  <si>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</si>
  <si>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</si>
  <si>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</si>
  <si>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</si>
  <si>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</si>
  <si>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</si>
  <si>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</si>
  <si>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</si>
  <si>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</si>
  <si>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</si>
  <si>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</si>
  <si>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</si>
  <si>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</si>
  <si>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</si>
  <si>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</si>
  <si>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</si>
  <si>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</si>
  <si>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</si>
  <si>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</si>
  <si>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</si>
  <si>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</si>
  <si>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</si>
  <si>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</si>
  <si>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</si>
  <si>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</si>
  <si>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</si>
  <si>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</si>
  <si>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</si>
  <si>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</si>
  <si>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</si>
  <si>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</si>
  <si>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</si>
  <si>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</si>
  <si>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</si>
  <si>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</si>
  <si>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</si>
  <si>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</si>
  <si>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</si>
  <si>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</si>
  <si>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</si>
  <si>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</si>
  <si>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</si>
  <si>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</si>
  <si>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</si>
  <si>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</si>
  <si>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</si>
  <si>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</si>
  <si>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</si>
  <si>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</si>
  <si>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</si>
  <si>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</si>
  <si>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</si>
  <si>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</si>
  <si>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</si>
  <si>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</si>
  <si>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</si>
  <si>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</si>
  <si>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</si>
  <si>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</si>
  <si>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</si>
  <si>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</si>
  <si>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</si>
  <si>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</si>
  <si>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</si>
  <si>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</si>
  <si>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</si>
  <si>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</si>
  <si>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</si>
  <si>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</si>
  <si>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</si>
  <si>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</si>
  <si>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</si>
  <si>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</si>
  <si>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</si>
  <si>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</si>
  <si>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</si>
  <si>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</si>
  <si>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</si>
  <si>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</si>
  <si>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</si>
  <si>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</si>
  <si>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</si>
  <si>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</si>
  <si>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</si>
  <si>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</si>
  <si>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</si>
  <si>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</si>
  <si>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</si>
  <si>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</si>
  <si>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</si>
  <si>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</si>
  <si>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</si>
  <si>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</si>
  <si>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</si>
  <si>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</si>
  <si>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</si>
  <si>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</si>
  <si>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</si>
  <si>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</si>
  <si>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</si>
  <si>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</si>
  <si>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</si>
  <si>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</si>
  <si>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</si>
  <si>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</si>
  <si>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</si>
  <si>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</si>
  <si>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</si>
  <si>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</si>
  <si>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</si>
  <si>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</si>
  <si>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</si>
  <si>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</si>
  <si>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</si>
  <si>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</si>
  <si>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</si>
  <si>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</si>
  <si>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</si>
  <si>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</si>
  <si>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</si>
  <si>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</si>
  <si>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</si>
  <si>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</si>
  <si>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</si>
  <si>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</si>
  <si>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</si>
  <si>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</si>
  <si>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</si>
  <si>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</si>
  <si>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</si>
  <si>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</si>
  <si>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</si>
  <si>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</si>
  <si>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</si>
  <si>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</si>
  <si>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</si>
  <si>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</si>
  <si>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</si>
  <si>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</si>
  <si>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</si>
  <si>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</si>
  <si>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</si>
  <si>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</si>
  <si>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</si>
  <si>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</si>
  <si>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</si>
  <si>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</si>
  <si>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</si>
  <si>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</si>
  <si>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</si>
  <si>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</si>
  <si>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</si>
  <si>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</si>
  <si>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</si>
  <si>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</si>
  <si>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</si>
  <si>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</si>
  <si>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</si>
  <si>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</si>
  <si>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</si>
  <si>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</si>
  <si>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</si>
  <si>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</si>
  <si>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</si>
  <si>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</si>
  <si>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</si>
  <si>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</si>
  <si>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</si>
  <si>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</si>
  <si>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</si>
  <si>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</si>
  <si>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</si>
  <si>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</si>
  <si>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</si>
  <si>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</si>
  <si>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</si>
  <si>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</si>
  <si>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</si>
  <si>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</si>
  <si>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</si>
  <si>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</si>
  <si>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</si>
  <si>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</si>
  <si>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</si>
  <si>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</si>
  <si>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</si>
  <si>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</si>
  <si>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</si>
  <si>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</si>
  <si>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</si>
  <si>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</si>
  <si>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</si>
  <si>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</si>
  <si>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</si>
  <si>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</si>
  <si>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</si>
  <si>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</si>
  <si>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</si>
  <si>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</si>
  <si>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</si>
  <si>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</si>
  <si>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</si>
  <si>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</si>
  <si>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</si>
  <si>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</si>
  <si>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</si>
  <si>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</si>
  <si>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</si>
  <si>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</si>
  <si>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</si>
  <si>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</si>
  <si>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</si>
  <si>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</si>
  <si>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</si>
  <si>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</si>
  <si>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</si>
  <si>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</si>
  <si>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</si>
  <si>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</si>
  <si>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</si>
  <si>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</si>
  <si>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</si>
  <si>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</si>
  <si>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</si>
  <si>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</si>
  <si>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</si>
  <si>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</si>
  <si>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</si>
  <si>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</si>
  <si>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</si>
  <si>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</si>
  <si>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</si>
  <si>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</si>
  <si>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</si>
  <si>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</si>
  <si>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</si>
  <si>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</si>
  <si>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</si>
  <si>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</si>
  <si>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</si>
  <si>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</si>
  <si>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</si>
  <si>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</si>
  <si>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</si>
  <si>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</si>
  <si>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</si>
  <si>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</si>
  <si>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</si>
  <si>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</si>
  <si>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</si>
  <si>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</si>
  <si>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</si>
  <si>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</si>
  <si>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</si>
  <si>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</si>
  <si>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</si>
  <si>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</si>
  <si>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</si>
  <si>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</si>
  <si>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</si>
  <si>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</si>
  <si>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</si>
  <si>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</si>
  <si>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</si>
  <si>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</si>
  <si>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</si>
  <si>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</si>
  <si>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</si>
  <si>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</si>
  <si>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</si>
  <si>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</si>
  <si>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</si>
  <si>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</si>
  <si>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</si>
  <si>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</si>
  <si>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</si>
  <si>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</si>
  <si>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</si>
  <si>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</si>
  <si>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</si>
  <si>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</si>
  <si>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</si>
  <si>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</si>
  <si>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</si>
  <si>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</si>
  <si>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</si>
  <si>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</si>
  <si>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</si>
  <si>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</si>
  <si>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</si>
  <si>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</si>
  <si>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</si>
  <si>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</si>
  <si>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</si>
  <si>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</si>
  <si>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</si>
  <si>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</si>
  <si>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</si>
  <si>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</si>
  <si>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</si>
  <si>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</si>
  <si>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</si>
  <si>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</si>
  <si>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</si>
  <si>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</si>
  <si>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</si>
  <si>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</si>
  <si>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</si>
  <si>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</si>
  <si>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</si>
  <si>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</si>
  <si>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</si>
  <si>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</si>
  <si>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</si>
  <si>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</si>
  <si>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</si>
  <si>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</si>
  <si>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</si>
  <si>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</si>
  <si>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</si>
  <si>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</si>
  <si>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</si>
  <si>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</si>
  <si>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</si>
  <si>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</si>
  <si>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</si>
  <si>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</si>
  <si>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</si>
  <si>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</si>
  <si>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</si>
  <si>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</si>
  <si>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</si>
  <si>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</si>
  <si>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</si>
  <si>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</si>
  <si>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</si>
  <si>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</si>
  <si>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</si>
  <si>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</si>
  <si>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</si>
  <si>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</si>
  <si>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</si>
  <si>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</si>
  <si>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</si>
  <si>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</si>
  <si>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</si>
  <si>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</si>
  <si>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</si>
  <si>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</si>
  <si>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</si>
  <si>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</si>
  <si>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</si>
  <si>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</si>
  <si>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</si>
  <si>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</si>
  <si>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</si>
  <si>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</si>
  <si>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</si>
  <si>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</si>
  <si>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</si>
  <si>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</si>
  <si>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</si>
  <si>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</si>
  <si>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</si>
  <si>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</si>
  <si>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</si>
  <si>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</si>
  <si>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</si>
  <si>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</si>
  <si>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</si>
  <si>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</si>
  <si>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</si>
  <si>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</si>
  <si>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</si>
  <si>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</si>
  <si>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</si>
  <si>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</si>
  <si>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</si>
  <si>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2025-3</t>
    <phoneticPr fontId="3" type="noConversion"/>
  </si>
  <si>
    <t>抵押</t>
  </si>
  <si>
    <t>房地产抵押价值</t>
  </si>
  <si>
    <t>北京市</t>
  </si>
  <si>
    <t>自然人</t>
  </si>
  <si>
    <t>成新度</t>
  </si>
  <si>
    <t>望京街道</t>
    <phoneticPr fontId="3" type="noConversion"/>
  </si>
  <si>
    <t>办公</t>
    <phoneticPr fontId="7" type="noConversion"/>
  </si>
  <si>
    <t>办公项目</t>
  </si>
  <si>
    <t>现房</t>
  </si>
  <si>
    <t>地上</t>
  </si>
  <si>
    <t>是</t>
  </si>
  <si>
    <t>收益法 (元)</t>
  </si>
  <si>
    <t>建成年代</t>
    <phoneticPr fontId="3" type="noConversion"/>
  </si>
  <si>
    <t>三部系统</t>
    <phoneticPr fontId="3" type="noConversion"/>
  </si>
  <si>
    <t>押一</t>
  </si>
  <si>
    <t>钢混</t>
  </si>
  <si>
    <t>非生产用房</t>
  </si>
  <si>
    <t>否</t>
  </si>
  <si>
    <t>未包含在土地购买价格中</t>
  </si>
  <si>
    <t>已包含在土地取得成本中</t>
  </si>
  <si>
    <t>悠乐汇</t>
    <phoneticPr fontId="3" type="noConversion"/>
  </si>
  <si>
    <t>单套模式</t>
  </si>
  <si>
    <t>售价</t>
  </si>
  <si>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</si>
  <si>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</si>
  <si>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</si>
  <si>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</si>
  <si>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</si>
  <si>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高楼层</t>
    <phoneticPr fontId="31" type="noConversion"/>
  </si>
  <si>
    <t>中楼层</t>
  </si>
  <si>
    <t>中楼层</t>
    <phoneticPr fontId="31" type="noConversion"/>
  </si>
  <si>
    <t>低楼层</t>
  </si>
  <si>
    <t>低楼层</t>
    <phoneticPr fontId="31" type="noConversion"/>
  </si>
  <si>
    <t>钢混</t>
    <phoneticPr fontId="31" type="noConversion"/>
  </si>
  <si>
    <r>
      <rPr>
        <sz val="11"/>
        <color indexed="8"/>
        <rFont val="宋体"/>
        <family val="3"/>
        <charset val="134"/>
      </rPr>
      <t>高速路</t>
    </r>
    <r>
      <rPr>
        <sz val="11"/>
        <color indexed="8"/>
        <rFont val="Arial"/>
        <family val="2"/>
      </rPr>
      <t>/</t>
    </r>
    <r>
      <rPr>
        <sz val="11"/>
        <color indexed="8"/>
        <rFont val="宋体"/>
        <family val="3"/>
        <charset val="134"/>
      </rPr>
      <t>快速路</t>
    </r>
    <phoneticPr fontId="31" type="noConversion"/>
  </si>
  <si>
    <t>主干道</t>
    <phoneticPr fontId="31" type="noConversion"/>
  </si>
  <si>
    <t>次干道</t>
    <phoneticPr fontId="31" type="noConversion"/>
  </si>
  <si>
    <t>支路</t>
    <phoneticPr fontId="31" type="noConversion"/>
  </si>
  <si>
    <t>正常</t>
  </si>
  <si>
    <t>挂牌价</t>
  </si>
  <si>
    <t>挂牌价</t>
    <phoneticPr fontId="31" type="noConversion"/>
  </si>
  <si>
    <t>办公</t>
    <phoneticPr fontId="31" type="noConversion"/>
  </si>
  <si>
    <r>
      <t>20-30</t>
    </r>
    <r>
      <rPr>
        <sz val="11"/>
        <color indexed="8"/>
        <rFont val="宋体"/>
        <family val="3"/>
        <charset val="134"/>
      </rPr>
      <t>（含）</t>
    </r>
    <phoneticPr fontId="31" type="noConversion"/>
  </si>
  <si>
    <t>比较法-办公</t>
  </si>
  <si>
    <r>
      <rPr>
        <sz val="10"/>
        <color theme="9" tint="-0.249977111117893"/>
        <rFont val="宋体"/>
        <family val="3"/>
        <charset val="134"/>
      </rPr>
      <t>朝阳区望京园</t>
    </r>
    <r>
      <rPr>
        <sz val="10"/>
        <color theme="9" tint="-0.249977111117893"/>
        <rFont val="Arial"/>
        <family val="2"/>
      </rPr>
      <t>603</t>
    </r>
    <r>
      <rPr>
        <sz val="10"/>
        <color theme="9" tint="-0.249977111117893"/>
        <rFont val="宋体"/>
        <family val="3"/>
        <charset val="134"/>
      </rPr>
      <t>号楼</t>
    </r>
    <r>
      <rPr>
        <sz val="10"/>
        <color theme="9" tint="-0.249977111117893"/>
        <rFont val="Arial"/>
        <family val="2"/>
      </rPr>
      <t>8</t>
    </r>
    <r>
      <rPr>
        <sz val="10"/>
        <color theme="9" tint="-0.249977111117893"/>
        <rFont val="宋体"/>
        <family val="3"/>
        <charset val="134"/>
      </rPr>
      <t>层</t>
    </r>
    <r>
      <rPr>
        <sz val="10"/>
        <color theme="9" tint="-0.249977111117893"/>
        <rFont val="Arial"/>
        <family val="2"/>
      </rPr>
      <t>907</t>
    </r>
    <phoneticPr fontId="6" type="noConversion"/>
  </si>
  <si>
    <t>曲洋</t>
    <phoneticPr fontId="6" type="noConversion"/>
  </si>
  <si>
    <t>楼面单价</t>
  </si>
  <si>
    <t>自定义</t>
  </si>
  <si>
    <t>自定义容积率</t>
  </si>
  <si>
    <t>网上查询</t>
    <phoneticPr fontId="7" type="noConversion"/>
  </si>
  <si>
    <t>与级别开发程度一致</t>
  </si>
  <si>
    <t>按公示增长率计算</t>
  </si>
  <si>
    <t>中心城区</t>
  </si>
  <si>
    <t>较好</t>
  </si>
  <si>
    <t>较差</t>
  </si>
  <si>
    <t>好</t>
  </si>
  <si>
    <r>
      <rPr>
        <sz val="10"/>
        <color indexed="8"/>
        <rFont val="宋体"/>
        <family val="3"/>
        <charset val="134"/>
      </rPr>
      <t>曲洋评估价值</t>
    </r>
    <r>
      <rPr>
        <sz val="10"/>
        <color indexed="8"/>
        <rFont val="Arial"/>
        <family val="2"/>
      </rPr>
      <t>1687700</t>
    </r>
    <phoneticPr fontId="8" type="noConversion"/>
  </si>
  <si>
    <t>需求尽量差不多</t>
    <phoneticPr fontId="8" type="noConversion"/>
  </si>
  <si>
    <r>
      <rPr>
        <sz val="10"/>
        <color indexed="8"/>
        <rFont val="宋体"/>
        <family val="3"/>
        <charset val="134"/>
      </rPr>
      <t>郑林评估价值</t>
    </r>
    <r>
      <rPr>
        <sz val="10"/>
        <color indexed="8"/>
        <rFont val="Arial"/>
        <family val="2"/>
      </rPr>
      <t>1610000</t>
    </r>
    <phoneticPr fontId="8" type="noConversion"/>
  </si>
  <si>
    <r>
      <rPr>
        <sz val="10"/>
        <color indexed="8"/>
        <rFont val="宋体"/>
        <family val="3"/>
        <charset val="134"/>
      </rPr>
      <t>王雷评估价值</t>
    </r>
    <r>
      <rPr>
        <sz val="10"/>
        <color indexed="8"/>
        <rFont val="Arial"/>
        <family val="2"/>
      </rPr>
      <t>16732100</t>
    </r>
    <phoneticPr fontId="8" type="noConversion"/>
  </si>
  <si>
    <t>七通</t>
  </si>
  <si>
    <t>精装修</t>
  </si>
  <si>
    <t>精装修</t>
    <phoneticPr fontId="31" type="noConversion"/>
  </si>
  <si>
    <t>普通装修</t>
  </si>
  <si>
    <t>普通装修</t>
    <phoneticPr fontId="31" type="noConversion"/>
  </si>
  <si>
    <t>简单装修</t>
    <phoneticPr fontId="31" type="noConversion"/>
  </si>
  <si>
    <t>毛坯</t>
    <phoneticPr fontId="31" type="noConversion"/>
  </si>
  <si>
    <r>
      <rPr>
        <sz val="10"/>
        <color indexed="8"/>
        <rFont val="宋体"/>
        <family val="3"/>
        <charset val="134"/>
      </rPr>
      <t>询价报值单价</t>
    </r>
    <r>
      <rPr>
        <sz val="10"/>
        <color indexed="8"/>
        <rFont val="Arial"/>
        <family val="2"/>
      </rPr>
      <t>22000</t>
    </r>
    <r>
      <rPr>
        <sz val="10"/>
        <color indexed="8"/>
        <rFont val="宋体"/>
        <family val="3"/>
        <charset val="134"/>
      </rPr>
      <t>，总价</t>
    </r>
    <r>
      <rPr>
        <sz val="10"/>
        <color indexed="8"/>
        <rFont val="Arial"/>
        <family val="2"/>
      </rPr>
      <t>123</t>
    </r>
    <r>
      <rPr>
        <sz val="10"/>
        <color indexed="8"/>
        <rFont val="宋体"/>
        <family val="3"/>
        <charset val="134"/>
      </rPr>
      <t>万</t>
    </r>
    <phoneticPr fontId="8" type="noConversion"/>
  </si>
  <si>
    <t>专业</t>
    <phoneticPr fontId="31" type="noConversion"/>
  </si>
  <si>
    <t>普通</t>
  </si>
  <si>
    <t>普通</t>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</si>
</sst>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1"/>
      <color indexed="8"/>
      <name val="Arial"/>
      <family val="3"/>
      <charset val="134"/>
    </font>
    <font>
      <sz val="10"/>
      <color indexed="8"/>
      <name val="Arial"/>
      <family val="3"/>
      <charset val="134"/>
    </font>
    <font>
      <sz val="10"/>
      <color theme="9" tint="-0.249977111117893"/>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2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107" fillId="6" borderId="7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75" xfId="0" applyFont="1" applyFill="1" applyBorder="1" applyAlignment="1">
      <alignment horizontal="left" vertical="center"/>
    </xf>
    <xf numFmtId="0" fontId="107" fillId="6" borderId="73" xfId="0" applyFont="1" applyFill="1" applyBorder="1" applyAlignment="1">
      <alignment horizontal="left" vertical="center"/>
    </xf>
    <xf numFmtId="0" fontId="107" fillId="6" borderId="76" xfId="0" applyFont="1" applyFill="1" applyBorder="1" applyAlignment="1">
      <alignment horizontal="left" vertical="center"/>
    </xf>
    <xf numFmtId="0" fontId="107" fillId="6" borderId="9" xfId="0" applyFont="1" applyFill="1" applyBorder="1" applyAlignment="1">
      <alignment horizontal="left" vertical="center"/>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28" fillId="0" borderId="44" xfId="0" applyFont="1" applyBorder="1" applyAlignment="1" applyProtection="1">
      <alignment horizontal="center" vertical="center" wrapText="1"/>
      <protection locked="0"/>
    </xf>
    <xf numFmtId="0" fontId="272" fillId="0" borderId="44"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49" fontId="274" fillId="12" borderId="4" xfId="0" applyNumberFormat="1" applyFont="1" applyFill="1" applyBorder="1" applyAlignment="1" applyProtection="1">
      <alignment horizontal="left" vertical="center"/>
      <protection locked="0"/>
    </xf>
    <xf numFmtId="0" fontId="77" fillId="7" borderId="54" xfId="0" applyFont="1" applyFill="1" applyBorder="1" applyAlignment="1" applyProtection="1">
      <alignment vertical="center" wrapText="1"/>
      <protection locked="0"/>
    </xf>
    <xf numFmtId="0" fontId="128" fillId="12" borderId="0" xfId="0" applyFont="1" applyFill="1" applyProtection="1">
      <alignment vertical="center"/>
      <protection locked="0"/>
    </xf>
    <xf numFmtId="0" fontId="273" fillId="6" borderId="0" xfId="0" applyFont="1" applyFill="1" applyProtection="1">
      <alignment vertical="center"/>
      <protection locked="0"/>
    </xf>
    <xf numFmtId="0" fontId="77" fillId="6" borderId="0" xfId="0" applyFont="1" applyFill="1" applyProtection="1">
      <alignment vertical="center"/>
      <protection locked="0"/>
    </xf>
    <xf numFmtId="0" fontId="94" fillId="0" borderId="44" xfId="0" applyFont="1" applyBorder="1" applyAlignment="1" applyProtection="1">
      <alignment horizontal="center" vertical="center" wrapText="1"/>
      <protection locked="0"/>
    </xf>
    <xf numFmtId="0" fontId="100" fillId="6" borderId="1" xfId="0" applyFont="1" applyFill="1" applyBorder="1" applyAlignment="1">
      <alignment horizontal="left" vertical="center" wrapText="1"/>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7" xfId="0" applyFont="1" applyBorder="1" applyAlignment="1" applyProtection="1">
      <alignment horizontal="center" vertical="center" wrapText="1"/>
      <protection locked="0"/>
    </xf>
    <xf numFmtId="0" fontId="208" fillId="0" borderId="48"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23" xfId="0" applyFont="1" applyFill="1" applyBorder="1" applyAlignment="1">
      <alignment horizontal="center" vertical="center"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37"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 xfId="0" applyFont="1" applyFill="1" applyBorder="1" applyAlignment="1">
      <alignment horizontal="center" vertical="center" wrapText="1"/>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9" xfId="0" applyFont="1" applyFill="1" applyBorder="1" applyAlignment="1">
      <alignment horizontal="left" vertical="center"/>
    </xf>
    <xf numFmtId="0" fontId="107" fillId="6" borderId="1" xfId="0" applyFont="1" applyFill="1" applyBorder="1" applyAlignment="1">
      <alignment horizontal="left" vertical="center"/>
    </xf>
    <xf numFmtId="0" fontId="107" fillId="6" borderId="32"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s>
</file>

<file path=xl/drawings/_rels/drawing3.xml.rels><?xml version="1.0" encoding="UTF-8" standalone="yes"?>
<Relationships xmlns="http://schemas.openxmlformats.org/package/2006/relationships"><Relationship Id="rId2" Type="http://schemas.openxmlformats.org/officeDocument/2006/relationships/image" Target="../media/image12.png"/><Relationship Id="rId1" Type="http://schemas.openxmlformats.org/officeDocument/2006/relationships/image" Target="../media/image1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110509</xdr:colOff>
      <xdr:row>20</xdr:row>
      <xdr:rowOff>171450</xdr:rowOff>
    </xdr:from>
    <xdr:to>
      <xdr:col>21</xdr:col>
      <xdr:colOff>343413</xdr:colOff>
      <xdr:row>34</xdr:row>
      <xdr:rowOff>167371</xdr:rowOff>
    </xdr:to>
    <xdr:pic>
      <xdr:nvPicPr>
        <xdr:cNvPr id="2" name="图片 1">
          <a:extLst>
            <a:ext uri="{FF2B5EF4-FFF2-40B4-BE49-F238E27FC236}">
              <a16:creationId xmlns:a16="http://schemas.microsoft.com/office/drawing/2014/main" id="{94DFE4CD-C1A3-121A-CC62-2C4A366172C9}"/>
            </a:ext>
          </a:extLst>
        </xdr:cNvPr>
        <xdr:cNvPicPr>
          <a:picLocks noChangeAspect="1"/>
        </xdr:cNvPicPr>
      </xdr:nvPicPr>
      <xdr:blipFill>
        <a:blip xmlns:r="http://schemas.openxmlformats.org/officeDocument/2006/relationships" r:embed="rId1"/>
        <a:stretch>
          <a:fillRect/>
        </a:stretch>
      </xdr:blipFill>
      <xdr:spPr>
        <a:xfrm>
          <a:off x="6225559" y="4356100"/>
          <a:ext cx="10608804" cy="360272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6350</xdr:colOff>
      <xdr:row>0</xdr:row>
      <xdr:rowOff>0</xdr:rowOff>
    </xdr:from>
    <xdr:to>
      <xdr:col>14</xdr:col>
      <xdr:colOff>78789</xdr:colOff>
      <xdr:row>42</xdr:row>
      <xdr:rowOff>166948</xdr:rowOff>
    </xdr:to>
    <xdr:pic>
      <xdr:nvPicPr>
        <xdr:cNvPr id="2" name="图片 1">
          <a:extLst>
            <a:ext uri="{FF2B5EF4-FFF2-40B4-BE49-F238E27FC236}">
              <a16:creationId xmlns:a16="http://schemas.microsoft.com/office/drawing/2014/main" id="{8D3ECE90-44CE-5BE2-0833-AB90491CD314}"/>
            </a:ext>
          </a:extLst>
        </xdr:cNvPr>
        <xdr:cNvPicPr>
          <a:picLocks noChangeAspect="1"/>
        </xdr:cNvPicPr>
      </xdr:nvPicPr>
      <xdr:blipFill>
        <a:blip xmlns:r="http://schemas.openxmlformats.org/officeDocument/2006/relationships" r:embed="rId1"/>
        <a:stretch>
          <a:fillRect/>
        </a:stretch>
      </xdr:blipFill>
      <xdr:spPr>
        <a:xfrm>
          <a:off x="6350" y="0"/>
          <a:ext cx="8606839" cy="7634548"/>
        </a:xfrm>
        <a:prstGeom prst="rect">
          <a:avLst/>
        </a:prstGeom>
      </xdr:spPr>
    </xdr:pic>
    <xdr:clientData/>
  </xdr:twoCellAnchor>
  <xdr:twoCellAnchor editAs="oneCell">
    <xdr:from>
      <xdr:col>0</xdr:col>
      <xdr:colOff>0</xdr:colOff>
      <xdr:row>44</xdr:row>
      <xdr:rowOff>0</xdr:rowOff>
    </xdr:from>
    <xdr:to>
      <xdr:col>15</xdr:col>
      <xdr:colOff>27428</xdr:colOff>
      <xdr:row>95</xdr:row>
      <xdr:rowOff>75057</xdr:rowOff>
    </xdr:to>
    <xdr:pic>
      <xdr:nvPicPr>
        <xdr:cNvPr id="3" name="图片 2">
          <a:extLst>
            <a:ext uri="{FF2B5EF4-FFF2-40B4-BE49-F238E27FC236}">
              <a16:creationId xmlns:a16="http://schemas.microsoft.com/office/drawing/2014/main" id="{01A95262-5780-EA55-F727-2DA9D59F5787}"/>
            </a:ext>
          </a:extLst>
        </xdr:cNvPr>
        <xdr:cNvPicPr>
          <a:picLocks noChangeAspect="1"/>
        </xdr:cNvPicPr>
      </xdr:nvPicPr>
      <xdr:blipFill>
        <a:blip xmlns:r="http://schemas.openxmlformats.org/officeDocument/2006/relationships" r:embed="rId2"/>
        <a:stretch>
          <a:fillRect/>
        </a:stretch>
      </xdr:blipFill>
      <xdr:spPr>
        <a:xfrm>
          <a:off x="0" y="7823200"/>
          <a:ext cx="9171428" cy="9142857"/>
        </a:xfrm>
        <a:prstGeom prst="rect">
          <a:avLst/>
        </a:prstGeom>
      </xdr:spPr>
    </xdr:pic>
    <xdr:clientData/>
  </xdr:twoCellAnchor>
  <xdr:twoCellAnchor editAs="oneCell">
    <xdr:from>
      <xdr:col>0</xdr:col>
      <xdr:colOff>0</xdr:colOff>
      <xdr:row>96</xdr:row>
      <xdr:rowOff>0</xdr:rowOff>
    </xdr:from>
    <xdr:to>
      <xdr:col>14</xdr:col>
      <xdr:colOff>608457</xdr:colOff>
      <xdr:row>147</xdr:row>
      <xdr:rowOff>75057</xdr:rowOff>
    </xdr:to>
    <xdr:pic>
      <xdr:nvPicPr>
        <xdr:cNvPr id="4" name="图片 3">
          <a:extLst>
            <a:ext uri="{FF2B5EF4-FFF2-40B4-BE49-F238E27FC236}">
              <a16:creationId xmlns:a16="http://schemas.microsoft.com/office/drawing/2014/main" id="{4F9DC1EB-CA64-1C8C-EC91-EE2457319E4F}"/>
            </a:ext>
          </a:extLst>
        </xdr:cNvPr>
        <xdr:cNvPicPr>
          <a:picLocks noChangeAspect="1"/>
        </xdr:cNvPicPr>
      </xdr:nvPicPr>
      <xdr:blipFill>
        <a:blip xmlns:r="http://schemas.openxmlformats.org/officeDocument/2006/relationships" r:embed="rId3"/>
        <a:stretch>
          <a:fillRect/>
        </a:stretch>
      </xdr:blipFill>
      <xdr:spPr>
        <a:xfrm>
          <a:off x="0" y="17068800"/>
          <a:ext cx="9142857" cy="9142857"/>
        </a:xfrm>
        <a:prstGeom prst="rect">
          <a:avLst/>
        </a:prstGeom>
      </xdr:spPr>
    </xdr:pic>
    <xdr:clientData/>
  </xdr:twoCellAnchor>
  <xdr:twoCellAnchor editAs="oneCell">
    <xdr:from>
      <xdr:col>0</xdr:col>
      <xdr:colOff>0</xdr:colOff>
      <xdr:row>147</xdr:row>
      <xdr:rowOff>50800</xdr:rowOff>
    </xdr:from>
    <xdr:to>
      <xdr:col>14</xdr:col>
      <xdr:colOff>227211</xdr:colOff>
      <xdr:row>197</xdr:row>
      <xdr:rowOff>30578</xdr:rowOff>
    </xdr:to>
    <xdr:pic>
      <xdr:nvPicPr>
        <xdr:cNvPr id="5" name="图片 4">
          <a:extLst>
            <a:ext uri="{FF2B5EF4-FFF2-40B4-BE49-F238E27FC236}">
              <a16:creationId xmlns:a16="http://schemas.microsoft.com/office/drawing/2014/main" id="{6DD37C22-9C18-0DCF-F002-098798C9F254}"/>
            </a:ext>
          </a:extLst>
        </xdr:cNvPr>
        <xdr:cNvPicPr>
          <a:picLocks noChangeAspect="1"/>
        </xdr:cNvPicPr>
      </xdr:nvPicPr>
      <xdr:blipFill>
        <a:blip xmlns:r="http://schemas.openxmlformats.org/officeDocument/2006/relationships" r:embed="rId4"/>
        <a:stretch>
          <a:fillRect/>
        </a:stretch>
      </xdr:blipFill>
      <xdr:spPr>
        <a:xfrm>
          <a:off x="0" y="26187400"/>
          <a:ext cx="8761611" cy="8869778"/>
        </a:xfrm>
        <a:prstGeom prst="rect">
          <a:avLst/>
        </a:prstGeom>
      </xdr:spPr>
    </xdr:pic>
    <xdr:clientData/>
  </xdr:twoCellAnchor>
  <xdr:twoCellAnchor editAs="oneCell">
    <xdr:from>
      <xdr:col>17</xdr:col>
      <xdr:colOff>463550</xdr:colOff>
      <xdr:row>0</xdr:row>
      <xdr:rowOff>0</xdr:rowOff>
    </xdr:from>
    <xdr:to>
      <xdr:col>32</xdr:col>
      <xdr:colOff>148121</xdr:colOff>
      <xdr:row>57</xdr:row>
      <xdr:rowOff>151114</xdr:rowOff>
    </xdr:to>
    <xdr:pic>
      <xdr:nvPicPr>
        <xdr:cNvPr id="6" name="图片 5">
          <a:extLst>
            <a:ext uri="{FF2B5EF4-FFF2-40B4-BE49-F238E27FC236}">
              <a16:creationId xmlns:a16="http://schemas.microsoft.com/office/drawing/2014/main" id="{61BBC722-E385-F2E2-3B0C-BC8109C68850}"/>
            </a:ext>
          </a:extLst>
        </xdr:cNvPr>
        <xdr:cNvPicPr>
          <a:picLocks noChangeAspect="1"/>
        </xdr:cNvPicPr>
      </xdr:nvPicPr>
      <xdr:blipFill>
        <a:blip xmlns:r="http://schemas.openxmlformats.org/officeDocument/2006/relationships" r:embed="rId5"/>
        <a:stretch>
          <a:fillRect/>
        </a:stretch>
      </xdr:blipFill>
      <xdr:spPr>
        <a:xfrm>
          <a:off x="10826750" y="0"/>
          <a:ext cx="8828571" cy="10285714"/>
        </a:xfrm>
        <a:prstGeom prst="rect">
          <a:avLst/>
        </a:prstGeom>
      </xdr:spPr>
    </xdr:pic>
    <xdr:clientData/>
  </xdr:twoCellAnchor>
  <xdr:twoCellAnchor editAs="oneCell">
    <xdr:from>
      <xdr:col>17</xdr:col>
      <xdr:colOff>398312</xdr:colOff>
      <xdr:row>57</xdr:row>
      <xdr:rowOff>156914</xdr:rowOff>
    </xdr:from>
    <xdr:to>
      <xdr:col>32</xdr:col>
      <xdr:colOff>101599</xdr:colOff>
      <xdr:row>113</xdr:row>
      <xdr:rowOff>27322</xdr:rowOff>
    </xdr:to>
    <xdr:pic>
      <xdr:nvPicPr>
        <xdr:cNvPr id="7" name="图片 6">
          <a:extLst>
            <a:ext uri="{FF2B5EF4-FFF2-40B4-BE49-F238E27FC236}">
              <a16:creationId xmlns:a16="http://schemas.microsoft.com/office/drawing/2014/main" id="{A0A25BC5-F2E1-6236-DF7B-0E1CD1EF51B2}"/>
            </a:ext>
          </a:extLst>
        </xdr:cNvPr>
        <xdr:cNvPicPr>
          <a:picLocks noChangeAspect="1"/>
        </xdr:cNvPicPr>
      </xdr:nvPicPr>
      <xdr:blipFill>
        <a:blip xmlns:r="http://schemas.openxmlformats.org/officeDocument/2006/relationships" r:embed="rId6"/>
        <a:stretch>
          <a:fillRect/>
        </a:stretch>
      </xdr:blipFill>
      <xdr:spPr>
        <a:xfrm>
          <a:off x="10761512" y="10291514"/>
          <a:ext cx="8847287" cy="9827208"/>
        </a:xfrm>
        <a:prstGeom prst="rect">
          <a:avLst/>
        </a:prstGeom>
      </xdr:spPr>
    </xdr:pic>
    <xdr:clientData/>
  </xdr:twoCellAnchor>
  <xdr:twoCellAnchor editAs="oneCell">
    <xdr:from>
      <xdr:col>18</xdr:col>
      <xdr:colOff>0</xdr:colOff>
      <xdr:row>115</xdr:row>
      <xdr:rowOff>0</xdr:rowOff>
    </xdr:from>
    <xdr:to>
      <xdr:col>33</xdr:col>
      <xdr:colOff>84571</xdr:colOff>
      <xdr:row>163</xdr:row>
      <xdr:rowOff>65600</xdr:rowOff>
    </xdr:to>
    <xdr:pic>
      <xdr:nvPicPr>
        <xdr:cNvPr id="10" name="图片 9">
          <a:extLst>
            <a:ext uri="{FF2B5EF4-FFF2-40B4-BE49-F238E27FC236}">
              <a16:creationId xmlns:a16="http://schemas.microsoft.com/office/drawing/2014/main" id="{C91D2FBB-EAF4-4C06-8217-5D6DE45D40D6}"/>
            </a:ext>
          </a:extLst>
        </xdr:cNvPr>
        <xdr:cNvPicPr>
          <a:picLocks noChangeAspect="1"/>
        </xdr:cNvPicPr>
      </xdr:nvPicPr>
      <xdr:blipFill>
        <a:blip xmlns:r="http://schemas.openxmlformats.org/officeDocument/2006/relationships" r:embed="rId7"/>
        <a:stretch>
          <a:fillRect/>
        </a:stretch>
      </xdr:blipFill>
      <xdr:spPr>
        <a:xfrm>
          <a:off x="10972800" y="20447000"/>
          <a:ext cx="9228571" cy="8600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130599</xdr:colOff>
      <xdr:row>0</xdr:row>
      <xdr:rowOff>0</xdr:rowOff>
    </xdr:from>
    <xdr:to>
      <xdr:col>8</xdr:col>
      <xdr:colOff>12254</xdr:colOff>
      <xdr:row>38</xdr:row>
      <xdr:rowOff>65671</xdr:rowOff>
    </xdr:to>
    <xdr:pic>
      <xdr:nvPicPr>
        <xdr:cNvPr id="3" name="图片 2">
          <a:extLst>
            <a:ext uri="{FF2B5EF4-FFF2-40B4-BE49-F238E27FC236}">
              <a16:creationId xmlns:a16="http://schemas.microsoft.com/office/drawing/2014/main" id="{37556C17-F415-405F-AD36-4E8D5B061014}"/>
            </a:ext>
          </a:extLst>
        </xdr:cNvPr>
        <xdr:cNvPicPr>
          <a:picLocks noChangeAspect="1"/>
        </xdr:cNvPicPr>
      </xdr:nvPicPr>
      <xdr:blipFill>
        <a:blip xmlns:r="http://schemas.openxmlformats.org/officeDocument/2006/relationships" r:embed="rId1"/>
        <a:stretch>
          <a:fillRect/>
        </a:stretch>
      </xdr:blipFill>
      <xdr:spPr>
        <a:xfrm>
          <a:off x="130599" y="0"/>
          <a:ext cx="4758455" cy="6822071"/>
        </a:xfrm>
        <a:prstGeom prst="rect">
          <a:avLst/>
        </a:prstGeom>
      </xdr:spPr>
    </xdr:pic>
    <xdr:clientData/>
  </xdr:twoCellAnchor>
  <xdr:twoCellAnchor editAs="oneCell">
    <xdr:from>
      <xdr:col>0</xdr:col>
      <xdr:colOff>0</xdr:colOff>
      <xdr:row>38</xdr:row>
      <xdr:rowOff>12700</xdr:rowOff>
    </xdr:from>
    <xdr:to>
      <xdr:col>16</xdr:col>
      <xdr:colOff>271275</xdr:colOff>
      <xdr:row>62</xdr:row>
      <xdr:rowOff>157857</xdr:rowOff>
    </xdr:to>
    <xdr:pic>
      <xdr:nvPicPr>
        <xdr:cNvPr id="4" name="图片 3">
          <a:extLst>
            <a:ext uri="{FF2B5EF4-FFF2-40B4-BE49-F238E27FC236}">
              <a16:creationId xmlns:a16="http://schemas.microsoft.com/office/drawing/2014/main" id="{84D1EA8C-F061-4A6E-AEBC-DC41C56D4E7B}"/>
            </a:ext>
          </a:extLst>
        </xdr:cNvPr>
        <xdr:cNvPicPr>
          <a:picLocks noChangeAspect="1"/>
        </xdr:cNvPicPr>
      </xdr:nvPicPr>
      <xdr:blipFill>
        <a:blip xmlns:r="http://schemas.openxmlformats.org/officeDocument/2006/relationships" r:embed="rId2"/>
        <a:stretch>
          <a:fillRect/>
        </a:stretch>
      </xdr:blipFill>
      <xdr:spPr>
        <a:xfrm>
          <a:off x="0" y="6769100"/>
          <a:ext cx="10024875" cy="441235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
  <cols>
    <col min="1" max="1" width="35.6328125" style="1112" customWidth="1"/>
    <col min="2" max="2" width="81" style="1128" customWidth="1"/>
    <col min="3" max="16384" width="9" style="1121"/>
  </cols>
  <sheetData>
    <row r="1" spans="1:2" s="1115" customFormat="1" ht="16" thickBot="1">
      <c r="A1" s="1114" t="s">
        <v>521</v>
      </c>
      <c r="B1" s="1113" t="s">
        <v>600</v>
      </c>
    </row>
    <row r="2" spans="1:2" s="1118" customFormat="1" ht="15.5" thickTop="1">
      <c r="A2" s="1116" t="s">
        <v>522</v>
      </c>
      <c r="B2" s="1117" t="str">
        <f>'预评函-封皮'!B37:I37</f>
        <v>北京市朝阳区望京园603号楼8层907房地产抵押价值预评估</v>
      </c>
    </row>
    <row r="3" spans="1:2">
      <c r="A3" s="1119" t="s">
        <v>523</v>
      </c>
      <c r="B3" s="1120">
        <f>'预评函-封皮'!B40</f>
        <v>0</v>
      </c>
    </row>
    <row r="4" spans="1:2">
      <c r="A4" s="1119" t="s">
        <v>524</v>
      </c>
      <c r="B4" s="1120" t="str">
        <f>'预评函-封皮'!B46</f>
        <v>（注册号：0)、（注册号：0)</v>
      </c>
    </row>
    <row r="5" spans="1:2" s="1115" customFormat="1" ht="15.5" thickBot="1">
      <c r="A5" s="1122" t="s">
        <v>525</v>
      </c>
      <c r="B5" s="1123" t="str">
        <f>'预评函-封皮'!B49</f>
        <v>康正预评字号</v>
      </c>
    </row>
    <row r="6" spans="1:2" s="1118" customFormat="1" ht="15.5" thickTop="1">
      <c r="A6" s="1116" t="s">
        <v>526</v>
      </c>
      <c r="B6" s="1117" t="str">
        <f>'预评函-1'!A4</f>
        <v>受贵公司委托，我公司对北京市朝阳区望京园603号楼8层907房地产抵押价值进行了预评估。</v>
      </c>
    </row>
    <row r="7" spans="1:2">
      <c r="A7" s="1119" t="s">
        <v>566</v>
      </c>
      <c r="B7" s="1120" t="str">
        <f>'预评函-1'!A7</f>
        <v>估价对象为北京市朝阳区望京园603号楼8层907房地产，为曲洋所有。根据《国有土地使用证》[]，估价对象（分摊）出让国有建设用地使用权面积为0平方米，建筑面积为55.89平方米。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朝阳区望京园603号楼8层907房地产,属曲洋开发建设的办公项目，该项目尚在开发建设中。根据《国有土地使用证》[]，估价对象（分摊）出让国有建设用地使用权面积为0平方米，规划建筑面积为55.89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朝阳区望京园603号楼8层907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2025年10月20日</v>
      </c>
    </row>
    <row r="13" spans="1:2">
      <c r="A13" s="1119" t="s">
        <v>529</v>
      </c>
      <c r="B13" s="1120" t="str">
        <f>'预评函-1'!A18</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15" customFormat="1" ht="15.5" thickBot="1">
      <c r="A18" s="1122" t="s">
        <v>534</v>
      </c>
      <c r="B18" s="1123" t="str">
        <f>'预评函-1'!A24</f>
        <v>本次评估采用的主估价方法为比较法和收益法。</v>
      </c>
    </row>
    <row r="19" spans="1:2" s="1118" customFormat="1" ht="15.5"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123.41</v>
      </c>
    </row>
    <row r="21" spans="1:2">
      <c r="A21" s="1119" t="s">
        <v>537</v>
      </c>
      <c r="B21" s="1120">
        <f ca="1">'预评函-2'!D7</f>
        <v>22080</v>
      </c>
    </row>
    <row r="22" spans="1:2">
      <c r="A22" s="1119" t="s">
        <v>538</v>
      </c>
      <c r="B22" s="1120" t="str">
        <f ca="1">'预评函-2'!D6</f>
        <v>壹佰贰拾叁万肆仟壹佰元整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123.41</v>
      </c>
    </row>
    <row r="31" spans="1:2">
      <c r="A31" s="1119" t="s">
        <v>576</v>
      </c>
      <c r="B31" s="1120">
        <f ca="1">'预评函-2'!D15</f>
        <v>22080</v>
      </c>
    </row>
    <row r="32" spans="1:2">
      <c r="A32" s="1119" t="s">
        <v>543</v>
      </c>
      <c r="B32" s="1120" t="str">
        <f ca="1">'预评函-2'!D14</f>
        <v>壹佰贰拾叁万肆仟壹佰元整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北京市朝阳区望京园603号楼8层907房地产</v>
      </c>
    </row>
    <row r="42" spans="1:2" ht="30">
      <c r="A42" s="1119" t="s">
        <v>590</v>
      </c>
      <c r="B42" s="1120" t="str">
        <f>'预评函-3'!B2</f>
        <v>建筑面积</v>
      </c>
    </row>
    <row r="43" spans="1:2">
      <c r="A43" s="1119" t="s">
        <v>591</v>
      </c>
      <c r="B43" s="1120">
        <f>'预评函-3'!B4</f>
        <v>55.89</v>
      </c>
    </row>
    <row r="44" spans="1:2" ht="30">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5.5" thickBot="1">
      <c r="A57" s="1122" t="s">
        <v>599</v>
      </c>
      <c r="B57" s="1123" t="str">
        <f>'预评函-3'!A6</f>
        <v>估价师知悉的法定优先受偿款</v>
      </c>
    </row>
    <row r="58" spans="1:2" s="1118" customFormat="1" ht="15.5"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5.5" thickBot="1">
      <c r="A69" s="1122" t="s">
        <v>561</v>
      </c>
      <c r="B69" s="1124">
        <f>'预评函-4'!C31</f>
        <v>42551</v>
      </c>
    </row>
    <row r="70" spans="1:2" ht="15.5" thickTop="1">
      <c r="A70" s="1125" t="s">
        <v>562</v>
      </c>
      <c r="B70" s="1126">
        <f>'预评函-4'!A4</f>
        <v>0</v>
      </c>
    </row>
    <row r="71" spans="1:2">
      <c r="A71" s="1119" t="s">
        <v>563</v>
      </c>
      <c r="B71" s="1120">
        <f>'预评函-4'!B4</f>
        <v>0</v>
      </c>
    </row>
    <row r="72" spans="1:2">
      <c r="A72" s="1119" t="s">
        <v>564</v>
      </c>
      <c r="B72" s="1127">
        <f>'预评函-4'!A5</f>
        <v>0</v>
      </c>
    </row>
    <row r="73" spans="1:2" s="1115" customFormat="1" ht="15.5" thickBot="1">
      <c r="A73" s="1122" t="s">
        <v>565</v>
      </c>
      <c r="B73" s="1123">
        <f>'预评函-4'!B5</f>
        <v>0</v>
      </c>
    </row>
    <row r="74" spans="1:2" ht="15.5"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X1" sqref="X1:AB1048576"/>
    </sheetView>
  </sheetViews>
  <sheetFormatPr defaultColWidth="9" defaultRowHeight="14"/>
  <cols>
    <col min="1" max="1" width="13.453125" style="1448" customWidth="1"/>
    <col min="2" max="2" width="23.26953125" style="1405" customWidth="1"/>
    <col min="3" max="3" width="13" style="1445" customWidth="1"/>
    <col min="4" max="4" width="5.7265625" style="1443" customWidth="1"/>
    <col min="5" max="5" width="7.08984375" style="1443" customWidth="1"/>
    <col min="6" max="6" width="10.6328125" style="1443" customWidth="1"/>
    <col min="7" max="7" width="7.453125" style="1443" customWidth="1"/>
    <col min="8" max="8" width="11.90625" style="1445" customWidth="1"/>
    <col min="9" max="9" width="11.6328125" style="1445" customWidth="1"/>
    <col min="10" max="10" width="9" style="1445" customWidth="1"/>
    <col min="11" max="19" width="9" style="1443" customWidth="1"/>
    <col min="20" max="23" width="9" style="1445" customWidth="1"/>
    <col min="24" max="28" width="15.08984375" style="1445" customWidth="1"/>
    <col min="29" max="16384" width="9" style="1405"/>
  </cols>
  <sheetData>
    <row r="1" spans="1:28" s="1440" customFormat="1" ht="42">
      <c r="A1" s="1436" t="s">
        <v>44</v>
      </c>
      <c r="B1" s="1437" t="s">
        <v>977</v>
      </c>
      <c r="C1" s="1438" t="s">
        <v>314</v>
      </c>
      <c r="D1" s="1439" t="s">
        <v>3349</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c r="X1" s="1438" t="s">
        <v>673</v>
      </c>
      <c r="Y1" s="1438" t="s">
        <v>21</v>
      </c>
      <c r="Z1" s="1438" t="s">
        <v>3403</v>
      </c>
      <c r="AA1" s="1438" t="s">
        <v>3402</v>
      </c>
      <c r="AB1" s="1438" t="s">
        <v>3</v>
      </c>
    </row>
    <row r="2" spans="1:28">
      <c r="A2" s="1441" t="s">
        <v>19</v>
      </c>
      <c r="B2" s="1441" t="s">
        <v>993</v>
      </c>
      <c r="C2" s="1442" t="s">
        <v>315</v>
      </c>
      <c r="D2" s="1443" t="s">
        <v>994</v>
      </c>
      <c r="E2" s="1443" t="s">
        <v>995</v>
      </c>
      <c r="F2" s="1443" t="s">
        <v>996</v>
      </c>
      <c r="G2" s="1443">
        <v>20</v>
      </c>
      <c r="H2" s="1443" t="s">
        <v>996</v>
      </c>
      <c r="I2" s="1443" t="s">
        <v>3335</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c r="X2" s="1445" t="s">
        <v>2439</v>
      </c>
      <c r="Y2" s="1445" t="s">
        <v>3409</v>
      </c>
      <c r="Z2" s="1445" t="s">
        <v>2452</v>
      </c>
      <c r="AA2" s="1445" t="s">
        <v>3410</v>
      </c>
      <c r="AB2" s="1445" t="s">
        <v>2479</v>
      </c>
    </row>
    <row r="3" spans="1:28">
      <c r="A3" s="1441" t="s">
        <v>1001</v>
      </c>
      <c r="B3" s="1444" t="s">
        <v>448</v>
      </c>
      <c r="C3" s="1442" t="s">
        <v>316</v>
      </c>
      <c r="D3" s="1443" t="s">
        <v>1002</v>
      </c>
      <c r="E3" s="1443" t="s">
        <v>13</v>
      </c>
      <c r="F3" s="1443" t="s">
        <v>1003</v>
      </c>
      <c r="G3" s="1443">
        <v>40</v>
      </c>
      <c r="H3" s="1443" t="s">
        <v>1003</v>
      </c>
      <c r="I3" s="1443" t="s">
        <v>3336</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c r="X3" s="1445" t="s">
        <v>2441</v>
      </c>
      <c r="Z3" s="1445" t="s">
        <v>2454</v>
      </c>
      <c r="AB3" s="1445" t="s">
        <v>2481</v>
      </c>
    </row>
    <row r="4" spans="1:28">
      <c r="A4" s="1441" t="s">
        <v>1008</v>
      </c>
      <c r="B4" s="1441" t="s">
        <v>1009</v>
      </c>
      <c r="C4" s="1442" t="s">
        <v>317</v>
      </c>
      <c r="D4" s="1443" t="s">
        <v>389</v>
      </c>
      <c r="E4" s="1443" t="s">
        <v>1010</v>
      </c>
      <c r="F4" s="1443" t="s">
        <v>1011</v>
      </c>
      <c r="G4" s="1443">
        <v>50</v>
      </c>
      <c r="H4" s="1443" t="s">
        <v>1011</v>
      </c>
      <c r="I4" s="1443" t="s">
        <v>3337</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c r="X4" s="1445" t="s">
        <v>2443</v>
      </c>
      <c r="Z4" s="1445" t="s">
        <v>2456</v>
      </c>
      <c r="AB4" s="1445" t="s">
        <v>2483</v>
      </c>
    </row>
    <row r="5" spans="1:28">
      <c r="A5" s="1441" t="s">
        <v>1014</v>
      </c>
      <c r="B5" s="1441" t="s">
        <v>1015</v>
      </c>
      <c r="C5" s="1442" t="s">
        <v>318</v>
      </c>
      <c r="F5" s="1443" t="s">
        <v>1016</v>
      </c>
      <c r="G5" s="1443">
        <v>70</v>
      </c>
      <c r="H5" s="1443" t="s">
        <v>1017</v>
      </c>
      <c r="I5" s="1443" t="s">
        <v>3338</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c r="X5" s="1445" t="s">
        <v>2445</v>
      </c>
      <c r="Z5" s="1445" t="s">
        <v>2458</v>
      </c>
      <c r="AB5" s="1445" t="s">
        <v>3411</v>
      </c>
    </row>
    <row r="6" spans="1:28">
      <c r="A6" s="1441" t="s">
        <v>1020</v>
      </c>
      <c r="B6" s="1444" t="s">
        <v>449</v>
      </c>
      <c r="C6" s="1446" t="s">
        <v>24</v>
      </c>
      <c r="F6" s="1443" t="s">
        <v>1017</v>
      </c>
      <c r="H6" s="1443" t="s">
        <v>1021</v>
      </c>
      <c r="I6" s="1443" t="s">
        <v>3339</v>
      </c>
      <c r="K6" s="1443" t="s">
        <v>1022</v>
      </c>
      <c r="L6" s="1443" t="s">
        <v>1022</v>
      </c>
      <c r="M6" s="1443" t="s">
        <v>1022</v>
      </c>
      <c r="N6" s="1443" t="s">
        <v>1022</v>
      </c>
      <c r="O6" s="1443" t="s">
        <v>1022</v>
      </c>
      <c r="P6" s="1443" t="s">
        <v>1022</v>
      </c>
      <c r="Q6" s="1443" t="s">
        <v>1022</v>
      </c>
      <c r="R6" s="1443" t="s">
        <v>446</v>
      </c>
      <c r="S6" s="1443" t="s">
        <v>1022</v>
      </c>
      <c r="T6" s="1443"/>
      <c r="U6" s="1443" t="s">
        <v>1022</v>
      </c>
      <c r="W6" s="1443" t="s">
        <v>1022</v>
      </c>
      <c r="X6" s="1445" t="s">
        <v>2447</v>
      </c>
      <c r="Z6" s="1445" t="s">
        <v>2460</v>
      </c>
      <c r="AB6" s="1445" t="s">
        <v>2486</v>
      </c>
    </row>
    <row r="7" spans="1:28">
      <c r="A7" s="1441" t="s">
        <v>1023</v>
      </c>
      <c r="B7" s="1444" t="s">
        <v>450</v>
      </c>
      <c r="C7" s="1442" t="s">
        <v>25</v>
      </c>
      <c r="F7" s="1443" t="s">
        <v>1024</v>
      </c>
      <c r="H7" s="1443" t="s">
        <v>1025</v>
      </c>
      <c r="I7" s="1443" t="s">
        <v>3340</v>
      </c>
      <c r="X7" s="1445" t="s">
        <v>2449</v>
      </c>
      <c r="Z7" s="1445" t="s">
        <v>2462</v>
      </c>
      <c r="AB7" s="1445" t="s">
        <v>2488</v>
      </c>
    </row>
    <row r="8" spans="1:28">
      <c r="A8" s="1441" t="s">
        <v>1026</v>
      </c>
      <c r="B8" s="1441" t="s">
        <v>1027</v>
      </c>
      <c r="C8" s="1442" t="s">
        <v>319</v>
      </c>
      <c r="F8" s="1443" t="s">
        <v>1028</v>
      </c>
      <c r="H8" s="1443" t="s">
        <v>2577</v>
      </c>
      <c r="I8" s="1443" t="s">
        <v>3341</v>
      </c>
      <c r="X8" s="1445" t="s">
        <v>3412</v>
      </c>
      <c r="Z8" s="1445" t="s">
        <v>2464</v>
      </c>
      <c r="AB8" s="1445" t="s">
        <v>2490</v>
      </c>
    </row>
    <row r="9" spans="1:28">
      <c r="A9" s="1441" t="s">
        <v>1029</v>
      </c>
      <c r="B9" s="1441" t="s">
        <v>1030</v>
      </c>
      <c r="C9" s="1442" t="s">
        <v>320</v>
      </c>
      <c r="F9" s="1443" t="s">
        <v>1031</v>
      </c>
      <c r="H9" s="1443"/>
      <c r="I9" s="1445" t="s">
        <v>3342</v>
      </c>
      <c r="X9" s="1445" t="s">
        <v>3413</v>
      </c>
      <c r="Z9" s="1445" t="s">
        <v>2466</v>
      </c>
      <c r="AB9" s="1445" t="s">
        <v>2492</v>
      </c>
    </row>
    <row r="10" spans="1:28">
      <c r="A10" s="1441" t="s">
        <v>1032</v>
      </c>
      <c r="B10" s="1441" t="s">
        <v>1033</v>
      </c>
      <c r="C10" s="1442" t="s">
        <v>321</v>
      </c>
      <c r="F10" s="1443" t="s">
        <v>2578</v>
      </c>
      <c r="I10" s="1445" t="s">
        <v>3343</v>
      </c>
      <c r="Z10" s="1445" t="s">
        <v>2468</v>
      </c>
      <c r="AB10" s="1445" t="s">
        <v>2494</v>
      </c>
    </row>
    <row r="11" spans="1:28">
      <c r="A11" s="1441" t="s">
        <v>1034</v>
      </c>
      <c r="B11" s="1441" t="s">
        <v>1035</v>
      </c>
      <c r="C11" s="1442" t="s">
        <v>322</v>
      </c>
      <c r="F11" s="1443" t="s">
        <v>13</v>
      </c>
      <c r="I11" s="1445" t="s">
        <v>3344</v>
      </c>
      <c r="Z11" s="1445" t="s">
        <v>2470</v>
      </c>
      <c r="AB11" s="1445" t="s">
        <v>2496</v>
      </c>
    </row>
    <row r="12" spans="1:28">
      <c r="A12" s="1441" t="s">
        <v>1036</v>
      </c>
      <c r="B12" s="1441" t="s">
        <v>1037</v>
      </c>
      <c r="C12" s="1442" t="s">
        <v>323</v>
      </c>
      <c r="I12" s="1445" t="s">
        <v>3345</v>
      </c>
      <c r="Z12" s="1445" t="s">
        <v>2472</v>
      </c>
      <c r="AB12" s="1445" t="s">
        <v>2498</v>
      </c>
    </row>
    <row r="13" spans="1:28">
      <c r="A13" s="1441" t="s">
        <v>1038</v>
      </c>
      <c r="B13" s="1441" t="s">
        <v>1039</v>
      </c>
      <c r="C13" s="1442" t="s">
        <v>324</v>
      </c>
      <c r="I13" s="1445" t="s">
        <v>3346</v>
      </c>
      <c r="Z13" s="1445" t="s">
        <v>2474</v>
      </c>
    </row>
    <row r="14" spans="1:28">
      <c r="A14" s="1441" t="s">
        <v>1040</v>
      </c>
      <c r="B14" s="1441" t="s">
        <v>1041</v>
      </c>
      <c r="C14" s="1443" t="s">
        <v>13</v>
      </c>
      <c r="I14" s="1445" t="s">
        <v>3347</v>
      </c>
      <c r="Z14" s="1445" t="s">
        <v>2476</v>
      </c>
    </row>
    <row r="15" spans="1:28">
      <c r="A15" s="1441" t="s">
        <v>1042</v>
      </c>
      <c r="B15" s="1441" t="s">
        <v>1043</v>
      </c>
      <c r="C15" s="1442"/>
      <c r="I15" s="1445" t="s">
        <v>3348</v>
      </c>
    </row>
    <row r="16" spans="1:28">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望京园603号楼8层907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21"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21"/>
      <c r="B54" s="1447" t="s">
        <v>385</v>
      </c>
      <c r="C54" s="1445" t="s">
        <v>583</v>
      </c>
    </row>
    <row r="55" spans="1:4">
      <c r="A55" s="3221"/>
      <c r="B55" s="1447" t="s">
        <v>386</v>
      </c>
      <c r="C55" s="1445" t="s">
        <v>584</v>
      </c>
    </row>
    <row r="56" spans="1:4">
      <c r="A56" s="3221"/>
      <c r="B56" s="1447" t="s">
        <v>387</v>
      </c>
      <c r="C56" s="1445" t="s">
        <v>588</v>
      </c>
    </row>
    <row r="57" spans="1:4">
      <c r="A57" s="3221"/>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6953125" defaultRowHeight="14"/>
  <cols>
    <col min="1" max="7" width="15.26953125" style="2757"/>
    <col min="8" max="8" width="5.453125" style="2757" customWidth="1"/>
    <col min="9" max="13" width="9.453125" style="2798" customWidth="1"/>
    <col min="14" max="18" width="9.453125" style="2757" customWidth="1"/>
    <col min="19" max="16384" width="15.2695312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22" t="s">
        <v>2580</v>
      </c>
      <c r="J2" s="3222"/>
      <c r="K2" s="3222"/>
      <c r="L2" s="3222"/>
      <c r="M2" s="3222"/>
      <c r="N2" s="3222"/>
      <c r="O2" s="3222"/>
      <c r="P2" s="3222"/>
      <c r="Q2" s="3222"/>
      <c r="R2" s="3222"/>
    </row>
    <row r="3" spans="1:18">
      <c r="A3" s="2761" t="s">
        <v>2501</v>
      </c>
      <c r="B3" s="2762">
        <f>项目基本情况!D3</f>
        <v>45950</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1.1599999999999999</v>
      </c>
      <c r="D5" s="2766">
        <f>IF(ISERROR(ROUND(POWER(1+E5,A5-C5)*(POWER(1+E5,C5)-1)/(POWER(1+E5,A5)-1),3)),0,ROUND(POWER(1+E5,A5-C5)*(POWER(1+E5,C5)-1)/(POWER(1+E5,A5)-1),4))</f>
        <v>5.62E-2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11.17</v>
      </c>
      <c r="D6" s="2766">
        <f>IF(ISERROR(ROUND(POWER(1+E6,A6-C6)*(POWER(1+E6,C6)-1)/(POWER(1+E6,A6)-1),3)),0,ROUND(POWER(1+E6,A6-C6)*(POWER(1+E6,C6)-1)/(POWER(1+E6,A6)-1),4))</f>
        <v>0.4128</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31.18</v>
      </c>
      <c r="D7" s="2766">
        <f>IF(ISERROR(ROUND(POWER(1+E7,A7-C7)*(POWER(1+E7,C7)-1)/(POWER(1+E7,A7)-1),3)),0,ROUND(POWER(1+E7,A7-C7)*(POWER(1+E7,C7)-1)/(POWER(1+E7,A7)-1),4))</f>
        <v>0.754</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4.5" thickBot="1">
      <c r="A18" s="2771" t="s">
        <v>2516</v>
      </c>
      <c r="B18" s="2772">
        <f>ROUND(B17*F11/F12,2)</f>
        <v>5541.87</v>
      </c>
      <c r="C18" s="2772">
        <f>ROUND(F11/F12,4)</f>
        <v>1.1521999999999999</v>
      </c>
      <c r="D18" s="2773"/>
      <c r="E18" s="2773"/>
      <c r="F18" s="2774"/>
    </row>
    <row r="19" spans="1:14" ht="14.5" thickBot="1"/>
    <row r="20" spans="1:14" s="2807" customFormat="1" ht="14.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4.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4.5" thickBot="1"/>
    <row r="49" spans="1:4">
      <c r="A49" s="2754" t="s">
        <v>3385</v>
      </c>
    </row>
    <row r="50" spans="1:4">
      <c r="A50" s="3143" t="s">
        <v>3386</v>
      </c>
      <c r="B50" s="3143" t="s">
        <v>3387</v>
      </c>
      <c r="C50" s="3143" t="s">
        <v>3388</v>
      </c>
      <c r="D50" s="3143" t="s">
        <v>3389</v>
      </c>
    </row>
    <row r="51" spans="1:4">
      <c r="A51" s="3143" t="s">
        <v>3390</v>
      </c>
      <c r="B51" s="2763">
        <f>B52+B53</f>
        <v>15000</v>
      </c>
      <c r="C51" s="3144">
        <f>D51/B51</f>
        <v>2666.6666666666665</v>
      </c>
      <c r="D51" s="2763">
        <f>D52+D53</f>
        <v>40000000</v>
      </c>
    </row>
    <row r="52" spans="1:4">
      <c r="A52" s="3145" t="s">
        <v>3391</v>
      </c>
      <c r="B52" s="3146">
        <v>10000</v>
      </c>
      <c r="C52" s="3146">
        <v>1500</v>
      </c>
      <c r="D52" s="3147">
        <f>C52*B52</f>
        <v>15000000</v>
      </c>
    </row>
    <row r="53" spans="1:4">
      <c r="A53" s="3145" t="s">
        <v>3392</v>
      </c>
      <c r="B53" s="3146">
        <v>5000</v>
      </c>
      <c r="C53" s="3146">
        <v>5000</v>
      </c>
      <c r="D53" s="3147">
        <f>C53*B53</f>
        <v>25000000</v>
      </c>
    </row>
    <row r="54" spans="1:4">
      <c r="A54" s="3143" t="s">
        <v>3393</v>
      </c>
      <c r="B54" s="2763">
        <f>B51</f>
        <v>15000</v>
      </c>
      <c r="C54" s="2769">
        <v>700</v>
      </c>
      <c r="D54" s="2763">
        <f t="shared" ref="D54:D55" si="5">C54*B54</f>
        <v>10500000</v>
      </c>
    </row>
    <row r="55" spans="1:4">
      <c r="A55" s="3143" t="s">
        <v>3394</v>
      </c>
      <c r="B55" s="2763">
        <f>B51</f>
        <v>15000</v>
      </c>
      <c r="C55" s="2769">
        <v>1500</v>
      </c>
      <c r="D55" s="2763">
        <f t="shared" si="5"/>
        <v>22500000</v>
      </c>
    </row>
    <row r="56" spans="1:4">
      <c r="A56" s="3143" t="s">
        <v>3395</v>
      </c>
      <c r="B56" s="2763">
        <f>B51</f>
        <v>15000</v>
      </c>
      <c r="C56" s="3148">
        <f>C51+C54+C55</f>
        <v>4866.6666666666661</v>
      </c>
      <c r="D56" s="2763">
        <f>D51+D54+D55</f>
        <v>73000000</v>
      </c>
    </row>
    <row r="58" spans="1:4">
      <c r="A58" s="3143" t="s">
        <v>3396</v>
      </c>
      <c r="B58" s="3149">
        <v>0.05</v>
      </c>
      <c r="C58" s="2763">
        <f>C56*(1+B58)</f>
        <v>5110</v>
      </c>
      <c r="D58" s="2763">
        <f>D56*B58</f>
        <v>3650000</v>
      </c>
    </row>
    <row r="60" spans="1:4">
      <c r="A60" s="3143" t="s">
        <v>3397</v>
      </c>
      <c r="B60" s="2769">
        <v>3500</v>
      </c>
      <c r="C60" s="2769">
        <f>C53</f>
        <v>5000</v>
      </c>
      <c r="D60" s="2763">
        <f>C60*B60</f>
        <v>17500000</v>
      </c>
    </row>
    <row r="62" spans="1:4">
      <c r="A62" s="3143" t="s">
        <v>3398</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4" sqref="D4"/>
    </sheetView>
  </sheetViews>
  <sheetFormatPr defaultColWidth="10" defaultRowHeight="12.5"/>
  <cols>
    <col min="1" max="1" width="16.90625" style="1618" customWidth="1"/>
    <col min="2" max="2" width="10" style="1618" customWidth="1"/>
    <col min="3" max="3" width="11.453125" style="1618" customWidth="1"/>
    <col min="4" max="4" width="10" style="1618" customWidth="1"/>
    <col min="5" max="5" width="12.6328125" style="1618" customWidth="1"/>
    <col min="6" max="6" width="10" style="1618" customWidth="1"/>
    <col min="7" max="7" width="10.7265625" style="1618" customWidth="1"/>
    <col min="8" max="8" width="10" style="1618" customWidth="1"/>
    <col min="9" max="9" width="11.08984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5" thickBot="1">
      <c r="A1" s="2181" t="s">
        <v>2168</v>
      </c>
      <c r="B1" s="3223" t="str">
        <f>IF(B10="北京市","北京市",C10)&amp;F10&amp;IF(结果表!G1="在建","出让国有建设用地使用权及在建建筑物",IF(结果表!G1="土地","出让国有建设用地使用权",))&amp;B9&amp;"预评估"</f>
        <v>北京市朝阳区望京园603号楼8层907房地产抵押价值预评估</v>
      </c>
      <c r="C1" s="3224"/>
      <c r="D1" s="3224"/>
      <c r="E1" s="3224"/>
      <c r="F1" s="3224"/>
      <c r="G1" s="3224"/>
      <c r="H1" s="3224"/>
      <c r="I1" s="3225"/>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北京市朝阳区望京园603号楼8层907房地产抵押价值</v>
      </c>
      <c r="T1" s="1618"/>
      <c r="U1" s="1618"/>
      <c r="V1" s="1618"/>
      <c r="W1" s="1618"/>
      <c r="X1" s="1618"/>
      <c r="Y1" s="1618"/>
      <c r="Z1" s="1618"/>
      <c r="AA1" s="1618"/>
      <c r="AB1" s="1618"/>
    </row>
    <row r="2" spans="1:30" ht="13">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北京市朝阳区望京园603号楼8层907房地产</v>
      </c>
      <c r="T2" s="1618"/>
      <c r="U2" s="1618"/>
      <c r="V2" s="1618"/>
      <c r="W2" s="1618"/>
      <c r="X2" s="1618"/>
      <c r="Y2" s="1618"/>
      <c r="Z2" s="1618"/>
      <c r="AA2" s="1618"/>
      <c r="AB2" s="1618"/>
    </row>
    <row r="3" spans="1:30" ht="13">
      <c r="A3" s="294" t="s">
        <v>2170</v>
      </c>
      <c r="B3" s="2185"/>
      <c r="C3" s="2186" t="s">
        <v>2171</v>
      </c>
      <c r="D3" s="2185">
        <v>45950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5"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5"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ht="13">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ht="13">
      <c r="A7" s="2194" t="s">
        <v>2175</v>
      </c>
      <c r="B7" s="2198"/>
      <c r="C7" s="2196"/>
      <c r="D7" s="2197"/>
      <c r="E7" s="2440"/>
      <c r="F7" s="2441"/>
      <c r="G7" s="2441"/>
      <c r="H7" s="2441"/>
      <c r="I7" s="2441"/>
      <c r="J7" s="2244"/>
      <c r="K7" s="2401"/>
      <c r="L7" s="2398"/>
      <c r="M7" s="2398"/>
      <c r="N7" s="2244"/>
      <c r="O7" s="1670"/>
      <c r="P7" s="2244"/>
      <c r="Q7" s="2244"/>
      <c r="R7" s="2244"/>
    </row>
    <row r="8" spans="1:30" ht="13">
      <c r="A8" s="2199" t="s">
        <v>2176</v>
      </c>
      <c r="B8" s="2200" t="s">
        <v>3417</v>
      </c>
      <c r="C8" s="2201"/>
      <c r="D8" s="3226" t="s">
        <v>2177</v>
      </c>
      <c r="E8" s="2202" t="s">
        <v>3418</v>
      </c>
      <c r="F8" s="2203"/>
      <c r="G8" s="2441"/>
      <c r="H8" s="2441"/>
      <c r="I8" s="2441"/>
      <c r="J8" s="2244"/>
      <c r="K8" s="2399"/>
      <c r="L8" s="2398"/>
      <c r="M8" s="2398"/>
      <c r="N8" s="2244"/>
      <c r="O8" s="1670"/>
      <c r="P8" s="2244"/>
      <c r="Q8" s="2244"/>
      <c r="R8" s="2244"/>
    </row>
    <row r="9" spans="1:30" ht="13.5" thickBot="1">
      <c r="A9" s="2204" t="s">
        <v>2178</v>
      </c>
      <c r="B9" s="2205" t="s">
        <v>3418</v>
      </c>
      <c r="C9" s="2206"/>
      <c r="D9" s="3227"/>
      <c r="E9" s="2205"/>
      <c r="F9" s="2207"/>
      <c r="G9" s="2442"/>
      <c r="H9" s="2442"/>
      <c r="I9" s="2442"/>
      <c r="J9" s="2244"/>
      <c r="K9" s="2401"/>
      <c r="L9" s="2398"/>
      <c r="M9" s="2398"/>
      <c r="N9" s="2244"/>
      <c r="O9" s="1670"/>
      <c r="P9" s="2244"/>
      <c r="Q9" s="2244"/>
      <c r="R9" s="2244"/>
    </row>
    <row r="10" spans="1:30" ht="13.5" thickTop="1">
      <c r="A10" s="2208" t="s">
        <v>2179</v>
      </c>
      <c r="B10" s="2209" t="s">
        <v>3419</v>
      </c>
      <c r="C10" s="2210"/>
      <c r="D10" s="2193"/>
      <c r="E10" s="2211" t="s">
        <v>2180</v>
      </c>
      <c r="F10" s="3174" t="s">
        <v>3461</v>
      </c>
      <c r="G10" s="2443"/>
      <c r="H10" s="2444"/>
      <c r="I10" s="2445"/>
      <c r="J10" s="2244"/>
      <c r="K10" s="2401"/>
      <c r="L10" s="2398"/>
      <c r="M10" s="2398"/>
      <c r="N10" s="2244"/>
      <c r="O10" s="1670"/>
      <c r="P10" s="2244"/>
      <c r="Q10" s="2244"/>
      <c r="R10" s="2244"/>
    </row>
    <row r="11" spans="1:30" ht="13">
      <c r="A11" s="2212" t="s">
        <v>2181</v>
      </c>
      <c r="B11" s="2213" t="s">
        <v>3420</v>
      </c>
      <c r="C11" s="3175" t="s">
        <v>3462</v>
      </c>
      <c r="D11" s="2214"/>
      <c r="E11" s="2182"/>
      <c r="F11" s="2182"/>
      <c r="G11" s="2182"/>
      <c r="H11" s="2182"/>
      <c r="I11" s="2182"/>
      <c r="J11" s="2800"/>
      <c r="K11" s="2398"/>
      <c r="L11" s="2398"/>
      <c r="M11" s="2398"/>
      <c r="N11" s="2244"/>
      <c r="O11" s="1670"/>
      <c r="P11" s="2244"/>
      <c r="Q11" s="2244"/>
      <c r="R11" s="2244"/>
    </row>
    <row r="12" spans="1:30" ht="13">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ht="13">
      <c r="A13" s="3120" t="s">
        <v>3330</v>
      </c>
      <c r="B13" s="2217" t="s">
        <v>2190</v>
      </c>
      <c r="C13" s="803"/>
      <c r="D13" s="803"/>
      <c r="E13" s="803">
        <v>56491</v>
      </c>
      <c r="F13" s="803"/>
      <c r="G13" s="803"/>
      <c r="H13" s="803"/>
      <c r="I13" s="803"/>
      <c r="J13" s="2801"/>
      <c r="K13" s="2398"/>
      <c r="L13" s="2398"/>
      <c r="M13" s="2244"/>
      <c r="N13" s="1670"/>
      <c r="O13" s="2244"/>
      <c r="P13" s="2244"/>
      <c r="Q13" s="2244"/>
      <c r="AD13" s="1618"/>
    </row>
    <row r="14" spans="1:30" ht="13">
      <c r="A14" s="1018"/>
      <c r="B14" s="2217" t="s">
        <v>2191</v>
      </c>
      <c r="C14" s="2218"/>
      <c r="D14" s="2218"/>
      <c r="E14" s="2218">
        <v>50</v>
      </c>
      <c r="F14" s="2218"/>
      <c r="G14" s="2218"/>
      <c r="H14" s="2218"/>
      <c r="I14" s="2218"/>
      <c r="J14" s="2802"/>
      <c r="K14" s="2398"/>
      <c r="L14" s="2398"/>
      <c r="M14" s="2244"/>
      <c r="N14" s="1670"/>
      <c r="O14" s="2244"/>
      <c r="P14" s="2244"/>
      <c r="Q14" s="2244"/>
      <c r="AD14" s="1618"/>
    </row>
    <row r="15" spans="1:30" ht="13">
      <c r="A15" s="312"/>
      <c r="B15" s="2219" t="s">
        <v>2192</v>
      </c>
      <c r="C15" s="2220" t="str">
        <f>IF(A13="出让",IF(C13="","",ROUNDDOWN(MIN((C13-$D$3)/365,C14),2)),C14)</f>
        <v/>
      </c>
      <c r="D15" s="2220" t="str">
        <f>IF(A13="出让",IF(D13="","",ROUNDDOWN(MIN((D13-$D$3)/365,D14),2)),D14)</f>
        <v/>
      </c>
      <c r="E15" s="2220">
        <f>IF(A13="出让",IF(E13="","",ROUNDDOWN(MIN((E13-$D$3)/365,E14),2)),E14)</f>
        <v>28.87</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ht="13">
      <c r="A16" s="2211" t="s">
        <v>2193</v>
      </c>
      <c r="B16" s="3233"/>
      <c r="C16" s="3234"/>
      <c r="D16" s="3235"/>
      <c r="E16" s="2221" t="s">
        <v>2194</v>
      </c>
      <c r="F16" s="3236"/>
      <c r="G16" s="3237"/>
      <c r="H16" s="3237"/>
      <c r="I16" s="3238"/>
      <c r="J16" s="2244"/>
      <c r="K16" s="2402"/>
      <c r="L16" s="1670"/>
      <c r="M16" s="1670"/>
      <c r="N16" s="2244"/>
      <c r="O16" s="1670"/>
      <c r="P16" s="2244"/>
      <c r="Q16" s="2244"/>
      <c r="R16" s="2244"/>
    </row>
    <row r="17" spans="1:28" ht="13">
      <c r="A17" s="305" t="s">
        <v>2195</v>
      </c>
      <c r="B17" s="294" t="s">
        <v>2196</v>
      </c>
      <c r="C17" s="8">
        <f>'数据-汇总表'!E3</f>
        <v>55.89</v>
      </c>
      <c r="D17" s="1256" t="s">
        <v>2197</v>
      </c>
      <c r="E17" s="3239" t="s">
        <v>2198</v>
      </c>
      <c r="F17" s="3240"/>
      <c r="G17" s="3240"/>
      <c r="H17" s="3240"/>
      <c r="I17" s="3241"/>
      <c r="J17" s="2244"/>
      <c r="K17" s="2403"/>
      <c r="L17" s="1670"/>
      <c r="M17" s="1670"/>
      <c r="N17" s="2244"/>
      <c r="O17" s="1670"/>
      <c r="P17" s="2244"/>
      <c r="Q17" s="2244"/>
      <c r="R17" s="2244"/>
      <c r="S17" s="2244"/>
      <c r="T17" s="2244"/>
      <c r="U17" s="2244"/>
      <c r="V17" s="2244"/>
    </row>
    <row r="18" spans="1:28" ht="26.5" thickBot="1">
      <c r="A18" s="2222" t="s">
        <v>2199</v>
      </c>
      <c r="B18" s="1027" t="s">
        <v>2200</v>
      </c>
      <c r="C18" s="2223">
        <f>'数据-汇总表'!D3</f>
        <v>0</v>
      </c>
      <c r="D18" s="1029" t="s">
        <v>2201</v>
      </c>
      <c r="E18" s="3242" t="s">
        <v>2202</v>
      </c>
      <c r="F18" s="3243"/>
      <c r="G18" s="3243"/>
      <c r="H18" s="3243"/>
      <c r="I18" s="3244"/>
      <c r="J18" s="2244"/>
      <c r="K18" s="2403"/>
      <c r="L18" s="1670"/>
      <c r="M18" s="1670"/>
      <c r="N18" s="2244"/>
      <c r="O18" s="1670"/>
      <c r="P18" s="2244"/>
      <c r="Q18" s="2244"/>
      <c r="R18" s="2244"/>
      <c r="S18" s="2244"/>
      <c r="T18" s="2244"/>
      <c r="U18" s="2244"/>
      <c r="V18" s="2244"/>
    </row>
    <row r="19" spans="1:28" ht="40" thickTop="1" thickBot="1">
      <c r="A19" s="319" t="s">
        <v>1055</v>
      </c>
      <c r="B19" s="299" t="s">
        <v>2203</v>
      </c>
      <c r="C19" s="1455" t="s">
        <v>3427</v>
      </c>
      <c r="D19" s="1456" t="s">
        <v>2204</v>
      </c>
      <c r="E19" s="1457"/>
      <c r="F19" s="1458" t="str">
        <f>IF(AND(C19="是",E19="否"),"是否提供他项权证或相关说明","")</f>
        <v/>
      </c>
      <c r="G19" s="1459"/>
      <c r="H19" s="2441"/>
      <c r="I19" s="2441"/>
      <c r="J19" s="2244"/>
      <c r="K19" s="2401"/>
      <c r="L19" s="2398"/>
      <c r="M19" s="2398"/>
      <c r="N19" s="2244"/>
      <c r="O19" s="1670"/>
      <c r="P19" s="2244"/>
      <c r="Q19" s="2244"/>
      <c r="R19" s="2244"/>
      <c r="S19" s="2244"/>
      <c r="T19" s="2244"/>
      <c r="U19" s="2244"/>
      <c r="V19" s="2244"/>
    </row>
    <row r="20" spans="1:28" ht="13">
      <c r="A20" s="2416" t="s">
        <v>2205</v>
      </c>
      <c r="B20" s="3229" t="s">
        <v>2206</v>
      </c>
      <c r="C20" s="3230"/>
      <c r="D20" s="3231" t="s">
        <v>2207</v>
      </c>
      <c r="E20" s="3232"/>
      <c r="F20" s="2429" t="s">
        <v>1056</v>
      </c>
      <c r="G20" s="2441"/>
      <c r="H20" s="2441"/>
      <c r="I20" s="2441"/>
      <c r="J20" s="2244"/>
      <c r="K20" s="3228"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26.5" thickBot="1">
      <c r="A21" s="2416"/>
      <c r="B21" s="2417" t="s">
        <v>2209</v>
      </c>
      <c r="C21" s="2295" t="s">
        <v>1057</v>
      </c>
      <c r="D21" s="1460" t="s">
        <v>2210</v>
      </c>
      <c r="E21" s="2418" t="s">
        <v>1057</v>
      </c>
      <c r="F21" s="2430"/>
      <c r="G21" s="2441"/>
      <c r="H21" s="2441"/>
      <c r="I21" s="2441"/>
      <c r="J21" s="2244"/>
      <c r="K21" s="3228"/>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26.5" thickBot="1">
      <c r="A22" s="2416"/>
      <c r="B22" s="2419" t="s">
        <v>2211</v>
      </c>
      <c r="C22" s="2295" t="s">
        <v>1058</v>
      </c>
      <c r="D22" s="2441"/>
      <c r="E22" s="2441"/>
      <c r="F22" s="2441"/>
      <c r="G22" s="2441"/>
      <c r="H22" s="2441"/>
      <c r="I22" s="2441"/>
      <c r="J22" s="2244"/>
      <c r="K22" s="3228"/>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ht="13">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ht="13">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ht="13">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5"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5" thickTop="1">
      <c r="A27" s="3246" t="s">
        <v>2214</v>
      </c>
      <c r="B27" s="312" t="s">
        <v>2215</v>
      </c>
      <c r="C27" s="2224" t="s">
        <v>3424</v>
      </c>
      <c r="D27" s="2225"/>
      <c r="E27" s="2441"/>
      <c r="F27" s="2441"/>
      <c r="G27" s="2441"/>
      <c r="H27" s="2441"/>
      <c r="I27" s="2441"/>
      <c r="J27" s="2244"/>
      <c r="K27" s="2402"/>
      <c r="L27" s="1670"/>
      <c r="M27" s="1670"/>
      <c r="N27" s="2244"/>
      <c r="O27" s="1670"/>
      <c r="P27" s="2244"/>
      <c r="Q27" s="2244"/>
      <c r="R27" s="2244"/>
      <c r="S27" s="2244"/>
      <c r="T27" s="2244"/>
      <c r="U27" s="2244"/>
      <c r="V27" s="2244"/>
    </row>
    <row r="28" spans="1:28" ht="13">
      <c r="A28" s="3246"/>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ht="13">
      <c r="A29" s="3246"/>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ht="13">
      <c r="A30" s="3247"/>
      <c r="B30" s="294" t="s">
        <v>2218</v>
      </c>
      <c r="C30" s="3248"/>
      <c r="D30" s="3249"/>
      <c r="E30" s="2441"/>
      <c r="F30" s="2441"/>
      <c r="G30" s="2441"/>
      <c r="H30" s="2441"/>
      <c r="I30" s="2441"/>
      <c r="J30" s="2244"/>
      <c r="K30" s="2401"/>
      <c r="L30" s="2398"/>
      <c r="M30" s="2398"/>
      <c r="N30" s="2244"/>
      <c r="O30" s="1670"/>
      <c r="P30" s="2244"/>
      <c r="Q30" s="2244"/>
      <c r="R30" s="2244"/>
      <c r="S30" s="2244"/>
      <c r="T30" s="2244"/>
      <c r="U30" s="2244"/>
      <c r="V30" s="2244"/>
    </row>
    <row r="31" spans="1:28">
      <c r="A31" s="3250" t="s">
        <v>2219</v>
      </c>
      <c r="B31" s="2230" t="s">
        <v>3425</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51"/>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51"/>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ht="13">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45" t="s">
        <v>2228</v>
      </c>
      <c r="T34" s="315" t="str">
        <f>NUMBERSTRING(7-K34,1)&amp;"通"</f>
        <v>七通</v>
      </c>
      <c r="U34" s="2244"/>
      <c r="V34" s="2244"/>
    </row>
    <row r="35" spans="1:30">
      <c r="A35" s="2235"/>
      <c r="B35" s="3245" t="s">
        <v>2229</v>
      </c>
      <c r="C35" s="3245"/>
      <c r="D35" s="3245"/>
      <c r="E35" s="3245"/>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45"/>
      <c r="T35" s="138" t="str">
        <f>IF(T34="一通",L35,IF(T34="二通",M35,IF(T34="三通",N35,IF(T34="四通",O35,IF(T34="五通",P35,IF(T34="六通",Q35,R35))))))</f>
        <v>、、、、、、</v>
      </c>
      <c r="U35" s="2244"/>
      <c r="V35" s="2244"/>
    </row>
    <row r="36" spans="1:30" ht="13">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ht="13">
      <c r="A37" s="2414" t="s">
        <v>2230</v>
      </c>
      <c r="B37" s="2236"/>
      <c r="C37" s="2236" t="s">
        <v>110</v>
      </c>
      <c r="D37" s="2236"/>
      <c r="E37" s="2236"/>
      <c r="F37" s="2236"/>
      <c r="G37" s="2441"/>
      <c r="H37" s="2441"/>
      <c r="I37" s="2441"/>
      <c r="J37" s="2244"/>
      <c r="K37" s="2401"/>
      <c r="L37" s="2398"/>
      <c r="M37" s="2398"/>
      <c r="N37" s="2244"/>
      <c r="O37" s="1670"/>
      <c r="P37" s="2244"/>
      <c r="Q37" s="2244"/>
      <c r="R37" s="2244"/>
      <c r="S37" s="2244"/>
      <c r="T37" s="2244"/>
      <c r="U37" s="2244"/>
      <c r="V37" s="2244"/>
    </row>
    <row r="38" spans="1:30" ht="13.5" thickBot="1">
      <c r="A38" s="2415" t="s">
        <v>2231</v>
      </c>
      <c r="B38" s="2237"/>
      <c r="C38" s="2237" t="s">
        <v>281</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ht="13">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6">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90625" defaultRowHeight="14"/>
  <cols>
    <col min="1" max="1" width="10.6328125" style="1463" customWidth="1"/>
    <col min="2" max="2" width="11" style="1463" customWidth="1"/>
    <col min="3" max="3" width="10.36328125" style="1463" customWidth="1"/>
    <col min="4" max="4" width="9.08984375" style="1463" customWidth="1"/>
    <col min="5" max="8" width="10" style="1463" customWidth="1"/>
    <col min="9" max="9" width="10.6328125" style="1463" customWidth="1"/>
    <col min="10" max="10" width="9.453125" style="1463" customWidth="1"/>
    <col min="11" max="11" width="11" style="1463" customWidth="1"/>
    <col min="12" max="14" width="9.453125" style="1463" customWidth="1"/>
    <col min="15" max="15" width="9.90625" style="1463" customWidth="1"/>
    <col min="16" max="16" width="9.7265625" style="1463" customWidth="1"/>
    <col min="17" max="17" width="9.36328125" style="1463" customWidth="1"/>
    <col min="18" max="18" width="9.26953125" style="1463" customWidth="1"/>
    <col min="19" max="19" width="10.90625" style="1463" customWidth="1"/>
    <col min="20" max="21" width="10.7265625" style="1463" customWidth="1"/>
    <col min="22" max="22" width="10.90625" style="1463" customWidth="1"/>
    <col min="23" max="27" width="10.7265625" style="1463" customWidth="1"/>
    <col min="28" max="28" width="10.90625" style="1463" customWidth="1"/>
    <col min="29" max="29" width="11" style="1463" bestFit="1" customWidth="1"/>
    <col min="30" max="30" width="10" style="1463" bestFit="1" customWidth="1"/>
    <col min="31" max="31" width="9.7265625" style="1463" customWidth="1"/>
    <col min="32" max="46" width="9.453125" style="1463" customWidth="1"/>
    <col min="47" max="47" width="18.08984375" style="1463" customWidth="1"/>
    <col min="48" max="50" width="9.7265625" style="1463" customWidth="1"/>
    <col min="51" max="55" width="10.453125" style="1463" bestFit="1" customWidth="1"/>
    <col min="56" max="56" width="9.453125" style="1463" bestFit="1" customWidth="1"/>
    <col min="57" max="63" width="9.08984375" style="1463" bestFit="1" customWidth="1"/>
    <col min="64" max="64" width="9.453125" style="1463" bestFit="1" customWidth="1"/>
    <col min="65" max="65" width="9.08984375" style="1463" bestFit="1" customWidth="1"/>
    <col min="66" max="66" width="9.453125" style="1463" bestFit="1" customWidth="1"/>
    <col min="67" max="69" width="9.08984375" style="1463" bestFit="1" customWidth="1"/>
    <col min="70" max="70" width="9.453125" style="1463" bestFit="1" customWidth="1"/>
    <col min="71" max="71" width="9" style="1463" customWidth="1"/>
    <col min="72" max="72" width="9.08984375" style="1463" bestFit="1" customWidth="1"/>
    <col min="73" max="16384" width="8.9062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6">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
      <c r="A3" s="10"/>
      <c r="B3" s="11">
        <f>IF(C3="否",G5-AT5,G5)</f>
        <v>55.89</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ht="13"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
      <c r="A5" s="12" t="s">
        <v>1071</v>
      </c>
      <c r="B5" s="1259"/>
      <c r="C5" s="1259"/>
      <c r="D5" s="1260"/>
      <c r="E5" s="13" t="s">
        <v>0</v>
      </c>
      <c r="F5" s="13">
        <f>SUM(F13:F587)</f>
        <v>0</v>
      </c>
      <c r="G5" s="13">
        <f>SUM(G13:G587)</f>
        <v>55.89</v>
      </c>
      <c r="H5" s="13">
        <f t="shared" ref="H5:AT5" si="0">SUM(H13:H656)</f>
        <v>55.89</v>
      </c>
      <c r="I5" s="13">
        <f t="shared" si="0"/>
        <v>55.89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55.89</v>
      </c>
      <c r="BA5" s="15">
        <f t="shared" si="1"/>
        <v>55.89</v>
      </c>
      <c r="BB5" s="15">
        <f t="shared" si="1"/>
        <v>55.89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6">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6">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
      <c r="A9" s="1482"/>
      <c r="B9" s="1482"/>
      <c r="C9" s="1482"/>
      <c r="D9" s="1482"/>
      <c r="E9" s="1482"/>
      <c r="F9" s="1482"/>
      <c r="G9" s="1007"/>
      <c r="H9" s="1490" t="s">
        <v>1091</v>
      </c>
      <c r="I9" s="1491" t="s">
        <v>3426</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2.5">
      <c r="A13" s="628"/>
      <c r="B13" s="628"/>
      <c r="C13" s="628">
        <v>907</v>
      </c>
      <c r="D13" s="1513" t="s">
        <v>3427</v>
      </c>
      <c r="E13" s="13">
        <f>IF($C$3="是",ROUND($A$3*G13/$B$3,2),ROUND($A$3*(G13-AT13)/$B$3,2))</f>
        <v>0</v>
      </c>
      <c r="F13" s="29"/>
      <c r="G13" s="30">
        <f>H13+AC13+AT13</f>
        <v>55.89</v>
      </c>
      <c r="H13" s="17">
        <f>SUMIF(I$12:AB$12,"总值",I13:AB13)</f>
        <v>55.89</v>
      </c>
      <c r="I13" s="1514">
        <v>55.89</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907</v>
      </c>
      <c r="AY13" s="1260">
        <f>ROUND($AY$6*AZ13/$AZ$5,2)</f>
        <v>0</v>
      </c>
      <c r="AZ13" s="13">
        <f>BA13+BL13</f>
        <v>55.89</v>
      </c>
      <c r="BA13" s="13">
        <f>SUM(BB13:BK13)</f>
        <v>55.89</v>
      </c>
      <c r="BB13" s="13">
        <f>IF($D13="是",I13-J13,0)</f>
        <v>55.89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2.5">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2.5">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2.5">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2.5">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K12" sqref="K12"/>
    </sheetView>
  </sheetViews>
  <sheetFormatPr defaultColWidth="9.26953125" defaultRowHeight="14"/>
  <cols>
    <col min="1" max="1" width="12.08984375" style="1522" customWidth="1"/>
    <col min="2" max="2" width="10.26953125" style="1522" customWidth="1"/>
    <col min="3" max="3" width="18.453125" style="1522" customWidth="1"/>
    <col min="4" max="4" width="11.6328125" style="1522" customWidth="1"/>
    <col min="5" max="5" width="13.36328125" style="1522" customWidth="1"/>
    <col min="6" max="8" width="11.453125" style="1522" customWidth="1"/>
    <col min="9" max="9" width="11.08984375" style="1522" customWidth="1"/>
    <col min="10" max="10" width="3.08984375" style="1522" customWidth="1"/>
    <col min="11" max="16" width="10" style="1522" customWidth="1"/>
    <col min="17" max="17" width="2.6328125" style="1522" customWidth="1"/>
    <col min="18" max="18" width="9.36328125" style="1522" bestFit="1" customWidth="1"/>
    <col min="19" max="19" width="10.453125" style="1522" bestFit="1" customWidth="1"/>
    <col min="20" max="16384" width="9.26953125" style="1522"/>
  </cols>
  <sheetData>
    <row r="1" spans="1:16" ht="18.5" thickBot="1">
      <c r="A1" s="1521" t="s">
        <v>1130</v>
      </c>
      <c r="B1" s="1071"/>
      <c r="C1" s="1071"/>
      <c r="D1" s="1071"/>
      <c r="E1" s="1071"/>
      <c r="F1" s="1071"/>
      <c r="G1" s="1071"/>
      <c r="H1" s="1071"/>
      <c r="I1" s="1071"/>
      <c r="J1" s="1071"/>
      <c r="K1" s="1071"/>
      <c r="L1" s="1071"/>
      <c r="M1" s="1071"/>
      <c r="N1" s="1071"/>
      <c r="O1" s="1071"/>
      <c r="P1" s="1071"/>
    </row>
    <row r="2" spans="1:16">
      <c r="A2" s="3261" t="s">
        <v>1131</v>
      </c>
      <c r="B2" s="3261"/>
      <c r="C2" s="3261"/>
      <c r="D2" s="748" t="s">
        <v>1107</v>
      </c>
      <c r="E2" s="1523" t="s">
        <v>1108</v>
      </c>
      <c r="F2" s="2438"/>
      <c r="G2" s="2431"/>
      <c r="H2" s="2432"/>
      <c r="I2" s="2146" t="s">
        <v>1132</v>
      </c>
      <c r="J2" s="2438"/>
      <c r="K2" s="2438"/>
      <c r="L2" s="2438"/>
      <c r="M2" s="2438"/>
      <c r="N2" s="2439"/>
      <c r="O2" s="2438"/>
      <c r="P2" s="2438"/>
    </row>
    <row r="3" spans="1:16" ht="14.5" thickBot="1">
      <c r="A3" s="3262" t="s">
        <v>1105</v>
      </c>
      <c r="B3" s="3262"/>
      <c r="C3" s="3262"/>
      <c r="D3" s="41">
        <f>'数据-基础表'!AY6</f>
        <v>0</v>
      </c>
      <c r="E3" s="41">
        <f>'数据-基础表'!AZ5</f>
        <v>55.89</v>
      </c>
      <c r="F3" s="2438"/>
      <c r="G3" s="42"/>
      <c r="H3" s="43" t="s">
        <v>1106</v>
      </c>
      <c r="I3" s="802" t="e">
        <f>ROUND('数据-基础表'!B3/'数据-基础表'!A3,2)</f>
        <v>#DIV/0!</v>
      </c>
      <c r="J3" s="2438"/>
      <c r="K3" s="2438"/>
      <c r="L3" s="2438"/>
      <c r="M3" s="2438"/>
      <c r="N3" s="2439"/>
      <c r="O3" s="2438"/>
      <c r="P3" s="2438"/>
    </row>
    <row r="4" spans="1:16">
      <c r="A4" s="3263"/>
      <c r="B4" s="3264"/>
      <c r="C4" s="3265"/>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c r="A5" s="42" t="s">
        <v>1109</v>
      </c>
      <c r="B5" s="3266" t="s">
        <v>1110</v>
      </c>
      <c r="C5" s="3266"/>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4.5" thickBot="1">
      <c r="A6" s="1527"/>
      <c r="B6" s="3266" t="s">
        <v>1111</v>
      </c>
      <c r="C6" s="3266"/>
      <c r="D6" s="43">
        <f>ROUND($D$3*E6/$E$3,2)</f>
        <v>0</v>
      </c>
      <c r="E6" s="44">
        <f>E3-E5</f>
        <v>55.89</v>
      </c>
      <c r="F6" s="2438"/>
      <c r="G6" s="1529" t="s">
        <v>1112</v>
      </c>
      <c r="H6" s="45" t="s">
        <v>1113</v>
      </c>
      <c r="I6" s="2434" t="e">
        <f>ROUND(F31/D31,2)</f>
        <v>#DIV/0!</v>
      </c>
      <c r="J6" s="2438"/>
      <c r="K6" s="2438"/>
      <c r="L6" s="2438"/>
      <c r="M6" s="2438"/>
      <c r="N6" s="2438"/>
      <c r="O6" s="2438"/>
      <c r="P6" s="2438"/>
    </row>
    <row r="7" spans="1:16" ht="14.5" thickBot="1">
      <c r="A7" s="3258"/>
      <c r="B7" s="3259"/>
      <c r="C7" s="3260"/>
      <c r="D7" s="1524" t="s">
        <v>1107</v>
      </c>
      <c r="E7" s="1528" t="s">
        <v>1114</v>
      </c>
      <c r="F7" s="2438"/>
      <c r="G7" s="2435" t="s">
        <v>1115</v>
      </c>
      <c r="H7" s="95"/>
      <c r="I7" s="2436">
        <v>4.59</v>
      </c>
      <c r="J7" s="3176" t="s">
        <v>3466</v>
      </c>
      <c r="K7" s="2438"/>
      <c r="L7" s="2438"/>
      <c r="M7" s="2438"/>
      <c r="N7" s="2438"/>
      <c r="O7" s="2438"/>
      <c r="P7" s="2438"/>
    </row>
    <row r="8" spans="1:16">
      <c r="A8" s="42" t="s">
        <v>1116</v>
      </c>
      <c r="B8" s="45" t="s">
        <v>1117</v>
      </c>
      <c r="C8" s="43" t="s">
        <v>1118</v>
      </c>
      <c r="D8" s="43">
        <f t="shared" ref="D8:D15" si="0">ROUND($D$3*E8/$E$3,2)</f>
        <v>0</v>
      </c>
      <c r="E8" s="46">
        <f>SUMIF('数据-基础表'!BB10:BK10,"地上",'数据-基础表'!BB5:BK5)</f>
        <v>55.89</v>
      </c>
      <c r="F8" s="2438"/>
      <c r="G8" s="2438"/>
      <c r="H8" s="2438"/>
      <c r="I8" s="2438"/>
      <c r="J8" s="2438"/>
      <c r="K8" s="2438"/>
      <c r="L8" s="2438"/>
      <c r="M8" s="2438"/>
      <c r="N8" s="2438"/>
      <c r="O8" s="2438"/>
      <c r="P8" s="2438"/>
    </row>
    <row r="9" spans="1:16">
      <c r="A9" s="1529"/>
      <c r="B9" s="1530"/>
      <c r="C9" s="43" t="s">
        <v>1119</v>
      </c>
      <c r="D9" s="43">
        <f t="shared" si="0"/>
        <v>0</v>
      </c>
      <c r="E9" s="47">
        <v>0</v>
      </c>
      <c r="F9" s="2438"/>
      <c r="G9" s="2438"/>
      <c r="H9" s="2438"/>
      <c r="I9" s="2438"/>
      <c r="J9" s="2438"/>
      <c r="K9" s="2438"/>
      <c r="L9" s="2438"/>
      <c r="M9" s="2438"/>
      <c r="N9" s="2438"/>
      <c r="O9" s="2438"/>
      <c r="P9" s="2438"/>
    </row>
    <row r="10" spans="1:16">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4.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4.5" thickBot="1">
      <c r="A16" s="1527"/>
      <c r="B16" s="1530"/>
      <c r="C16" s="45" t="s">
        <v>1123</v>
      </c>
      <c r="D16" s="45">
        <f>SUM(D8:D15)</f>
        <v>0</v>
      </c>
      <c r="E16" s="48">
        <f>SUM(E8:E15)</f>
        <v>55.89</v>
      </c>
      <c r="F16" s="2438"/>
      <c r="G16" s="2438"/>
      <c r="H16" s="1531" t="s">
        <v>1135</v>
      </c>
      <c r="I16" s="1532"/>
      <c r="J16" s="1071"/>
      <c r="K16" s="3255" t="s">
        <v>1135</v>
      </c>
      <c r="L16" s="3256"/>
      <c r="M16" s="3256"/>
      <c r="N16" s="3256"/>
      <c r="O16" s="3256"/>
      <c r="P16" s="3257"/>
    </row>
    <row r="17" spans="1:19">
      <c r="A17" s="1533" t="s">
        <v>1136</v>
      </c>
      <c r="B17" s="1534" t="s">
        <v>1137</v>
      </c>
      <c r="C17" s="1535" t="s">
        <v>1138</v>
      </c>
      <c r="D17" s="1536" t="s">
        <v>1126</v>
      </c>
      <c r="E17" s="1537" t="s">
        <v>1127</v>
      </c>
      <c r="F17" s="1538"/>
      <c r="G17" s="1539"/>
      <c r="H17" s="1540" t="s">
        <v>1139</v>
      </c>
      <c r="I17" s="1541" t="s">
        <v>1124</v>
      </c>
      <c r="J17" s="1071"/>
      <c r="K17" s="3252" t="s">
        <v>1140</v>
      </c>
      <c r="L17" s="3253"/>
      <c r="M17" s="3254"/>
      <c r="N17" s="3252" t="s">
        <v>1141</v>
      </c>
      <c r="O17" s="3253"/>
      <c r="P17" s="3254"/>
      <c r="R17" s="769" t="s">
        <v>1142</v>
      </c>
      <c r="S17" s="54"/>
    </row>
    <row r="18" spans="1:19">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c r="A19" s="1549"/>
      <c r="B19" s="45" t="s">
        <v>1125</v>
      </c>
      <c r="C19" s="3114" t="s">
        <v>3423</v>
      </c>
      <c r="D19" s="43">
        <f>ROUND($D$3*E19/$E$3,2)</f>
        <v>0</v>
      </c>
      <c r="E19" s="51">
        <f t="shared" ref="E19:E26" si="1">SUM(F19:G19)</f>
        <v>55.89</v>
      </c>
      <c r="F19" s="2556">
        <f>'数据-基础表'!G13</f>
        <v>55.89</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55.89</v>
      </c>
    </row>
    <row r="20" spans="1:19">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4.5" thickBot="1">
      <c r="A27" s="1549"/>
      <c r="B27" s="43"/>
      <c r="C27" s="1554" t="s">
        <v>1154</v>
      </c>
      <c r="D27" s="1072">
        <f>SUM(D19:D26)</f>
        <v>0</v>
      </c>
      <c r="E27" s="1073">
        <f>IF(SUM(E19:E26)='数据-基础表'!BA5,SUM(E19:E26),IF(F27="地上面积有误","面积有误","地下面积有误"))</f>
        <v>55.89</v>
      </c>
      <c r="F27" s="1072">
        <f>IF(SUM(F19:F26)=E8,SUM(F19:F26),"地上面积有误")</f>
        <v>55.89</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55.89</v>
      </c>
    </row>
    <row r="28" spans="1:19">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4.5" thickBot="1">
      <c r="A31" s="1557"/>
      <c r="B31" s="96"/>
      <c r="C31" s="785" t="s">
        <v>1158</v>
      </c>
      <c r="D31" s="643">
        <f>D27+D30</f>
        <v>0</v>
      </c>
      <c r="E31" s="643">
        <f>E27+E30</f>
        <v>55.89</v>
      </c>
      <c r="F31" s="644">
        <f>F27+F30</f>
        <v>55.89</v>
      </c>
      <c r="G31" s="645">
        <f>G27+G30</f>
        <v>0</v>
      </c>
      <c r="H31" s="2438"/>
      <c r="I31" s="2438"/>
      <c r="J31" s="2438"/>
      <c r="K31" s="2438"/>
      <c r="L31" s="2438"/>
      <c r="M31" s="2438"/>
      <c r="N31" s="2438"/>
      <c r="O31" s="2438"/>
      <c r="P31" s="2438"/>
    </row>
    <row r="32" spans="1:19">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I6" activePane="bottomRight" state="frozen"/>
      <selection activeCell="C50" sqref="C50"/>
      <selection pane="topRight" activeCell="C50" sqref="C50"/>
      <selection pane="bottomLeft" activeCell="C50" sqref="C50"/>
      <selection pane="bottomRight" activeCell="U7" sqref="U7"/>
    </sheetView>
  </sheetViews>
  <sheetFormatPr defaultColWidth="13.7265625" defaultRowHeight="12.5"/>
  <cols>
    <col min="1" max="1" width="20.90625" style="1618" customWidth="1"/>
    <col min="2" max="2" width="12" style="1561" customWidth="1"/>
    <col min="3" max="3" width="12.7265625" style="1561" customWidth="1"/>
    <col min="4" max="4" width="9.08984375" style="1619" customWidth="1"/>
    <col min="5" max="5" width="15" style="1561" bestFit="1" customWidth="1"/>
    <col min="6" max="10" width="8.90625" style="1561" customWidth="1"/>
    <col min="11" max="12" width="12.36328125" style="1489" customWidth="1"/>
    <col min="13" max="13" width="8.6328125" style="1561" customWidth="1"/>
    <col min="14" max="14" width="11.90625" style="1561" customWidth="1"/>
    <col min="15" max="15" width="8.453125" style="1561" customWidth="1"/>
    <col min="16" max="17" width="10.90625" style="1561" customWidth="1"/>
    <col min="18" max="19" width="12.453125" style="1561" customWidth="1"/>
    <col min="20" max="20" width="12.08984375" style="1561" customWidth="1"/>
    <col min="21" max="21" width="9.26953125" style="1561" customWidth="1"/>
    <col min="22" max="22" width="6.36328125" style="1561" customWidth="1"/>
    <col min="23" max="30" width="6.7265625" style="1561" customWidth="1"/>
    <col min="31" max="31" width="8" style="1561" customWidth="1"/>
    <col min="32" max="34" width="7.26953125" style="1561" customWidth="1"/>
    <col min="35" max="39" width="8" style="1561" customWidth="1"/>
    <col min="40" max="40" width="13.7265625" style="122"/>
    <col min="41" max="41" width="11.6328125" style="122" customWidth="1"/>
    <col min="42" max="42" width="9.7265625" style="122" customWidth="1"/>
    <col min="43" max="67" width="13.7265625" style="122"/>
    <col min="68" max="16384" width="13.726562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45950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5"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4.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43">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3421</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4">
      <c r="A6" s="1586" t="str">
        <f>'数据-汇总表'!C19</f>
        <v>办公</v>
      </c>
      <c r="B6" s="1587" t="str">
        <f>IF(A6=0,"","经营性")</f>
        <v>经营性</v>
      </c>
      <c r="C6" s="1588" t="s">
        <v>21</v>
      </c>
      <c r="D6" s="805">
        <f>SUMIF(项目基本情况!C$12:I$12,C6,项目基本情况!C$14:I$14)</f>
        <v>50</v>
      </c>
      <c r="E6" s="804">
        <f>IF(B6="","",SUMIF(项目基本情况!C$12:I$12,C6,项目基本情况!C$13:I$13))</f>
        <v>56491</v>
      </c>
      <c r="F6" s="61">
        <f>SUMIF(项目基本情况!C$12:I$12,C6,项目基本情况!C$15:I$15)</f>
        <v>28.87</v>
      </c>
      <c r="G6" s="62">
        <f>IF(ISERROR(ROUND(POWER(1+H6,D6-F6)*(POWER(1+H6,F6)-1)/(POWER(1+H6,D6)-1),3)),0,ROUND(POWER(1+H6,D6-F6)*(POWER(1+H6,F6)-1)/(POWER(1+H6,D6)-1),3))</f>
        <v>0.82799999999999996</v>
      </c>
      <c r="H6" s="691">
        <v>0.05</v>
      </c>
      <c r="I6" s="691">
        <v>5.5E-2</v>
      </c>
      <c r="J6" s="63">
        <v>7.0000000000000007E-2</v>
      </c>
      <c r="K6" s="970">
        <f>SUMIF('数据-汇总表'!C$19:C$33,A6,'数据-汇总表'!E$19:E$33)</f>
        <v>55.89</v>
      </c>
      <c r="L6" s="692">
        <v>3500</v>
      </c>
      <c r="M6" s="64">
        <f t="shared" ref="M6:M14" si="0">ROUND(K6*L6/10000,0)</f>
        <v>20</v>
      </c>
      <c r="N6" s="690">
        <f>N19</f>
        <v>0.72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5500</v>
      </c>
      <c r="V6" s="67">
        <v>0.02</v>
      </c>
      <c r="W6" s="67">
        <v>0.1</v>
      </c>
      <c r="X6" s="979"/>
      <c r="Y6" s="68">
        <f>N6</f>
        <v>0.72</v>
      </c>
      <c r="Z6" s="69"/>
      <c r="AA6" s="63"/>
      <c r="AB6" s="63"/>
      <c r="AC6" s="979"/>
      <c r="AD6" s="70"/>
      <c r="AE6" s="980">
        <f ca="1">IF(AN6="",0,SUMIF(INDIRECT("'"&amp;AN6&amp;"'"&amp;"!E:E"),$AE$5,INDIRECT("'"&amp;AN6&amp;"'"&amp;"!F:F")))</f>
        <v>28.87</v>
      </c>
      <c r="AF6" s="74"/>
      <c r="AG6" s="130">
        <f>IF(AF6="",0,AE6-AF6)</f>
        <v>0</v>
      </c>
      <c r="AH6" s="71">
        <v>1</v>
      </c>
      <c r="AI6" s="73">
        <v>12</v>
      </c>
      <c r="AJ6" s="74"/>
      <c r="AK6" s="75">
        <v>0.01</v>
      </c>
      <c r="AL6" s="76">
        <v>1E-3</v>
      </c>
      <c r="AM6" s="77">
        <v>0.01</v>
      </c>
      <c r="AN6" s="1589" t="s">
        <v>3428</v>
      </c>
      <c r="AO6" s="50">
        <f ca="1">SUMIF(INDIRECT("'"&amp;AN6&amp;"'"&amp;"!A:A"),"总价",INDIRECT("'"&amp;AN6&amp;"'"&amp;"!B:B"))</f>
        <v>93.608199999999997</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4">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4">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4">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4">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4">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4">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4">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4.5" thickBot="1">
      <c r="A16" s="1593" t="s">
        <v>1209</v>
      </c>
      <c r="B16" s="82"/>
      <c r="C16" s="783"/>
      <c r="D16" s="1594"/>
      <c r="E16" s="82"/>
      <c r="F16" s="82"/>
      <c r="G16" s="83">
        <f>ROUND(SUMPRODUCT(G6:G13,K6:K13)/SUMPRODUCT((G6:G13&gt;0)*(K6:K13)),3)</f>
        <v>0.82799999999999996</v>
      </c>
      <c r="H16" s="84">
        <f>ROUND(SUMPRODUCT(H6:H13,K6:K13)/SUMPRODUCT((H6:H13&gt;0)*(K6:K13)),3)</f>
        <v>0.05</v>
      </c>
      <c r="I16" s="85"/>
      <c r="J16" s="85"/>
      <c r="K16" s="86">
        <f>SUM(K6:K15)</f>
        <v>55.89</v>
      </c>
      <c r="L16" s="87">
        <f>ROUND(M16*10000/SUM(K6:K14),0)</f>
        <v>3578</v>
      </c>
      <c r="M16" s="87">
        <f>SUM(M6:M14)</f>
        <v>20</v>
      </c>
      <c r="N16" s="88">
        <f>ROUND(SUMPRODUCT(M6:M14,N6:N14)/M16,3)</f>
        <v>0.72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5" thickBot="1">
      <c r="A17" s="1595"/>
      <c r="B17" s="2456"/>
      <c r="C17" s="2447"/>
      <c r="D17" s="2449"/>
      <c r="E17" s="2449"/>
      <c r="F17" s="2447"/>
      <c r="G17" s="2447"/>
      <c r="H17" s="2447"/>
      <c r="I17" s="2447"/>
      <c r="J17" s="2447"/>
      <c r="K17" s="2448"/>
      <c r="L17" s="2448"/>
      <c r="M17" s="2447"/>
      <c r="N17" s="2447"/>
      <c r="O17" s="2447"/>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4.5" thickBot="1">
      <c r="A18" s="57" t="s">
        <v>1210</v>
      </c>
      <c r="B18" s="2459"/>
      <c r="C18" s="2438"/>
      <c r="D18" s="2450"/>
      <c r="E18" s="2438"/>
      <c r="F18" s="2438"/>
      <c r="G18" s="2438"/>
      <c r="H18" s="2438"/>
      <c r="I18" s="2438"/>
      <c r="J18" s="2438"/>
      <c r="K18" s="2448"/>
      <c r="L18" s="2448"/>
      <c r="M18" s="3169" t="s">
        <v>3429</v>
      </c>
      <c r="N18" s="2447">
        <v>2008</v>
      </c>
      <c r="O18" s="3169" t="s">
        <v>3430</v>
      </c>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
      <c r="A19" s="1596" t="s">
        <v>1211</v>
      </c>
      <c r="B19" s="97">
        <v>0</v>
      </c>
      <c r="C19" s="2559" t="s">
        <v>2302</v>
      </c>
      <c r="D19" s="2450"/>
      <c r="E19" s="2438"/>
      <c r="F19" s="2438"/>
      <c r="G19" s="2438"/>
      <c r="H19" s="2438"/>
      <c r="I19" s="2438"/>
      <c r="J19" s="2438"/>
      <c r="K19" s="2448"/>
      <c r="L19" s="2448"/>
      <c r="M19" s="2447"/>
      <c r="N19" s="2447">
        <f>ROUND(1-(1-0)*(2025-N18)/60,2)</f>
        <v>0.72</v>
      </c>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4.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5"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4.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5">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5">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8.5"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
      <c r="A33" s="1601" t="s">
        <v>1226</v>
      </c>
      <c r="B33" s="640">
        <v>0.05</v>
      </c>
      <c r="C33" s="2563" t="s">
        <v>3381</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4.5" thickBot="1">
      <c r="A36" s="1603" t="s">
        <v>1229</v>
      </c>
      <c r="B36" s="107">
        <v>0.02</v>
      </c>
      <c r="C36" s="2563" t="s">
        <v>3399</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
      <c r="A37" s="1604" t="s">
        <v>1230</v>
      </c>
      <c r="B37" s="108">
        <v>0.02</v>
      </c>
      <c r="C37" s="2563" t="s">
        <v>3382</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
      <c r="A38" s="1602" t="s">
        <v>1231</v>
      </c>
      <c r="B38" s="106">
        <v>0.02</v>
      </c>
      <c r="C38" s="2563" t="s">
        <v>3383</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5" thickBot="1">
      <c r="A40" s="2572" t="s">
        <v>2310</v>
      </c>
      <c r="B40" s="1015">
        <f ca="1">IF(A40="利息：取LPR",存贷款利率!G1,存贷款利率!G1+C40)</f>
        <v>3.1300000000000001E-2</v>
      </c>
      <c r="C40" s="2571"/>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5">
      <c r="A41" s="1601" t="s">
        <v>1233</v>
      </c>
      <c r="B41" s="109">
        <f>B42+B43</f>
        <v>5.6000000000000001E-2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
      <c r="A43" s="1606" t="s">
        <v>1235</v>
      </c>
      <c r="B43" s="111">
        <f>B42*(B44+B45+B46)+B47</f>
        <v>6.000000000000001E-3</v>
      </c>
      <c r="C43" s="2452"/>
      <c r="D43" s="3168" t="s">
        <v>3422</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
      <c r="A44" s="1607" t="s">
        <v>1236</v>
      </c>
      <c r="B44" s="112">
        <v>7.0000000000000007E-2</v>
      </c>
      <c r="C44" s="2563" t="s">
        <v>3384</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4.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4.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5">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
      <c r="A52" s="1610" t="s">
        <v>1244</v>
      </c>
      <c r="B52" s="117">
        <f>SUMIF(A54:A63,B53,B54:B63)</f>
        <v>12</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
      <c r="A53" s="1602" t="s">
        <v>1245</v>
      </c>
      <c r="B53" s="1611" t="s">
        <v>110</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
      <c r="A57" s="1612" t="s">
        <v>1250</v>
      </c>
      <c r="B57" s="72">
        <f>C57</f>
        <v>12</v>
      </c>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
      <c r="A59" s="1612" t="s">
        <v>1252</v>
      </c>
      <c r="B59" s="72"/>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4.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
  <cols>
    <col min="1" max="1" width="9.453125" style="1522" customWidth="1"/>
    <col min="2" max="3" width="24.453125" style="508" customWidth="1"/>
    <col min="4" max="4" width="2.6328125" style="508" customWidth="1"/>
    <col min="5" max="5" width="5.90625" style="508" customWidth="1"/>
    <col min="6" max="7" width="27" style="508" customWidth="1"/>
    <col min="8" max="8" width="11.90625" style="2276" customWidth="1"/>
    <col min="9" max="9" width="16.7265625" style="2276" customWidth="1"/>
    <col min="10" max="10" width="2.6328125" style="2276" customWidth="1"/>
    <col min="11" max="11" width="11.90625" style="2276" customWidth="1"/>
    <col min="12" max="12" width="16.7265625" style="2276" customWidth="1"/>
    <col min="13" max="13" width="2.6328125" style="2276" customWidth="1"/>
    <col min="14" max="14" width="11.90625" style="2276" customWidth="1"/>
    <col min="15" max="15" width="16.7265625" style="2276" customWidth="1"/>
    <col min="16" max="16" width="2.6328125" style="2276" customWidth="1"/>
    <col min="17" max="17" width="11.90625" style="2276" customWidth="1"/>
    <col min="18" max="18" width="16.7265625" style="751" customWidth="1"/>
    <col min="19" max="29" width="9" style="751"/>
    <col min="30" max="16384" width="9" style="1522"/>
  </cols>
  <sheetData>
    <row r="1" spans="1:29" s="2258" customFormat="1" ht="18.5" thickBot="1">
      <c r="A1" s="3267" t="s">
        <v>2286</v>
      </c>
      <c r="B1" s="3268"/>
      <c r="C1" s="3268"/>
      <c r="D1" s="3268"/>
      <c r="E1" s="3268"/>
      <c r="F1" s="3268"/>
      <c r="G1" s="3268"/>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5" thickBot="1">
      <c r="A2" s="2259"/>
      <c r="B2" s="2260"/>
      <c r="C2" s="2261" t="s">
        <v>2281</v>
      </c>
      <c r="D2" s="1595"/>
      <c r="E2" s="2259"/>
      <c r="F2" s="2262"/>
      <c r="G2" s="2261" t="s">
        <v>2282</v>
      </c>
      <c r="H2" s="751"/>
      <c r="I2" s="751"/>
      <c r="J2" s="751"/>
      <c r="K2" s="751"/>
      <c r="L2" s="751"/>
      <c r="M2" s="751"/>
      <c r="N2" s="751"/>
      <c r="O2" s="751"/>
      <c r="P2" s="751"/>
      <c r="Q2" s="751"/>
    </row>
    <row r="3" spans="1:29" ht="52">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9">
      <c r="A4" s="2247"/>
      <c r="B4" s="315" t="s">
        <v>2254</v>
      </c>
      <c r="C4" s="2268" t="s">
        <v>2255</v>
      </c>
      <c r="D4" s="2265"/>
      <c r="E4" s="2269"/>
      <c r="F4" s="1281" t="s">
        <v>2256</v>
      </c>
      <c r="G4" s="2270" t="s">
        <v>2257</v>
      </c>
      <c r="H4" s="751"/>
      <c r="I4" s="751"/>
      <c r="J4" s="751"/>
      <c r="K4" s="751"/>
      <c r="L4" s="751"/>
      <c r="M4" s="751"/>
      <c r="N4" s="751"/>
      <c r="O4" s="751"/>
      <c r="P4" s="751"/>
      <c r="Q4" s="751"/>
    </row>
    <row r="5" spans="1:29" ht="39">
      <c r="A5" s="2247"/>
      <c r="B5" s="315" t="s">
        <v>2258</v>
      </c>
      <c r="C5" s="2268" t="s">
        <v>2259</v>
      </c>
      <c r="D5" s="2265"/>
      <c r="E5" s="2269"/>
      <c r="F5" s="315" t="s">
        <v>2260</v>
      </c>
      <c r="G5" s="2270" t="s">
        <v>2261</v>
      </c>
      <c r="H5" s="751"/>
      <c r="I5" s="751"/>
      <c r="J5" s="751"/>
      <c r="K5" s="751"/>
      <c r="L5" s="751"/>
      <c r="M5" s="751"/>
      <c r="N5" s="751"/>
      <c r="O5" s="751"/>
      <c r="P5" s="751"/>
      <c r="Q5" s="751"/>
    </row>
    <row r="6" spans="1:29" ht="39">
      <c r="A6" s="2247"/>
      <c r="B6" s="315" t="s">
        <v>2262</v>
      </c>
      <c r="C6" s="2270" t="s">
        <v>2257</v>
      </c>
      <c r="D6" s="2265"/>
      <c r="E6" s="2269"/>
      <c r="F6" s="315" t="s">
        <v>2263</v>
      </c>
      <c r="G6" s="2270" t="s">
        <v>2264</v>
      </c>
      <c r="H6" s="751"/>
      <c r="I6" s="751"/>
      <c r="J6" s="751"/>
      <c r="K6" s="751"/>
      <c r="L6" s="751"/>
      <c r="M6" s="751"/>
      <c r="N6" s="751"/>
      <c r="O6" s="751"/>
      <c r="P6" s="751"/>
      <c r="Q6" s="751"/>
    </row>
    <row r="7" spans="1:29" ht="39.5" thickBot="1">
      <c r="A7" s="2247"/>
      <c r="B7" s="315" t="s">
        <v>2260</v>
      </c>
      <c r="C7" s="2270" t="s">
        <v>2261</v>
      </c>
      <c r="D7" s="2244"/>
      <c r="E7" s="2271"/>
      <c r="F7" s="2272" t="s">
        <v>2265</v>
      </c>
      <c r="G7" s="2273" t="s">
        <v>2266</v>
      </c>
      <c r="H7" s="751"/>
      <c r="I7" s="751"/>
      <c r="J7" s="751"/>
      <c r="K7" s="751"/>
      <c r="L7" s="751"/>
      <c r="M7" s="751"/>
      <c r="N7" s="751"/>
      <c r="O7" s="751"/>
      <c r="P7" s="751"/>
      <c r="Q7" s="751"/>
    </row>
    <row r="8" spans="1:29" ht="26">
      <c r="A8" s="2247"/>
      <c r="B8" s="315" t="s">
        <v>2263</v>
      </c>
      <c r="C8" s="2270" t="s">
        <v>2264</v>
      </c>
      <c r="D8" s="2244"/>
      <c r="E8" s="2244"/>
      <c r="F8" s="121"/>
      <c r="G8" s="121"/>
      <c r="H8" s="751"/>
      <c r="I8" s="751"/>
      <c r="J8" s="751"/>
      <c r="K8" s="751"/>
      <c r="L8" s="751"/>
      <c r="M8" s="751"/>
      <c r="N8" s="751"/>
      <c r="O8" s="751"/>
      <c r="P8" s="751"/>
      <c r="Q8" s="751"/>
    </row>
    <row r="9" spans="1:29" ht="26">
      <c r="A9" s="2247"/>
      <c r="B9" s="315" t="s">
        <v>2267</v>
      </c>
      <c r="C9" s="2268" t="s">
        <v>2268</v>
      </c>
      <c r="D9" s="2265"/>
      <c r="E9" s="2244"/>
      <c r="F9" s="121"/>
      <c r="G9" s="121"/>
      <c r="H9" s="751"/>
      <c r="I9" s="751"/>
      <c r="J9" s="751"/>
      <c r="K9" s="751"/>
      <c r="L9" s="751"/>
      <c r="M9" s="751"/>
      <c r="N9" s="751"/>
      <c r="O9" s="751"/>
      <c r="P9" s="751"/>
      <c r="Q9" s="751"/>
    </row>
    <row r="10" spans="1:29" ht="14.5"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8">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4.5" thickBot="1">
      <c r="A13" s="2283" t="s">
        <v>2287</v>
      </c>
      <c r="B13" s="2279"/>
      <c r="C13" s="2279"/>
      <c r="D13" s="2278"/>
      <c r="E13" s="2279"/>
      <c r="F13" s="2279"/>
      <c r="G13" s="2279"/>
    </row>
    <row r="14" spans="1:29" ht="14.5" thickBot="1">
      <c r="A14" s="2284"/>
      <c r="B14" s="2284"/>
      <c r="C14" s="2285" t="s">
        <v>2270</v>
      </c>
      <c r="D14" s="2265"/>
      <c r="E14" s="2286"/>
      <c r="F14" s="2286"/>
      <c r="G14" s="2261" t="s">
        <v>2271</v>
      </c>
    </row>
    <row r="15" spans="1:29" ht="50">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7.5">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7.5">
      <c r="A17" s="2251"/>
      <c r="B17" s="2290" t="s">
        <v>2258</v>
      </c>
      <c r="C17" s="2291" t="str">
        <f>C5</f>
        <v>估价对象位于XX商圈，周边办公楼项目较多，入驻率高，办公集聚程度较好</v>
      </c>
      <c r="D17" s="2244"/>
      <c r="E17" s="2252"/>
      <c r="F17" s="2292" t="s">
        <v>2275</v>
      </c>
      <c r="G17" s="2294"/>
    </row>
    <row r="18" spans="1:17" ht="37.5">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5">
      <c r="A19" s="2251"/>
      <c r="B19" s="2292" t="s">
        <v>2276</v>
      </c>
      <c r="C19" s="2294"/>
      <c r="D19" s="2265"/>
      <c r="E19" s="2252"/>
      <c r="F19" s="315" t="s">
        <v>2260</v>
      </c>
      <c r="G19" s="2293" t="str">
        <f>G5</f>
        <v>估价对象所在区域公共配套设施齐备情况</v>
      </c>
    </row>
    <row r="20" spans="1:17" ht="25">
      <c r="A20" s="2251"/>
      <c r="B20" s="2292" t="s">
        <v>2277</v>
      </c>
      <c r="C20" s="2291" t="str">
        <f>C9</f>
        <v>区域自然环境：；人文环境；综合评价环境状况一般</v>
      </c>
      <c r="D20" s="2244"/>
      <c r="E20" s="2252"/>
      <c r="F20" s="315" t="s">
        <v>2263</v>
      </c>
      <c r="G20" s="2293" t="str">
        <f>G6</f>
        <v>估价对象所在区域基础设施水平</v>
      </c>
    </row>
    <row r="21" spans="1:17" ht="25">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5"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5"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tabSelected="1" view="pageBreakPreview" zoomScale="80" zoomScaleNormal="80" zoomScaleSheetLayoutView="80" workbookViewId="0">
      <selection activeCell="G15" sqref="G15"/>
    </sheetView>
  </sheetViews>
  <sheetFormatPr defaultColWidth="9" defaultRowHeight="14"/>
  <cols>
    <col min="1" max="1" width="25" style="2300" customWidth="1"/>
    <col min="2" max="9" width="15.7265625" style="2300" customWidth="1"/>
    <col min="10" max="16384" width="9" style="2300"/>
  </cols>
  <sheetData>
    <row r="1" spans="1:11" ht="16.5">
      <c r="A1" s="2299" t="s">
        <v>665</v>
      </c>
      <c r="B1" s="2299">
        <f>SUM(B14:B23)</f>
        <v>55.89</v>
      </c>
      <c r="C1" s="2460"/>
      <c r="D1" s="2460"/>
      <c r="E1" s="2460"/>
      <c r="F1" s="2460"/>
      <c r="G1" s="2461"/>
      <c r="H1" s="2461"/>
      <c r="I1" s="2461"/>
      <c r="J1" s="2461"/>
      <c r="K1" s="2461"/>
    </row>
    <row r="2" spans="1:11" ht="16.5">
      <c r="A2" s="2299" t="s">
        <v>653</v>
      </c>
      <c r="B2" s="2299">
        <f>SUM(C14:C23)</f>
        <v>0</v>
      </c>
      <c r="C2" s="2460"/>
      <c r="D2" s="2460"/>
      <c r="E2" s="2460"/>
      <c r="F2" s="2460"/>
      <c r="G2" s="2461"/>
      <c r="H2" s="2461"/>
      <c r="I2" s="2461"/>
      <c r="J2" s="2461"/>
      <c r="K2" s="2461"/>
    </row>
    <row r="3" spans="1:11" ht="16.5">
      <c r="A3" s="2299" t="s">
        <v>662</v>
      </c>
      <c r="B3" s="2301">
        <f>项目基本情况!D3</f>
        <v>45950</v>
      </c>
      <c r="C3" s="2460"/>
      <c r="D3" s="2460"/>
      <c r="E3" s="2460"/>
      <c r="F3" s="2460"/>
      <c r="G3" s="2461"/>
      <c r="H3" s="2461"/>
      <c r="I3" s="2461"/>
      <c r="J3" s="2461"/>
      <c r="K3" s="2461"/>
    </row>
    <row r="4" spans="1:11" ht="33">
      <c r="A4" s="2299" t="s">
        <v>661</v>
      </c>
      <c r="B4" s="2299" t="s">
        <v>660</v>
      </c>
      <c r="C4" s="2299" t="s">
        <v>659</v>
      </c>
      <c r="D4" s="2299" t="s">
        <v>658</v>
      </c>
      <c r="E4" s="2460"/>
      <c r="F4" s="2461"/>
      <c r="G4" s="2461"/>
      <c r="H4" s="2461"/>
      <c r="I4" s="2461"/>
      <c r="J4" s="2461"/>
      <c r="K4" s="2461"/>
    </row>
    <row r="5" spans="1:11" ht="16.5">
      <c r="A5" s="2299" t="s">
        <v>657</v>
      </c>
      <c r="B5" s="2299">
        <f ca="1">SUM(D14:D23)</f>
        <v>123.41</v>
      </c>
      <c r="C5" s="2299">
        <f ca="1">IF(B5=D14,结果表!H102,ROUND(B5*10000/$B$1,0))</f>
        <v>22080</v>
      </c>
      <c r="D5" s="2299" t="e">
        <f ca="1">ROUND(B5*10000/$B$2,0)</f>
        <v>#DIV/0!</v>
      </c>
      <c r="E5" s="2460"/>
      <c r="F5" s="2461"/>
      <c r="G5" s="2461"/>
      <c r="H5" s="2461"/>
      <c r="I5" s="2461"/>
      <c r="J5" s="2461"/>
      <c r="K5" s="2461"/>
    </row>
    <row r="6" spans="1:11" ht="16.5">
      <c r="A6" s="2299" t="s">
        <v>656</v>
      </c>
      <c r="B6" s="2299">
        <f ca="1">SUM(G14:G23)</f>
        <v>123.41</v>
      </c>
      <c r="C6" s="2299">
        <f ca="1">IF(B6=G14,结果表!H108,ROUND(B6*10000/$B$1,0))</f>
        <v>22080</v>
      </c>
      <c r="D6" s="2299" t="e">
        <f ca="1">ROUND(B6*10000/$B$2,0)</f>
        <v>#DIV/0!</v>
      </c>
      <c r="E6" s="2460"/>
      <c r="F6" s="2461"/>
      <c r="G6" s="2461"/>
      <c r="H6" s="2461"/>
      <c r="I6" s="2461"/>
      <c r="J6" s="2461"/>
      <c r="K6" s="2461"/>
    </row>
    <row r="7" spans="1:11" ht="16.5">
      <c r="A7" s="2299" t="s">
        <v>664</v>
      </c>
      <c r="B7" s="2299">
        <f>SUM(H14:H23)</f>
        <v>0</v>
      </c>
      <c r="C7" s="2299" t="str">
        <f>IF(B7=H14,结果表!H110,ROUND(B7*10000/$B$1,0))</f>
        <v>——</v>
      </c>
      <c r="D7" s="2299" t="e">
        <f>ROUND(B7*10000/$B$2,0)</f>
        <v>#DIV/0!</v>
      </c>
      <c r="E7" s="2460"/>
      <c r="F7" s="2461"/>
      <c r="G7" s="2461"/>
      <c r="H7" s="2461"/>
      <c r="I7" s="2461"/>
      <c r="J7" s="2461"/>
      <c r="K7" s="2461"/>
    </row>
    <row r="8" spans="1:11" ht="16.5">
      <c r="A8" s="2299" t="s">
        <v>587</v>
      </c>
      <c r="B8" s="2299">
        <f>SUM(I14:I23)</f>
        <v>0</v>
      </c>
      <c r="C8" s="2299" t="str">
        <f>IF(B8=I14,结果表!H112,ROUND(B8*10000/$B$1,0))</f>
        <v>——</v>
      </c>
      <c r="D8" s="2299" t="e">
        <f>ROUND(B8*10000/$B$2,0)</f>
        <v>#DIV/0!</v>
      </c>
      <c r="E8" s="2460"/>
      <c r="F8" s="2461"/>
      <c r="G8" s="2461"/>
      <c r="H8" s="2461"/>
      <c r="I8" s="2461"/>
      <c r="J8" s="2461"/>
      <c r="K8" s="2461"/>
    </row>
    <row r="9" spans="1:11" ht="16.5">
      <c r="A9" s="2299" t="s">
        <v>655</v>
      </c>
      <c r="B9" s="1244"/>
      <c r="C9" s="2460"/>
      <c r="D9" s="2460"/>
      <c r="E9" s="2460"/>
      <c r="F9" s="2461"/>
      <c r="G9" s="2461"/>
      <c r="H9" s="2461"/>
      <c r="I9" s="2461"/>
      <c r="J9" s="2461"/>
      <c r="K9" s="2461"/>
    </row>
    <row r="10" spans="1:11" ht="16.5">
      <c r="A10" s="2299" t="s">
        <v>654</v>
      </c>
      <c r="B10" s="2299">
        <f>IF(E10="",0,ROUND(B1*(E10*365/G10)/10000,0))</f>
        <v>0</v>
      </c>
      <c r="C10" s="2299" t="s">
        <v>3354</v>
      </c>
      <c r="D10" s="2299" t="s">
        <v>3355</v>
      </c>
      <c r="E10" s="3135"/>
      <c r="F10" s="3139" t="s">
        <v>3356</v>
      </c>
      <c r="G10" s="3136"/>
      <c r="H10" s="2461"/>
      <c r="I10" s="2461"/>
      <c r="J10" s="2461"/>
      <c r="K10" s="2461"/>
    </row>
    <row r="11" spans="1:11" ht="16.5">
      <c r="A11" s="2299" t="s">
        <v>670</v>
      </c>
      <c r="B11" s="1244"/>
      <c r="C11" s="2460"/>
      <c r="D11" s="2460"/>
      <c r="E11" s="2460"/>
      <c r="F11" s="2461"/>
      <c r="G11" s="2461"/>
      <c r="H11" s="2461"/>
      <c r="I11" s="2461"/>
      <c r="J11" s="2461"/>
      <c r="K11" s="2461"/>
    </row>
    <row r="12" spans="1:11" ht="16.5">
      <c r="A12" s="2460"/>
      <c r="B12" s="2460"/>
      <c r="C12" s="2460"/>
      <c r="D12" s="2460"/>
      <c r="E12" s="2460"/>
      <c r="F12" s="2461"/>
      <c r="G12" s="2461"/>
      <c r="H12" s="2461"/>
      <c r="I12" s="2461"/>
      <c r="J12" s="2461"/>
      <c r="K12" s="2461"/>
    </row>
    <row r="13" spans="1:11" ht="33">
      <c r="A13" s="2302" t="s">
        <v>669</v>
      </c>
      <c r="B13" s="2303" t="s">
        <v>666</v>
      </c>
      <c r="C13" s="2303" t="s">
        <v>668</v>
      </c>
      <c r="D13" s="2303" t="s">
        <v>667</v>
      </c>
      <c r="E13" s="2299" t="s">
        <v>659</v>
      </c>
      <c r="F13" s="2299" t="s">
        <v>658</v>
      </c>
      <c r="G13" s="2303" t="s">
        <v>652</v>
      </c>
      <c r="H13" s="2303" t="s">
        <v>663</v>
      </c>
      <c r="I13" s="2303" t="s">
        <v>651</v>
      </c>
      <c r="J13" s="2461"/>
      <c r="K13" s="2461"/>
    </row>
    <row r="14" spans="1:11" ht="16.5">
      <c r="A14" s="2304" t="s">
        <v>650</v>
      </c>
      <c r="B14" s="2305">
        <f>'数据-汇总表'!E19</f>
        <v>55.89</v>
      </c>
      <c r="C14" s="2305"/>
      <c r="D14" s="2305">
        <f ca="1">结果表!H118</f>
        <v>123.41</v>
      </c>
      <c r="E14" s="2305">
        <f ca="1">结果表!I118</f>
        <v>22080</v>
      </c>
      <c r="F14" s="2305" t="e">
        <f ca="1">ROUND(D14*10000/C14,0)</f>
        <v>#DIV/0!</v>
      </c>
      <c r="G14" s="2305">
        <f ca="1">D14</f>
        <v>123.41</v>
      </c>
      <c r="H14" s="2305"/>
      <c r="I14" s="2305"/>
      <c r="J14" s="2461"/>
      <c r="K14" s="2461"/>
    </row>
    <row r="15" spans="1:11" ht="16.5">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6.5">
      <c r="A16" s="2304" t="s">
        <v>648</v>
      </c>
      <c r="B16" s="2306"/>
      <c r="C16" s="2306"/>
      <c r="D16" s="2306"/>
      <c r="E16" s="2305" t="e">
        <f t="shared" si="0"/>
        <v>#DIV/0!</v>
      </c>
      <c r="F16" s="2305" t="e">
        <f t="shared" si="1"/>
        <v>#DIV/0!</v>
      </c>
      <c r="G16" s="1244"/>
      <c r="H16" s="1244"/>
      <c r="I16" s="2306"/>
      <c r="J16" s="2461"/>
      <c r="K16" s="2461"/>
    </row>
    <row r="17" spans="1:11" ht="16.5">
      <c r="A17" s="2304" t="s">
        <v>647</v>
      </c>
      <c r="B17" s="2306"/>
      <c r="C17" s="2306"/>
      <c r="D17" s="2306"/>
      <c r="E17" s="2305" t="e">
        <f t="shared" si="0"/>
        <v>#DIV/0!</v>
      </c>
      <c r="F17" s="2305" t="e">
        <f t="shared" si="1"/>
        <v>#DIV/0!</v>
      </c>
      <c r="G17" s="1244"/>
      <c r="H17" s="1244"/>
      <c r="I17" s="2306"/>
      <c r="J17" s="2461"/>
      <c r="K17" s="2461"/>
    </row>
    <row r="18" spans="1:11" ht="16.5">
      <c r="A18" s="2304" t="s">
        <v>646</v>
      </c>
      <c r="B18" s="2306"/>
      <c r="C18" s="2306"/>
      <c r="D18" s="2306"/>
      <c r="E18" s="2305" t="e">
        <f t="shared" si="0"/>
        <v>#DIV/0!</v>
      </c>
      <c r="F18" s="2305" t="e">
        <f t="shared" si="1"/>
        <v>#DIV/0!</v>
      </c>
      <c r="G18" s="2306"/>
      <c r="H18" s="2306"/>
      <c r="I18" s="2306"/>
      <c r="J18" s="2461"/>
      <c r="K18" s="2461"/>
    </row>
    <row r="19" spans="1:11" ht="16.5">
      <c r="A19" s="2304" t="s">
        <v>645</v>
      </c>
      <c r="B19" s="2306"/>
      <c r="C19" s="2306"/>
      <c r="D19" s="2306"/>
      <c r="E19" s="2305" t="e">
        <f t="shared" si="0"/>
        <v>#DIV/0!</v>
      </c>
      <c r="F19" s="2305" t="e">
        <f t="shared" si="1"/>
        <v>#DIV/0!</v>
      </c>
      <c r="G19" s="2306"/>
      <c r="H19" s="2306"/>
      <c r="I19" s="2306"/>
      <c r="J19" s="2461"/>
      <c r="K19" s="2461"/>
    </row>
    <row r="20" spans="1:11" ht="16.5">
      <c r="A20" s="2304" t="s">
        <v>644</v>
      </c>
      <c r="B20" s="2306"/>
      <c r="C20" s="2306"/>
      <c r="D20" s="2306"/>
      <c r="E20" s="2305" t="e">
        <f t="shared" si="0"/>
        <v>#DIV/0!</v>
      </c>
      <c r="F20" s="2305" t="e">
        <f t="shared" si="1"/>
        <v>#DIV/0!</v>
      </c>
      <c r="G20" s="2306"/>
      <c r="H20" s="2306"/>
      <c r="I20" s="2306"/>
      <c r="J20" s="2461"/>
      <c r="K20" s="2461"/>
    </row>
    <row r="21" spans="1:11" ht="16.5">
      <c r="A21" s="2304" t="s">
        <v>643</v>
      </c>
      <c r="B21" s="2306"/>
      <c r="C21" s="2306"/>
      <c r="D21" s="2306"/>
      <c r="E21" s="2305" t="e">
        <f t="shared" si="0"/>
        <v>#DIV/0!</v>
      </c>
      <c r="F21" s="2305" t="e">
        <f t="shared" si="1"/>
        <v>#DIV/0!</v>
      </c>
      <c r="G21" s="2306"/>
      <c r="H21" s="2306"/>
      <c r="I21" s="2306"/>
      <c r="J21" s="2461"/>
      <c r="K21" s="2461"/>
    </row>
    <row r="22" spans="1:11" ht="16.5">
      <c r="A22" s="2304" t="s">
        <v>642</v>
      </c>
      <c r="B22" s="2306"/>
      <c r="C22" s="2306"/>
      <c r="D22" s="2306"/>
      <c r="E22" s="2305" t="e">
        <f t="shared" si="0"/>
        <v>#DIV/0!</v>
      </c>
      <c r="F22" s="2305" t="e">
        <f t="shared" si="1"/>
        <v>#DIV/0!</v>
      </c>
      <c r="G22" s="2306"/>
      <c r="H22" s="2306"/>
      <c r="I22" s="2306"/>
      <c r="J22" s="2461"/>
      <c r="K22" s="2461"/>
    </row>
    <row r="23" spans="1:11" ht="16.5">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112" zoomScaleNormal="100" zoomScaleSheetLayoutView="100" zoomScalePageLayoutView="80" workbookViewId="0">
      <selection activeCell="H118" sqref="H118"/>
    </sheetView>
  </sheetViews>
  <sheetFormatPr defaultColWidth="12.6328125" defaultRowHeight="21.75" customHeight="1"/>
  <cols>
    <col min="1" max="2" width="12.6328125" style="1561"/>
    <col min="3" max="4" width="12.6328125" style="1561" customWidth="1"/>
    <col min="5" max="9" width="12.6328125" style="1561"/>
    <col min="10" max="11" width="12.6328125" style="684" customWidth="1"/>
    <col min="12" max="12" width="12.6328125" style="684"/>
    <col min="13" max="13" width="14.08984375" style="684" bestFit="1" customWidth="1"/>
    <col min="14" max="26" width="12.6328125" style="684"/>
    <col min="27" max="35" width="12.6328125" style="1623"/>
    <col min="36" max="16384" width="12.6328125" style="1561"/>
  </cols>
  <sheetData>
    <row r="1" spans="1:12" ht="21.75" customHeight="1" thickBot="1">
      <c r="A1" s="1521" t="s">
        <v>1262</v>
      </c>
      <c r="B1" s="646"/>
      <c r="C1" s="1620" t="s">
        <v>21</v>
      </c>
      <c r="D1" s="646"/>
      <c r="E1" s="646"/>
      <c r="F1" s="1621" t="s">
        <v>1263</v>
      </c>
      <c r="G1" s="1453" t="s">
        <v>3425</v>
      </c>
      <c r="H1" s="1621" t="str">
        <f>IF(G1="现房","——","估价对象范围")</f>
        <v>——</v>
      </c>
      <c r="I1" s="1622"/>
    </row>
    <row r="2" spans="1:12" ht="21.75" customHeight="1" thickBot="1">
      <c r="A2" s="3336" t="str">
        <f>项目基本情况!S2</f>
        <v>北京市朝阳区望京园603号楼8层907房地产</v>
      </c>
      <c r="B2" s="3337"/>
      <c r="C2" s="3337"/>
      <c r="D2" s="3337"/>
      <c r="E2" s="3337"/>
      <c r="F2" s="3337"/>
      <c r="G2" s="3337"/>
      <c r="H2" s="3337"/>
      <c r="I2" s="3338"/>
    </row>
    <row r="3" spans="1:12" ht="13">
      <c r="A3" s="3340" t="s">
        <v>1264</v>
      </c>
      <c r="B3" s="3341"/>
      <c r="C3" s="3341"/>
      <c r="D3" s="3341"/>
      <c r="E3" s="3341"/>
      <c r="F3" s="3341"/>
      <c r="G3" s="3341"/>
      <c r="H3" s="3341"/>
      <c r="I3" s="3341"/>
    </row>
    <row r="4" spans="1:12" ht="14">
      <c r="A4" s="1624" t="s">
        <v>1265</v>
      </c>
      <c r="B4" s="1625" t="s">
        <v>1266</v>
      </c>
      <c r="C4" s="1626" t="s">
        <v>3460</v>
      </c>
      <c r="D4" s="1626" t="s">
        <v>3428</v>
      </c>
      <c r="E4" s="3345" t="s">
        <v>1267</v>
      </c>
      <c r="F4" s="3346"/>
      <c r="G4" s="3346"/>
      <c r="H4" s="3346"/>
      <c r="I4" s="3347"/>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
      <c r="A5" s="3284" t="s">
        <v>1268</v>
      </c>
      <c r="B5" s="3339">
        <v>25</v>
      </c>
      <c r="C5" s="3342"/>
      <c r="D5" s="3330"/>
      <c r="E5" s="123" t="s">
        <v>1269</v>
      </c>
      <c r="F5" s="1627"/>
      <c r="G5" s="1627"/>
      <c r="H5" s="1627"/>
      <c r="I5" s="1281"/>
    </row>
    <row r="6" spans="1:12" ht="13">
      <c r="A6" s="3284"/>
      <c r="B6" s="3339"/>
      <c r="C6" s="3344"/>
      <c r="D6" s="3330"/>
      <c r="E6" s="123" t="s">
        <v>1270</v>
      </c>
      <c r="F6" s="1627"/>
      <c r="G6" s="1627"/>
      <c r="H6" s="1627"/>
      <c r="I6" s="1281"/>
    </row>
    <row r="7" spans="1:12" ht="13">
      <c r="A7" s="3284"/>
      <c r="B7" s="3339"/>
      <c r="C7" s="3343"/>
      <c r="D7" s="3330"/>
      <c r="E7" s="123" t="s">
        <v>1271</v>
      </c>
      <c r="F7" s="1627"/>
      <c r="G7" s="1627"/>
      <c r="H7" s="1627"/>
      <c r="I7" s="1281"/>
    </row>
    <row r="8" spans="1:12" ht="13">
      <c r="A8" s="3284" t="s">
        <v>1272</v>
      </c>
      <c r="B8" s="3339">
        <v>15</v>
      </c>
      <c r="C8" s="3342"/>
      <c r="D8" s="3330"/>
      <c r="E8" s="123" t="s">
        <v>1273</v>
      </c>
      <c r="F8" s="1627"/>
      <c r="G8" s="1627"/>
      <c r="H8" s="1627"/>
      <c r="I8" s="1281"/>
    </row>
    <row r="9" spans="1:12" ht="13">
      <c r="A9" s="3284"/>
      <c r="B9" s="3339"/>
      <c r="C9" s="3343"/>
      <c r="D9" s="3330"/>
      <c r="E9" s="123" t="s">
        <v>1274</v>
      </c>
      <c r="F9" s="1627"/>
      <c r="G9" s="1627"/>
      <c r="H9" s="1627"/>
      <c r="I9" s="1281"/>
    </row>
    <row r="10" spans="1:12" ht="13">
      <c r="A10" s="3284" t="s">
        <v>1275</v>
      </c>
      <c r="B10" s="3339">
        <v>15</v>
      </c>
      <c r="C10" s="3342"/>
      <c r="D10" s="3330"/>
      <c r="E10" s="123" t="s">
        <v>1276</v>
      </c>
      <c r="F10" s="1627"/>
      <c r="G10" s="1627"/>
      <c r="H10" s="1627"/>
      <c r="I10" s="1281"/>
    </row>
    <row r="11" spans="1:12" ht="13">
      <c r="A11" s="3284"/>
      <c r="B11" s="3339"/>
      <c r="C11" s="3343"/>
      <c r="D11" s="3330"/>
      <c r="E11" s="123" t="s">
        <v>1277</v>
      </c>
      <c r="F11" s="1627"/>
      <c r="G11" s="1627"/>
      <c r="H11" s="1627"/>
      <c r="I11" s="1281"/>
    </row>
    <row r="12" spans="1:12" ht="13">
      <c r="A12" s="3284" t="s">
        <v>1278</v>
      </c>
      <c r="B12" s="3339">
        <v>15</v>
      </c>
      <c r="C12" s="3342"/>
      <c r="D12" s="3330"/>
      <c r="E12" s="123" t="s">
        <v>1279</v>
      </c>
      <c r="F12" s="1627"/>
      <c r="G12" s="1627"/>
      <c r="H12" s="1627"/>
      <c r="I12" s="1281"/>
    </row>
    <row r="13" spans="1:12" ht="13">
      <c r="A13" s="3284"/>
      <c r="B13" s="3339"/>
      <c r="C13" s="3343"/>
      <c r="D13" s="3330"/>
      <c r="E13" s="123" t="s">
        <v>1280</v>
      </c>
      <c r="F13" s="1627"/>
      <c r="G13" s="1627"/>
      <c r="H13" s="1627"/>
      <c r="I13" s="1281"/>
    </row>
    <row r="14" spans="1:12" ht="13">
      <c r="A14" s="3284" t="s">
        <v>1281</v>
      </c>
      <c r="B14" s="3339">
        <v>30</v>
      </c>
      <c r="C14" s="3342">
        <v>7</v>
      </c>
      <c r="D14" s="3330">
        <v>3</v>
      </c>
      <c r="E14" s="123" t="s">
        <v>1282</v>
      </c>
      <c r="F14" s="1627"/>
      <c r="G14" s="1627"/>
      <c r="H14" s="1627"/>
      <c r="I14" s="1281"/>
    </row>
    <row r="15" spans="1:12" ht="13">
      <c r="A15" s="3284"/>
      <c r="B15" s="3339"/>
      <c r="C15" s="3344"/>
      <c r="D15" s="3330"/>
      <c r="E15" s="123" t="s">
        <v>1283</v>
      </c>
      <c r="F15" s="1627"/>
      <c r="G15" s="1627"/>
      <c r="H15" s="1627"/>
      <c r="I15" s="1281"/>
    </row>
    <row r="16" spans="1:12" ht="13">
      <c r="A16" s="3284"/>
      <c r="B16" s="3339"/>
      <c r="C16" s="3343"/>
      <c r="D16" s="3330"/>
      <c r="E16" s="123" t="s">
        <v>1284</v>
      </c>
      <c r="F16" s="1627"/>
      <c r="G16" s="1627"/>
      <c r="H16" s="1627"/>
      <c r="I16" s="1281"/>
    </row>
    <row r="17" spans="1:36" ht="14">
      <c r="A17" s="1628" t="s">
        <v>1285</v>
      </c>
      <c r="B17" s="54"/>
      <c r="C17" s="124">
        <f>SUM(C5:C16)</f>
        <v>7</v>
      </c>
      <c r="D17" s="124">
        <f>SUM(D5:D16)</f>
        <v>3</v>
      </c>
      <c r="E17" s="121"/>
      <c r="F17" s="121"/>
      <c r="G17" s="121"/>
      <c r="H17" s="121"/>
      <c r="I17" s="121"/>
      <c r="K17" s="294"/>
      <c r="L17" s="294" t="s">
        <v>1286</v>
      </c>
      <c r="M17" s="294" t="s">
        <v>1287</v>
      </c>
    </row>
    <row r="18" spans="1:36" ht="31.9" customHeight="1" thickBot="1">
      <c r="A18" s="1629" t="s">
        <v>1288</v>
      </c>
      <c r="B18" s="1542"/>
      <c r="C18" s="125">
        <f>ROUND(C17/SUM(C17:D17),2)</f>
        <v>0.7</v>
      </c>
      <c r="D18" s="125">
        <f>1-C18</f>
        <v>0.30000000000000004</v>
      </c>
      <c r="E18" s="3361" t="s">
        <v>2131</v>
      </c>
      <c r="F18" s="3362"/>
      <c r="G18" s="3362"/>
      <c r="H18" s="3362"/>
      <c r="I18" s="3362"/>
      <c r="K18" s="294" t="s">
        <v>1289</v>
      </c>
      <c r="L18" s="294">
        <f>IF(C1="",'数据-汇总表'!E3,SUMIF(项目类型,C1,'数据-汇总表'!E17:E26)+SUMIF(项目类型,C1,'数据-汇总表'!I17:I26))</f>
        <v>55.89</v>
      </c>
      <c r="M18" s="294">
        <f>IF(C1="",'数据-汇总表'!E3,SUMIF(项目类型,C1,'数据-汇总表'!E17:E26))</f>
        <v>55.89</v>
      </c>
    </row>
    <row r="19" spans="1:36" ht="14">
      <c r="A19" s="1630" t="s">
        <v>1290</v>
      </c>
      <c r="B19" s="1631" t="s">
        <v>1291</v>
      </c>
      <c r="C19" s="126">
        <f ca="1">SUMIF(INDIRECT("'"&amp;C4&amp;"'"&amp;"!A:A"),结果表!B19,INDIRECT("'"&amp;C4&amp;"'"&amp;"!B:B"))</f>
        <v>136.1704</v>
      </c>
      <c r="D19" s="127">
        <f ca="1">SUMIF(INDIRECT("'"&amp;D4&amp;"'"&amp;"!A:A"),结果表!B19,INDIRECT("'"&amp;D4&amp;"'"&amp;"!B:B"))</f>
        <v>93.608199999999997</v>
      </c>
      <c r="E19" s="1630" t="s">
        <v>1292</v>
      </c>
      <c r="F19" s="1631" t="s">
        <v>1291</v>
      </c>
      <c r="G19" s="128">
        <f ca="1">ROUND(C19*$C$18+D19*$D$18,0)</f>
        <v>123</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
      <c r="A20" s="1633"/>
      <c r="B20" s="43" t="s">
        <v>1295</v>
      </c>
      <c r="C20" s="129">
        <f ca="1">SUMIF(INDIRECT("'"&amp;C4&amp;"'"&amp;"!A:A"),结果表!B20,INDIRECT("'"&amp;C4&amp;"'"&amp;"!B:B"))</f>
        <v>24364</v>
      </c>
      <c r="D20" s="130">
        <f ca="1">SUMIF(INDIRECT("'"&amp;D4&amp;"'"&amp;"!A:A"),结果表!B20,INDIRECT("'"&amp;D4&amp;"'"&amp;"!B:B"))</f>
        <v>16749</v>
      </c>
      <c r="E20" s="1633"/>
      <c r="F20" s="43" t="s">
        <v>1295</v>
      </c>
      <c r="G20" s="131">
        <f ca="1">ROUND(C20*$C$18+D20*$D$18,0)</f>
        <v>22080</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4.5" thickBot="1">
      <c r="A22" s="1564" t="s">
        <v>1298</v>
      </c>
      <c r="B22" s="1635"/>
      <c r="C22" s="1636"/>
      <c r="D22" s="680">
        <f ca="1">IF(C19&lt;D19,D19/C19-1,C19/D19-1)</f>
        <v>0.45468452550097105</v>
      </c>
      <c r="E22" s="121"/>
      <c r="F22" s="3177" t="s">
        <v>3484</v>
      </c>
      <c r="G22" s="121"/>
      <c r="H22" s="121"/>
      <c r="I22" s="121"/>
    </row>
    <row r="23" spans="1:36" ht="13" thickBot="1">
      <c r="A23" s="646"/>
      <c r="B23" s="646"/>
      <c r="C23" s="646"/>
      <c r="D23" s="646"/>
      <c r="E23" s="121"/>
      <c r="F23" s="121"/>
      <c r="G23" s="121"/>
      <c r="H23" s="121"/>
      <c r="I23" s="121"/>
    </row>
    <row r="24" spans="1:36" ht="14">
      <c r="A24" s="3354" t="s">
        <v>1299</v>
      </c>
      <c r="B24" s="1631" t="s">
        <v>1291</v>
      </c>
      <c r="C24" s="128">
        <f>IF(B30=0,0,D30)</f>
        <v>0</v>
      </c>
      <c r="D24" s="1637"/>
      <c r="E24" s="121"/>
      <c r="F24" s="3178" t="s">
        <v>3474</v>
      </c>
      <c r="G24" s="121"/>
      <c r="H24" s="121"/>
      <c r="I24" s="121"/>
    </row>
    <row r="25" spans="1:36" ht="14">
      <c r="A25" s="3355"/>
      <c r="B25" s="43" t="s">
        <v>1295</v>
      </c>
      <c r="C25" s="133">
        <f>IF(B30=0,0,C30)</f>
        <v>0</v>
      </c>
      <c r="D25" s="1638"/>
      <c r="E25" s="121"/>
      <c r="F25" s="3177" t="s">
        <v>3473</v>
      </c>
      <c r="G25" s="121"/>
      <c r="H25" s="121">
        <f>ROUND(1687700/'数据-汇总表'!E27,0)</f>
        <v>30197</v>
      </c>
      <c r="I25" s="121"/>
    </row>
    <row r="26" spans="1:36" ht="13.5" customHeight="1">
      <c r="A26" s="1639" t="s">
        <v>1300</v>
      </c>
      <c r="B26" s="134" t="s">
        <v>1301</v>
      </c>
      <c r="C26" s="134" t="s">
        <v>1302</v>
      </c>
      <c r="D26" s="135" t="s">
        <v>1303</v>
      </c>
      <c r="E26" s="121"/>
      <c r="F26" s="3177" t="s">
        <v>3475</v>
      </c>
      <c r="G26" s="121"/>
      <c r="H26" s="121"/>
      <c r="I26" s="121"/>
    </row>
    <row r="27" spans="1:36" ht="14">
      <c r="A27" s="1639"/>
      <c r="B27" s="134">
        <v>0</v>
      </c>
      <c r="C27" s="134">
        <v>0</v>
      </c>
      <c r="D27" s="135">
        <f>ROUND(C27*B27/10000,0)</f>
        <v>0</v>
      </c>
      <c r="E27" s="121"/>
      <c r="F27" s="3177" t="s">
        <v>3476</v>
      </c>
      <c r="G27" s="121"/>
      <c r="H27" s="121"/>
      <c r="I27" s="121"/>
    </row>
    <row r="28" spans="1:36" ht="14">
      <c r="A28" s="1639"/>
      <c r="B28" s="134"/>
      <c r="C28" s="134"/>
      <c r="D28" s="135"/>
      <c r="E28" s="121"/>
      <c r="F28" s="121"/>
      <c r="G28" s="121"/>
      <c r="H28" s="121"/>
      <c r="I28" s="121"/>
    </row>
    <row r="29" spans="1:36" ht="14">
      <c r="A29" s="1639"/>
      <c r="B29" s="134"/>
      <c r="C29" s="134"/>
      <c r="D29" s="135"/>
      <c r="E29" s="121"/>
      <c r="F29" s="121"/>
      <c r="G29" s="121"/>
      <c r="H29" s="121"/>
      <c r="I29" s="121"/>
    </row>
    <row r="30" spans="1:36" ht="14.5" thickBot="1">
      <c r="A30" s="134" t="s">
        <v>1304</v>
      </c>
      <c r="B30" s="134"/>
      <c r="C30" s="134"/>
      <c r="D30" s="134"/>
      <c r="E30" s="2127" t="s">
        <v>2132</v>
      </c>
      <c r="F30" s="121"/>
      <c r="G30" s="121"/>
      <c r="H30" s="121"/>
      <c r="I30" s="121"/>
    </row>
    <row r="31" spans="1:36" s="2133" customFormat="1" ht="26.5"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 thickTop="1" thickBot="1">
      <c r="A32" s="1640" t="s">
        <v>1305</v>
      </c>
      <c r="B32" s="1535"/>
      <c r="C32" s="136">
        <f ca="1">IF(D32="总价",G19-C24,G20-C25)</f>
        <v>22080</v>
      </c>
      <c r="D32" s="1641" t="s">
        <v>3463</v>
      </c>
      <c r="E32" s="121"/>
      <c r="F32" s="121"/>
      <c r="G32" s="121"/>
      <c r="H32" s="121"/>
      <c r="I32" s="121"/>
    </row>
    <row r="33" spans="1:15" ht="14">
      <c r="A33" s="740" t="s">
        <v>1306</v>
      </c>
      <c r="B33" s="123"/>
      <c r="C33" s="1642" t="s">
        <v>3464</v>
      </c>
      <c r="D33" s="1643"/>
      <c r="E33" s="1644" t="s">
        <v>1307</v>
      </c>
      <c r="F33" s="1645" t="str">
        <f>IF(D32="楼面单价","取值（单价）","取值（总价）")</f>
        <v>取值（单价）</v>
      </c>
      <c r="G33" s="121"/>
      <c r="H33" s="121"/>
      <c r="I33" s="121"/>
    </row>
    <row r="34" spans="1:15" ht="1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4.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4.5" thickBot="1">
      <c r="A36" s="3331" t="s">
        <v>1312</v>
      </c>
      <c r="B36" s="1652" t="s">
        <v>1313</v>
      </c>
      <c r="C36" s="137"/>
      <c r="D36" s="1653"/>
      <c r="E36" s="1567"/>
      <c r="F36" s="1654"/>
      <c r="G36" s="121"/>
      <c r="H36" s="121"/>
      <c r="I36" s="121"/>
    </row>
    <row r="37" spans="1:15" ht="14.5" thickBot="1">
      <c r="A37" s="3332"/>
      <c r="B37" s="1555" t="s">
        <v>1314</v>
      </c>
      <c r="C37" s="139"/>
      <c r="D37" s="1071"/>
      <c r="E37" s="1071"/>
      <c r="F37" s="1654"/>
      <c r="G37" s="121"/>
      <c r="H37" s="121"/>
      <c r="I37" s="121"/>
    </row>
    <row r="38" spans="1:15" ht="14.5" thickBot="1">
      <c r="A38" s="3333"/>
      <c r="B38" s="1655" t="s">
        <v>1315</v>
      </c>
      <c r="C38" s="641"/>
      <c r="D38" s="1656" t="s">
        <v>1316</v>
      </c>
      <c r="E38" s="1071"/>
      <c r="F38" s="1654"/>
      <c r="G38" s="121"/>
      <c r="H38" s="121"/>
      <c r="I38" s="121"/>
    </row>
    <row r="39" spans="1:15" ht="14">
      <c r="A39" s="1633" t="s">
        <v>1317</v>
      </c>
      <c r="B39" s="1657" t="s">
        <v>1318</v>
      </c>
      <c r="C39" s="1658" t="s">
        <v>1319</v>
      </c>
      <c r="D39" s="1658" t="s">
        <v>1320</v>
      </c>
      <c r="E39" s="1659" t="s">
        <v>1321</v>
      </c>
      <c r="F39" s="1654"/>
      <c r="G39" s="121"/>
      <c r="H39" s="121"/>
      <c r="I39" s="121"/>
    </row>
    <row r="40" spans="1:15" ht="14">
      <c r="A40" s="1660" t="s">
        <v>1322</v>
      </c>
      <c r="B40" s="141"/>
      <c r="C40" s="142"/>
      <c r="D40" s="142"/>
      <c r="E40" s="143"/>
      <c r="F40" s="1654"/>
      <c r="G40" s="121"/>
      <c r="H40" s="121"/>
      <c r="I40" s="121"/>
    </row>
    <row r="41" spans="1:15" ht="14">
      <c r="A41" s="1660" t="s">
        <v>1323</v>
      </c>
      <c r="B41" s="141"/>
      <c r="C41" s="142"/>
      <c r="D41" s="142"/>
      <c r="E41" s="143"/>
      <c r="F41" s="1654"/>
      <c r="G41" s="121"/>
      <c r="H41" s="121"/>
      <c r="I41" s="121"/>
    </row>
    <row r="42" spans="1:15" ht="14.5" thickBot="1">
      <c r="A42" s="1661"/>
      <c r="B42" s="144"/>
      <c r="C42" s="145"/>
      <c r="D42" s="145"/>
      <c r="E42" s="146"/>
      <c r="F42" s="1654"/>
      <c r="G42" s="121"/>
      <c r="H42" s="121"/>
      <c r="I42" s="121"/>
    </row>
    <row r="43" spans="1:15" ht="12.5">
      <c r="A43" s="1467"/>
      <c r="B43" s="1467"/>
      <c r="C43" s="1467"/>
      <c r="D43" s="1467"/>
      <c r="E43" s="1467"/>
      <c r="F43" s="1662"/>
      <c r="G43" s="1662"/>
      <c r="H43" s="1662"/>
      <c r="I43" s="1663"/>
    </row>
    <row r="44" spans="1:15" ht="18">
      <c r="A44" s="1464" t="s">
        <v>1324</v>
      </c>
      <c r="B44" s="1664"/>
      <c r="C44" s="1664"/>
      <c r="D44" s="1665"/>
      <c r="E44" s="1665"/>
      <c r="F44" s="1666"/>
      <c r="G44" s="1666"/>
      <c r="H44" s="1666"/>
      <c r="I44" s="1666"/>
      <c r="J44" s="1667" t="s">
        <v>1325</v>
      </c>
      <c r="K44" s="4"/>
      <c r="L44" s="4"/>
      <c r="M44" s="4"/>
      <c r="N44" s="4"/>
      <c r="O44" s="4"/>
    </row>
    <row r="45" spans="1:15" ht="14.25" customHeight="1" thickBot="1">
      <c r="A45" s="3351" t="s">
        <v>1326</v>
      </c>
      <c r="B45" s="3352"/>
      <c r="C45" s="3353"/>
      <c r="D45" s="147">
        <f ca="1">ROUND(H101*F45,0)</f>
        <v>123</v>
      </c>
      <c r="E45" s="148" t="s">
        <v>1327</v>
      </c>
      <c r="F45" s="149">
        <v>1</v>
      </c>
      <c r="G45" s="150" t="s">
        <v>1328</v>
      </c>
      <c r="H45" s="121"/>
      <c r="I45" s="121"/>
      <c r="J45" s="3271" t="s">
        <v>1329</v>
      </c>
      <c r="K45" s="3271"/>
      <c r="L45" s="3271"/>
      <c r="M45" s="3271"/>
      <c r="N45" s="3271"/>
      <c r="O45" s="3271"/>
    </row>
    <row r="46" spans="1:15" ht="14.25" customHeight="1">
      <c r="A46" s="3348" t="s">
        <v>1330</v>
      </c>
      <c r="B46" s="3349"/>
      <c r="C46" s="3349"/>
      <c r="D46" s="3349"/>
      <c r="E46" s="3349"/>
      <c r="F46" s="3349"/>
      <c r="G46" s="3350"/>
      <c r="H46" s="1668"/>
      <c r="I46" s="151"/>
      <c r="J46" s="2309">
        <v>1</v>
      </c>
      <c r="K46" s="3272" t="s">
        <v>1331</v>
      </c>
      <c r="L46" s="3272"/>
      <c r="M46" s="3273"/>
      <c r="N46" s="3273"/>
      <c r="O46" s="3273"/>
    </row>
    <row r="47" spans="1:15" ht="12" customHeight="1">
      <c r="A47" s="152" t="s">
        <v>1332</v>
      </c>
      <c r="B47" s="153"/>
      <c r="C47" s="154"/>
      <c r="D47" s="1024" t="s">
        <v>1333</v>
      </c>
      <c r="E47" s="294" t="s">
        <v>1334</v>
      </c>
      <c r="F47" s="155" t="s">
        <v>1335</v>
      </c>
      <c r="G47" s="2332" t="s">
        <v>1336</v>
      </c>
      <c r="H47" s="2333"/>
      <c r="I47" s="151"/>
      <c r="J47" s="2309">
        <v>2</v>
      </c>
      <c r="K47" s="3272" t="s">
        <v>1337</v>
      </c>
      <c r="L47" s="3272"/>
      <c r="M47" s="3274">
        <f>'数据-取费表'!B2</f>
        <v>45950</v>
      </c>
      <c r="N47" s="3274"/>
      <c r="O47" s="3274"/>
    </row>
    <row r="48" spans="1:15" ht="26">
      <c r="A48" s="3334" t="s">
        <v>1338</v>
      </c>
      <c r="B48" s="3335"/>
      <c r="C48" s="3335"/>
      <c r="D48" s="12" t="b">
        <f>IF(H48="情况1",0,IF(H48="情况2",D52,IF(H48="情况3",D53,IF(H48="情况4",D54))))</f>
        <v>0</v>
      </c>
      <c r="E48" s="1256" t="str">
        <f>IF(H48="情况4","(销售额-原购置价)×税（费）率","销售额×税（费）率")</f>
        <v>销售额×税（费）率</v>
      </c>
      <c r="F48" s="2334">
        <f>IF(H48="情况1","免征",'数据-取费表'!B41)</f>
        <v>5.6000000000000001E-2</v>
      </c>
      <c r="G48" s="2335" t="s">
        <v>1339</v>
      </c>
      <c r="H48" s="2336"/>
      <c r="I48" s="1668"/>
      <c r="J48" s="2309">
        <v>3</v>
      </c>
      <c r="K48" s="3272" t="s">
        <v>1340</v>
      </c>
      <c r="L48" s="3272"/>
      <c r="M48" s="3275">
        <f ca="1">H101</f>
        <v>123.41</v>
      </c>
      <c r="N48" s="3275"/>
      <c r="O48" s="3275"/>
    </row>
    <row r="49" spans="1:35" ht="25.5" customHeight="1">
      <c r="A49" s="2152" t="s">
        <v>1341</v>
      </c>
      <c r="B49" s="3320" t="s">
        <v>1342</v>
      </c>
      <c r="C49" s="3320"/>
      <c r="D49" s="1478">
        <v>0</v>
      </c>
      <c r="E49" s="316" t="s">
        <v>1343</v>
      </c>
      <c r="F49" s="2232" t="s">
        <v>28</v>
      </c>
      <c r="G49" s="3303"/>
      <c r="H49" s="2134" t="s">
        <v>2134</v>
      </c>
      <c r="I49" s="2135"/>
      <c r="J49" s="2309">
        <v>4</v>
      </c>
      <c r="K49" s="3272" t="str">
        <f>IF(项目基本情况!E8="房地产抵押价值","房地产抵押价值","抵押担保权已注销时的房地产抵押价值")</f>
        <v>房地产抵押价值</v>
      </c>
      <c r="L49" s="3272"/>
      <c r="M49" s="3275">
        <f ca="1">IF(项目基本情况!E8="房地产抵押价值",H107,H109)</f>
        <v>123.41</v>
      </c>
      <c r="N49" s="3275"/>
      <c r="O49" s="3275"/>
    </row>
    <row r="50" spans="1:35" ht="25.5" customHeight="1">
      <c r="A50" s="2337"/>
      <c r="B50" s="3320" t="s">
        <v>1344</v>
      </c>
      <c r="C50" s="3320"/>
      <c r="D50" s="2189"/>
      <c r="E50" s="323"/>
      <c r="F50" s="2232"/>
      <c r="G50" s="3304"/>
      <c r="H50" s="2136" t="s">
        <v>2135</v>
      </c>
      <c r="I50" s="2135"/>
      <c r="J50" s="3271" t="s">
        <v>1345</v>
      </c>
      <c r="K50" s="3271"/>
      <c r="L50" s="3271"/>
      <c r="M50" s="3271"/>
      <c r="N50" s="3271"/>
      <c r="O50" s="3271"/>
    </row>
    <row r="51" spans="1:35" ht="20.5" customHeight="1">
      <c r="A51" s="2338"/>
      <c r="B51" s="3320" t="s">
        <v>1346</v>
      </c>
      <c r="C51" s="3320"/>
      <c r="D51" s="1024"/>
      <c r="E51" s="319"/>
      <c r="F51" s="2232"/>
      <c r="G51" s="3305"/>
      <c r="H51" s="2136" t="s">
        <v>2136</v>
      </c>
      <c r="I51" s="2135"/>
      <c r="J51" s="2310" t="s">
        <v>1347</v>
      </c>
      <c r="K51" s="3272" t="s">
        <v>1348</v>
      </c>
      <c r="L51" s="3272"/>
      <c r="M51" s="2310" t="s">
        <v>1349</v>
      </c>
      <c r="N51" s="2310" t="s">
        <v>1350</v>
      </c>
      <c r="O51" s="2310" t="s">
        <v>1351</v>
      </c>
    </row>
    <row r="52" spans="1:35" ht="24" customHeight="1">
      <c r="A52" s="2153" t="s">
        <v>1352</v>
      </c>
      <c r="B52" s="3320" t="s">
        <v>1353</v>
      </c>
      <c r="C52" s="3320"/>
      <c r="D52" s="1024">
        <f ca="1">ROUND(D45*'数据-取费表'!B41/(1+'数据-取费表'!C42),0)</f>
        <v>7</v>
      </c>
      <c r="E52" s="1256" t="s">
        <v>1354</v>
      </c>
      <c r="F52" s="2339">
        <f>'数据-取费表'!B41</f>
        <v>5.6000000000000001E-2</v>
      </c>
      <c r="G52" s="2340"/>
      <c r="H52" s="2330"/>
      <c r="I52" s="1669"/>
      <c r="J52" s="2309">
        <v>1</v>
      </c>
      <c r="K52" s="3297" t="s">
        <v>1355</v>
      </c>
      <c r="L52" s="3297"/>
      <c r="M52" s="2311" t="b">
        <f>D48</f>
        <v>0</v>
      </c>
      <c r="N52" s="2309" t="str">
        <f>E48</f>
        <v>销售额×税（费）率</v>
      </c>
      <c r="O52" s="2312">
        <f>F48</f>
        <v>5.6000000000000001E-2</v>
      </c>
    </row>
    <row r="53" spans="1:35" ht="12" customHeight="1">
      <c r="A53" s="2153" t="s">
        <v>1356</v>
      </c>
      <c r="B53" s="3321" t="s">
        <v>2291</v>
      </c>
      <c r="C53" s="3322"/>
      <c r="D53" s="1024">
        <f ca="1">ROUND(D45*'数据-取费表'!B41/(1+'数据-取费表'!C42),0)</f>
        <v>7</v>
      </c>
      <c r="E53" s="1256" t="s">
        <v>1354</v>
      </c>
      <c r="F53" s="2339">
        <f>'数据-取费表'!B41</f>
        <v>5.6000000000000001E-2</v>
      </c>
      <c r="G53" s="2340"/>
      <c r="H53" s="2330"/>
      <c r="I53" s="1669"/>
      <c r="J53" s="2309">
        <v>2</v>
      </c>
      <c r="K53" s="3297" t="s">
        <v>1357</v>
      </c>
      <c r="L53" s="3297"/>
      <c r="M53" s="2311">
        <f t="shared" ref="M53:O54" ca="1" si="0">D55</f>
        <v>0</v>
      </c>
      <c r="N53" s="2309" t="str">
        <f t="shared" si="0"/>
        <v>销售额×税（费）率</v>
      </c>
      <c r="O53" s="2312" t="str">
        <f t="shared" si="0"/>
        <v>免征</v>
      </c>
    </row>
    <row r="54" spans="1:35" ht="12" customHeight="1">
      <c r="A54" s="2153" t="s">
        <v>1358</v>
      </c>
      <c r="B54" s="3321" t="s">
        <v>2292</v>
      </c>
      <c r="C54" s="3322"/>
      <c r="D54" s="1024">
        <f ca="1">C68</f>
        <v>7</v>
      </c>
      <c r="E54" s="319" t="s">
        <v>1359</v>
      </c>
      <c r="F54" s="2339">
        <f>'数据-取费表'!B41</f>
        <v>5.6000000000000001E-2</v>
      </c>
      <c r="G54" s="2340"/>
      <c r="H54" s="2341"/>
      <c r="I54" s="1669"/>
      <c r="J54" s="2309">
        <v>3</v>
      </c>
      <c r="K54" s="3297" t="s">
        <v>1360</v>
      </c>
      <c r="L54" s="3297"/>
      <c r="M54" s="2311">
        <f t="shared" ca="1" si="0"/>
        <v>69</v>
      </c>
      <c r="N54" s="2309" t="str">
        <f t="shared" si="0"/>
        <v>增值额×税（费）率</v>
      </c>
      <c r="O54" s="2313" t="str">
        <f t="shared" si="0"/>
        <v>免征</v>
      </c>
    </row>
    <row r="55" spans="1:35" ht="24" customHeight="1">
      <c r="A55" s="3357" t="s">
        <v>1361</v>
      </c>
      <c r="B55" s="3335"/>
      <c r="C55" s="3335"/>
      <c r="D55" s="12">
        <f ca="1">IF(H55="个人住宅",0,ROUND(D45*I55,0))</f>
        <v>0</v>
      </c>
      <c r="E55" s="1256" t="s">
        <v>1362</v>
      </c>
      <c r="F55" s="2339" t="str">
        <f>IF(H55="正常",I55,"免征")</f>
        <v>免征</v>
      </c>
      <c r="G55" s="2340"/>
      <c r="H55" s="2336"/>
      <c r="I55" s="157">
        <f>'数据-取费表'!B49</f>
        <v>5.0000000000000001E-4</v>
      </c>
      <c r="J55" s="2309">
        <f>IF(H59="非个人房产","",4)</f>
        <v>4</v>
      </c>
      <c r="K55" s="3297" t="str">
        <f>IF(H59="非个人房产","——","个人所得税")</f>
        <v>个人所得税</v>
      </c>
      <c r="L55" s="3297"/>
      <c r="M55" s="2314">
        <f ca="1">D59</f>
        <v>1</v>
      </c>
      <c r="N55" s="1883" t="str">
        <f>E59</f>
        <v>差额计税</v>
      </c>
      <c r="O55" s="2315">
        <f>F59</f>
        <v>0.01</v>
      </c>
    </row>
    <row r="56" spans="1:35" ht="26">
      <c r="A56" s="3357" t="s">
        <v>1363</v>
      </c>
      <c r="B56" s="3335"/>
      <c r="C56" s="3335"/>
      <c r="D56" s="12">
        <f ca="1">IF(H56="个人住宅",D57,D58)</f>
        <v>69</v>
      </c>
      <c r="E56" s="1256" t="s">
        <v>1364</v>
      </c>
      <c r="F56" s="2339" t="str">
        <f>IF(H56="正常",F58,"免征")</f>
        <v>免征</v>
      </c>
      <c r="G56" s="2342" t="s">
        <v>1365</v>
      </c>
      <c r="H56" s="2343"/>
      <c r="I56" s="1670"/>
      <c r="J56" s="2309" t="str">
        <f>IF(项目基本情况!K6="上海银行",IF(J55="",4,J55+1),"")</f>
        <v/>
      </c>
      <c r="K56" s="3278" t="str">
        <f>IF(项目基本情况!K6="上海银行","其他处置费用","")</f>
        <v/>
      </c>
      <c r="L56" s="3279"/>
      <c r="M56" s="2311" t="str">
        <f>IF(项目基本情况!K6="上海银行",M69,"")</f>
        <v/>
      </c>
      <c r="N56" s="3278" t="str">
        <f>IF(项目基本情况!K6="上海银行","包含处置中涉及的律师、诉讼、拍卖、评估等费用","")</f>
        <v/>
      </c>
      <c r="O56" s="3281"/>
    </row>
    <row r="57" spans="1:35" ht="13">
      <c r="A57" s="2153" t="s">
        <v>1341</v>
      </c>
      <c r="B57" s="3321" t="s">
        <v>1366</v>
      </c>
      <c r="C57" s="3322"/>
      <c r="D57" s="1478">
        <v>0</v>
      </c>
      <c r="E57" s="316" t="s">
        <v>1343</v>
      </c>
      <c r="F57" s="294"/>
      <c r="G57" s="2340"/>
      <c r="H57" s="2344"/>
      <c r="I57" s="1670"/>
      <c r="J57" s="3297">
        <f>IF(AND(J55="",J56=""),4,IF(项目基本情况!K6="上海银行",结果表!J56+1,结果表!J55+1))</f>
        <v>5</v>
      </c>
      <c r="K57" s="3297" t="s">
        <v>1367</v>
      </c>
      <c r="L57" s="2316" t="s">
        <v>1368</v>
      </c>
      <c r="M57" s="2317"/>
      <c r="N57" s="2318">
        <f ca="1">SUMIF(M52:M56,"&lt;9e307")</f>
        <v>70</v>
      </c>
      <c r="O57" s="2319"/>
      <c r="P57" s="2463">
        <f ca="1">N57/M49</f>
        <v>0.56721497447532621</v>
      </c>
    </row>
    <row r="58" spans="1:35" ht="26">
      <c r="A58" s="2153" t="s">
        <v>1352</v>
      </c>
      <c r="B58" s="3321" t="s">
        <v>1369</v>
      </c>
      <c r="C58" s="3320"/>
      <c r="D58" s="12">
        <f ca="1">IF(H58="转让取得",C81,C97)</f>
        <v>69</v>
      </c>
      <c r="E58" s="1256" t="s">
        <v>1364</v>
      </c>
      <c r="F58" s="294" t="s">
        <v>28</v>
      </c>
      <c r="G58" s="2340"/>
      <c r="H58" s="2343"/>
      <c r="I58" s="1670"/>
      <c r="J58" s="3297"/>
      <c r="K58" s="3297"/>
      <c r="L58" s="2316" t="s">
        <v>1370</v>
      </c>
      <c r="M58" s="2320"/>
      <c r="N58" s="2321" t="str">
        <f ca="1">NUMBERSTRING(INT(N57*10000),2)&amp;"元整"</f>
        <v>柒拾万元整</v>
      </c>
      <c r="O58" s="2322"/>
    </row>
    <row r="59" spans="1:35" ht="26.5" thickBot="1">
      <c r="A59" s="3301" t="s">
        <v>1371</v>
      </c>
      <c r="B59" s="3302"/>
      <c r="C59" s="3302"/>
      <c r="D59" s="2345">
        <f ca="1">IF(H59="非个人房产","——",IF(H59="个人住宅（满五唯一有凭证）",0,IF(H59="个人其他（无凭证）",ROUND(D45/(1+'数据-取费表'!C42)*F59,0),ROUND(C67*F59,0))))</f>
        <v>1</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299">
        <f>J57+1</f>
        <v>6</v>
      </c>
      <c r="K59" s="3297" t="s">
        <v>1372</v>
      </c>
      <c r="L59" s="2309" t="s">
        <v>1368</v>
      </c>
      <c r="M59" s="2323"/>
      <c r="N59" s="2324">
        <f ca="1">M49-N57</f>
        <v>53.41</v>
      </c>
      <c r="O59" s="2325"/>
    </row>
    <row r="60" spans="1:35" ht="12" customHeight="1">
      <c r="A60" s="1671"/>
      <c r="B60" s="646"/>
      <c r="C60" s="646"/>
      <c r="D60" s="646"/>
      <c r="E60" s="1466"/>
      <c r="F60" s="1670"/>
      <c r="G60" s="1670"/>
      <c r="H60" s="151"/>
      <c r="I60" s="121"/>
      <c r="J60" s="3300"/>
      <c r="K60" s="3297"/>
      <c r="L60" s="2316" t="s">
        <v>1370</v>
      </c>
      <c r="M60" s="2320"/>
      <c r="N60" s="2321" t="str">
        <f ca="1">NUMBERSTRING(INT(N59*10000),2)&amp;"元整"</f>
        <v>伍拾叁万肆仟壹佰元整</v>
      </c>
      <c r="O60" s="2322"/>
    </row>
    <row r="61" spans="1:35" ht="13.5" thickBot="1">
      <c r="A61" s="3356" t="s">
        <v>1373</v>
      </c>
      <c r="B61" s="3356"/>
      <c r="C61" s="3356"/>
      <c r="D61" s="3356"/>
      <c r="E61" s="3356"/>
      <c r="F61" s="1670"/>
      <c r="G61" s="1670"/>
      <c r="H61" s="151"/>
      <c r="I61" s="121"/>
      <c r="J61" s="2309">
        <f>J59+1</f>
        <v>7</v>
      </c>
      <c r="K61" s="3297" t="s">
        <v>1374</v>
      </c>
      <c r="L61" s="3297"/>
      <c r="M61" s="2326"/>
      <c r="N61" s="2327">
        <f ca="1">ROUND(N59*10000/'数据-汇总表'!E3,0)</f>
        <v>9556</v>
      </c>
      <c r="O61" s="2328"/>
    </row>
    <row r="62" spans="1:35" ht="13">
      <c r="A62" s="3316" t="s">
        <v>1375</v>
      </c>
      <c r="B62" s="3317"/>
      <c r="C62" s="1865"/>
      <c r="D62" s="1865" t="s">
        <v>1376</v>
      </c>
      <c r="E62" s="158" t="s">
        <v>1377</v>
      </c>
      <c r="F62" s="1670"/>
      <c r="G62" s="1670"/>
      <c r="H62" s="151"/>
      <c r="I62" s="121"/>
    </row>
    <row r="63" spans="1:35" ht="13">
      <c r="A63" s="165" t="s">
        <v>330</v>
      </c>
      <c r="B63" s="159" t="s">
        <v>1378</v>
      </c>
      <c r="C63" s="2349">
        <f ca="1">ROUND((C64+C65)/(1+'数据-取费表'!C42),0)</f>
        <v>117</v>
      </c>
      <c r="D63" s="159"/>
      <c r="E63" s="160"/>
      <c r="F63" s="1670"/>
      <c r="G63" s="1670"/>
      <c r="H63" s="151"/>
      <c r="I63" s="121"/>
      <c r="J63" s="3280" t="s">
        <v>1379</v>
      </c>
      <c r="K63" s="1245" t="s">
        <v>1380</v>
      </c>
      <c r="L63" s="1245">
        <f ca="1">IF(M49&gt;10000,M49*0.5%,IF(AND(M49&gt;1000,M49&lt;=10000),M49*1%,IF(AND(M49&gt;100,M49&lt;=1000),M49*3%,IF(AND(M49&gt;10,M49&lt;=100),M49*5%,M49*8%))))</f>
        <v>3.7022999999999997</v>
      </c>
      <c r="M63" s="294">
        <f ca="1">ROUND(L63,1)</f>
        <v>3.7</v>
      </c>
      <c r="N63" s="2329"/>
      <c r="Z63" s="1623"/>
      <c r="AI63" s="1561"/>
    </row>
    <row r="64" spans="1:35" ht="14.25" customHeight="1">
      <c r="A64" s="161" t="s">
        <v>325</v>
      </c>
      <c r="B64" s="162" t="s">
        <v>1381</v>
      </c>
      <c r="C64" s="2350">
        <f ca="1">D45</f>
        <v>123</v>
      </c>
      <c r="D64" s="162" t="s">
        <v>26</v>
      </c>
      <c r="E64" s="164"/>
      <c r="F64" s="1670"/>
      <c r="G64" s="1670"/>
      <c r="H64" s="151"/>
      <c r="I64" s="121"/>
      <c r="J64" s="3280"/>
      <c r="K64" s="1245" t="s">
        <v>1382</v>
      </c>
      <c r="L64" s="1245">
        <f ca="1">IF(M49&gt;2000,M49*0.5%,IF(AND(M49&gt;1000,M49&lt;=2000),M49*0.6%,IF(AND(M49&gt;500,M49&lt;=1000),M49*0.7%,IF(AND(M49&gt;200,M49&lt;=500),M49*0.8%,IF(AND(M49&gt;100,M49&lt;=200),M49*0.9%,IF(AND(M49&gt;50,M49&lt;=100),M49*1%,IF(AND(M49&gt;20,M49&lt;=50),M49*1.5%,IF(AND(M49&gt;10,M49&lt;=20),M49*2%,IF(AND(M49&gt;1,M49&lt;=10),M49*2.5%)))))))))</f>
        <v>1.1106900000000002</v>
      </c>
      <c r="M64" s="294">
        <f t="shared" ref="M64:M65" ca="1" si="1">ROUND(L64,1)</f>
        <v>1.1000000000000001</v>
      </c>
      <c r="N64" s="2330" t="s">
        <v>1383</v>
      </c>
      <c r="Z64" s="1623"/>
      <c r="AI64" s="1561"/>
    </row>
    <row r="65" spans="1:35" ht="14.25" customHeight="1">
      <c r="A65" s="161" t="s">
        <v>326</v>
      </c>
      <c r="B65" s="162" t="s">
        <v>1384</v>
      </c>
      <c r="C65" s="2351"/>
      <c r="D65" s="162"/>
      <c r="E65" s="164"/>
      <c r="F65" s="1670"/>
      <c r="G65" s="1670"/>
      <c r="H65" s="151"/>
      <c r="I65" s="121"/>
      <c r="J65" s="3280"/>
      <c r="K65" s="1245" t="s">
        <v>1385</v>
      </c>
      <c r="L65" s="1245">
        <f ca="1">IF(M49&gt;1000,M49*0.1%,IF(AND(M49&gt;500,M49&lt;=1000),M49*0.5%,IF(AND(M49&gt;50,M49&lt;=500),M49*1%,IF(AND(M49&gt;1,M49&lt;=50),M49*1.5%))))</f>
        <v>1.2341</v>
      </c>
      <c r="M65" s="294">
        <f t="shared" ca="1" si="1"/>
        <v>1.2</v>
      </c>
      <c r="N65" s="2330" t="s">
        <v>1383</v>
      </c>
      <c r="Z65" s="1623"/>
      <c r="AI65" s="1561"/>
    </row>
    <row r="66" spans="1:35" ht="14.25" customHeight="1">
      <c r="A66" s="165" t="s">
        <v>327</v>
      </c>
      <c r="B66" s="166" t="s">
        <v>1386</v>
      </c>
      <c r="C66" s="2352"/>
      <c r="D66" s="166" t="s">
        <v>26</v>
      </c>
      <c r="E66" s="1251" t="s">
        <v>671</v>
      </c>
      <c r="F66" s="1670"/>
      <c r="G66" s="1670"/>
      <c r="H66" s="151"/>
      <c r="I66" s="121"/>
      <c r="J66" s="3280"/>
      <c r="K66" s="1245" t="s">
        <v>1387</v>
      </c>
      <c r="L66" s="1245">
        <f ca="1">M49*0.5%</f>
        <v>0.61704999999999999</v>
      </c>
      <c r="M66" s="294">
        <f ca="1">IF(L66&gt;0.5,0.5,ROUND(L66,0))</f>
        <v>0.5</v>
      </c>
      <c r="N66" s="2330" t="s">
        <v>1388</v>
      </c>
      <c r="Z66" s="1623"/>
      <c r="AI66" s="1561"/>
    </row>
    <row r="67" spans="1:35" ht="14.25" customHeight="1">
      <c r="A67" s="165" t="s">
        <v>328</v>
      </c>
      <c r="B67" s="166" t="s">
        <v>1389</v>
      </c>
      <c r="C67" s="2353">
        <f ca="1">C63-C66</f>
        <v>117</v>
      </c>
      <c r="D67" s="162" t="s">
        <v>26</v>
      </c>
      <c r="E67" s="164"/>
      <c r="F67" s="1670"/>
      <c r="G67" s="1670"/>
      <c r="H67" s="151"/>
      <c r="I67" s="121"/>
      <c r="J67" s="3280"/>
      <c r="K67" s="1245" t="s">
        <v>1390</v>
      </c>
      <c r="L67" s="1245">
        <f ca="1">IF(M49&gt;=10000,(8.25+(M49-10000)*0.01%),IF(AND(M49&gt;=8000,M49&lt;10000),(7.85+(M49-8000)*0.02%),IF(AND(M49&gt;=5000,M49&lt;8000),(6.65+(M49-5000)*0.04%),IF(AND(M49&gt;=2000,M49&lt;5000),(4.25+(PM49-2000)*0.08%),IF(AND(M49&gt;=1000,M49&lt;2000),(2.75+(M49-1000)*0.15%),IF(AND(M49&gt;=100,M49&lt;1000),(0.5+(M49-100)*0.25%),IF(AND(M49&gt;0,M49&lt;100),M49*0.5%)))))))</f>
        <v>0.55852499999999994</v>
      </c>
      <c r="M67" s="294">
        <f ca="1">ROUND(L67*0.9,1)</f>
        <v>0.5</v>
      </c>
      <c r="N67" s="2329"/>
      <c r="Z67" s="1623"/>
      <c r="AI67" s="1561"/>
    </row>
    <row r="68" spans="1:35" ht="14.25" customHeight="1" thickBot="1">
      <c r="A68" s="168" t="s">
        <v>329</v>
      </c>
      <c r="B68" s="169" t="s">
        <v>1391</v>
      </c>
      <c r="C68" s="2354">
        <f ca="1">IF(C67&lt;=0,0,ROUND(C67*D68,0))</f>
        <v>7</v>
      </c>
      <c r="D68" s="2355">
        <f>'数据-取费表'!B41</f>
        <v>5.6000000000000001E-2</v>
      </c>
      <c r="E68" s="170"/>
      <c r="F68" s="1670"/>
      <c r="G68" s="1670"/>
      <c r="H68" s="151"/>
      <c r="I68" s="121"/>
      <c r="J68" s="3280"/>
      <c r="K68" s="1245" t="s">
        <v>1392</v>
      </c>
      <c r="L68" s="1245">
        <f ca="1">IF(M49&gt;10000,M49*0.5%,IF(AND(M49&gt;5000,M49&lt;=10000),M49*1%,IF(AND(M49&gt;1000,M49&lt;=5000),M49*2%,IF(AND(M49&gt;200,M49&lt;=1000),M49*3%,M49*5%))))</f>
        <v>6.1705000000000005</v>
      </c>
      <c r="M68" s="294">
        <f ca="1">ROUND(L68,1)</f>
        <v>6.2</v>
      </c>
      <c r="N68" s="2329"/>
      <c r="Z68" s="1623"/>
      <c r="AI68" s="1561"/>
    </row>
    <row r="69" spans="1:35" ht="16.5" customHeight="1">
      <c r="A69" s="1672"/>
      <c r="B69" s="1673"/>
      <c r="C69" s="1674"/>
      <c r="D69" s="1675"/>
      <c r="E69" s="1676"/>
      <c r="F69" s="1466"/>
      <c r="G69" s="1466"/>
      <c r="H69" s="1467"/>
      <c r="I69" s="646"/>
      <c r="J69" s="3280"/>
      <c r="K69" s="1245" t="s">
        <v>1393</v>
      </c>
      <c r="L69" s="1245"/>
      <c r="M69" s="294">
        <f ca="1">ROUND(SUM(M63:M68),0)</f>
        <v>13</v>
      </c>
      <c r="N69" s="2331">
        <f ca="1">M69/M49</f>
        <v>0.105339923831132</v>
      </c>
      <c r="Z69" s="1623"/>
      <c r="AI69" s="1561"/>
    </row>
    <row r="70" spans="1:35" s="642" customFormat="1" ht="14.5" thickBot="1">
      <c r="A70" s="3324" t="s">
        <v>1394</v>
      </c>
      <c r="B70" s="3325"/>
      <c r="C70" s="3325"/>
      <c r="D70" s="3325"/>
      <c r="E70" s="3325"/>
      <c r="F70" s="3325"/>
      <c r="G70" s="3325"/>
      <c r="H70" s="3325"/>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4">
      <c r="A71" s="3316" t="s">
        <v>1375</v>
      </c>
      <c r="B71" s="3317"/>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4">
      <c r="A72" s="165" t="s">
        <v>330</v>
      </c>
      <c r="B72" s="166" t="s">
        <v>1395</v>
      </c>
      <c r="C72" s="2353">
        <f ca="1">ROUND(D45/(1+'数据-取费表'!C42),0)</f>
        <v>117</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4">
      <c r="A73" s="165" t="s">
        <v>327</v>
      </c>
      <c r="B73" s="155" t="s">
        <v>1396</v>
      </c>
      <c r="C73" s="2353">
        <f ca="1">C74+C78</f>
        <v>1</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6">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14">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321" t="s">
        <v>1402</v>
      </c>
      <c r="F76" s="3320"/>
      <c r="G76" s="3320"/>
      <c r="H76" s="3323"/>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1</v>
      </c>
      <c r="D78" s="2362">
        <f>'数据-取费表'!B43</f>
        <v>6.000000000000001E-3</v>
      </c>
      <c r="E78" s="3313" t="s">
        <v>1406</v>
      </c>
      <c r="F78" s="3314"/>
      <c r="G78" s="3314"/>
      <c r="H78" s="3315"/>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4">
      <c r="A79" s="165" t="s">
        <v>334</v>
      </c>
      <c r="B79" s="166" t="s">
        <v>1407</v>
      </c>
      <c r="C79" s="2353">
        <f ca="1">C72-C73</f>
        <v>116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6">
      <c r="A80" s="165" t="s">
        <v>335</v>
      </c>
      <c r="B80" s="166" t="s">
        <v>1408</v>
      </c>
      <c r="C80" s="2363">
        <f ca="1">IF(C79&lt;=0,0,C79/C73)</f>
        <v>116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6.5" thickBot="1">
      <c r="A81" s="168" t="s">
        <v>336</v>
      </c>
      <c r="B81" s="169" t="s">
        <v>1409</v>
      </c>
      <c r="C81" s="2364">
        <f ca="1">ROUND(IF(C79&lt;=0,0,IF(C80&gt;=200%,C79*60%-C73*35%,IF(C80&gt;=100%,C79*50%-C73*15%,IF(C80&gt;=50%,C79*40%-C73*5%,IF(C80&lt;50%,C79*30%,0))))),0)</f>
        <v>69</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5" thickBot="1">
      <c r="A83" s="3324" t="s">
        <v>1410</v>
      </c>
      <c r="B83" s="3325"/>
      <c r="C83" s="3325"/>
      <c r="D83" s="3325"/>
      <c r="E83" s="3325"/>
      <c r="F83" s="3325"/>
      <c r="G83" s="3325"/>
      <c r="H83" s="3325"/>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4">
      <c r="A84" s="3316" t="s">
        <v>1375</v>
      </c>
      <c r="B84" s="3317"/>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4">
      <c r="A85" s="165" t="s">
        <v>330</v>
      </c>
      <c r="B85" s="166" t="s">
        <v>1395</v>
      </c>
      <c r="C85" s="2353">
        <f ca="1">ROUND(D45/(1+'数据-取费表'!C42),0)</f>
        <v>117</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4">
      <c r="A86" s="165" t="s">
        <v>327</v>
      </c>
      <c r="B86" s="155" t="s">
        <v>1396</v>
      </c>
      <c r="C86" s="2353">
        <f ca="1">IF(H88="仅含出让金",C87+C90+C91+C92+C93+C94,C87+C91+C92+C93+C94)</f>
        <v>1</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4">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4">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
      <c r="A90" s="161" t="s">
        <v>326</v>
      </c>
      <c r="B90" s="162" t="s">
        <v>1416</v>
      </c>
      <c r="C90" s="2367"/>
      <c r="D90" s="2362"/>
      <c r="E90" s="185" t="str">
        <f>IF(H88="-","土地取得成本中已包含该笔费用"," ")</f>
        <v xml:space="preserve"> </v>
      </c>
      <c r="F90" s="2148"/>
      <c r="G90" s="3282" t="s">
        <v>2129</v>
      </c>
      <c r="H90" s="3283"/>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313" t="s">
        <v>1419</v>
      </c>
      <c r="F91" s="3314"/>
      <c r="G91" s="331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313" t="s">
        <v>1422</v>
      </c>
      <c r="F92" s="3314"/>
      <c r="G92" s="3314"/>
      <c r="H92" s="3315"/>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1</v>
      </c>
      <c r="D93" s="2362">
        <f>'数据-取费表'!B43</f>
        <v>6.000000000000001E-3</v>
      </c>
      <c r="E93" s="3313" t="s">
        <v>1406</v>
      </c>
      <c r="F93" s="3314"/>
      <c r="G93" s="3314"/>
      <c r="H93" s="3315"/>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358" t="s">
        <v>1426</v>
      </c>
      <c r="F94" s="3359"/>
      <c r="G94" s="3359"/>
      <c r="H94" s="3360"/>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4">
      <c r="A95" s="165" t="s">
        <v>334</v>
      </c>
      <c r="B95" s="166" t="s">
        <v>1407</v>
      </c>
      <c r="C95" s="2353">
        <f ca="1">ROUND(C85-C86,0)</f>
        <v>116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6">
      <c r="A96" s="165" t="s">
        <v>335</v>
      </c>
      <c r="B96" s="166" t="s">
        <v>1408</v>
      </c>
      <c r="C96" s="2363">
        <f ca="1">IF(C95&lt;=0,0,C95/C86)</f>
        <v>116</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6.5" thickBot="1">
      <c r="A97" s="168" t="s">
        <v>336</v>
      </c>
      <c r="B97" s="169" t="s">
        <v>1409</v>
      </c>
      <c r="C97" s="2364">
        <f ca="1">ROUND(IF(C95&lt;=0,0,IF(C96&gt;=200%,C95*60%-C86*35%,IF(C96&gt;=100%,C95*50%-C86*15%,IF(C96&gt;=50%,C95*40%-C86*5%,IF(C96&lt;50%,C95*30%,0))))),0)</f>
        <v>69</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63" t="s">
        <v>1428</v>
      </c>
      <c r="B100" s="3264"/>
      <c r="C100" s="3264"/>
      <c r="D100" s="3298"/>
      <c r="E100" s="3264" t="s">
        <v>1429</v>
      </c>
      <c r="F100" s="3264"/>
      <c r="G100" s="3264"/>
      <c r="H100" s="3298"/>
      <c r="I100" s="121"/>
    </row>
    <row r="101" spans="1:35" ht="18.75" customHeight="1">
      <c r="A101" s="3306" t="s">
        <v>1430</v>
      </c>
      <c r="B101" s="3307"/>
      <c r="C101" s="2370" t="str">
        <f>C4</f>
        <v>比较法-办公</v>
      </c>
      <c r="D101" s="2371" t="str">
        <f>D4</f>
        <v>收益法 (元)</v>
      </c>
      <c r="E101" s="3276" t="s">
        <v>1431</v>
      </c>
      <c r="F101" s="3277"/>
      <c r="G101" s="1687" t="s">
        <v>1432</v>
      </c>
      <c r="H101" s="2380">
        <f ca="1">H118</f>
        <v>123.41</v>
      </c>
      <c r="I101" s="121"/>
    </row>
    <row r="102" spans="1:35" ht="18.75" customHeight="1">
      <c r="A102" s="3308" t="s">
        <v>1433</v>
      </c>
      <c r="B102" s="2369" t="s">
        <v>1432</v>
      </c>
      <c r="C102" s="2370">
        <f ca="1">IF(D32="楼面单价",ROUND(C19,0),C19)</f>
        <v>136</v>
      </c>
      <c r="D102" s="2371">
        <f ca="1">IF(D32="楼面单价",ROUND(D19,0),D19)</f>
        <v>94</v>
      </c>
      <c r="E102" s="3276"/>
      <c r="F102" s="3277"/>
      <c r="G102" s="1687" t="s">
        <v>1434</v>
      </c>
      <c r="H102" s="2340">
        <f ca="1">I118</f>
        <v>22080</v>
      </c>
      <c r="I102" s="121"/>
    </row>
    <row r="103" spans="1:35" ht="42.75" customHeight="1">
      <c r="A103" s="3308"/>
      <c r="B103" s="2369" t="s">
        <v>1434</v>
      </c>
      <c r="C103" s="2372">
        <f ca="1">C20</f>
        <v>24364</v>
      </c>
      <c r="D103" s="2373">
        <f ca="1">D20</f>
        <v>16749</v>
      </c>
      <c r="E103" s="3269" t="s">
        <v>1435</v>
      </c>
      <c r="F103" s="3270"/>
      <c r="G103" s="1688" t="s">
        <v>1436</v>
      </c>
      <c r="H103" s="2380">
        <f>IF(D36="正常操作",H104+H105+H106,H105+H106)</f>
        <v>0</v>
      </c>
      <c r="I103" s="121"/>
    </row>
    <row r="104" spans="1:35" ht="18.75" customHeight="1">
      <c r="A104" s="3308" t="s">
        <v>1437</v>
      </c>
      <c r="B104" s="2374" t="s">
        <v>1432</v>
      </c>
      <c r="C104" s="2375">
        <f ca="1">H118</f>
        <v>123.41</v>
      </c>
      <c r="D104" s="2376"/>
      <c r="E104" s="1555" t="s">
        <v>1438</v>
      </c>
      <c r="F104" s="1548"/>
      <c r="G104" s="1688" t="s">
        <v>1436</v>
      </c>
      <c r="H104" s="2381">
        <f>IF(D36="同一抵押权人同一抵押物续贷",C36&amp;"（续贷，未扣减，详见特别提示）",C36)</f>
        <v>0</v>
      </c>
      <c r="I104" s="121"/>
    </row>
    <row r="105" spans="1:35" ht="18.75" customHeight="1" thickBot="1">
      <c r="A105" s="3318"/>
      <c r="B105" s="2377" t="s">
        <v>1434</v>
      </c>
      <c r="C105" s="2378">
        <f ca="1">I118</f>
        <v>22080</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309" t="str">
        <f>IF(项目基本情况!E8="已注销","——","3.房地产抵押价值")</f>
        <v>3.房地产抵押价值</v>
      </c>
      <c r="F107" s="3277"/>
      <c r="G107" s="1687" t="s">
        <v>1432</v>
      </c>
      <c r="H107" s="2380">
        <f ca="1">IF(E107="——","——",H101-H103)</f>
        <v>123.41</v>
      </c>
      <c r="I107" s="121"/>
    </row>
    <row r="108" spans="1:35" ht="18.75" customHeight="1">
      <c r="A108" s="121"/>
      <c r="B108" s="121"/>
      <c r="C108" s="121"/>
      <c r="D108" s="121"/>
      <c r="E108" s="3309"/>
      <c r="F108" s="3277"/>
      <c r="G108" s="1687" t="s">
        <v>1434</v>
      </c>
      <c r="H108" s="2340">
        <f ca="1">IF(H107=H101,H102,ROUND(H107*10000/'数据-汇总表'!E3,0))</f>
        <v>22080</v>
      </c>
      <c r="I108" s="121"/>
    </row>
    <row r="109" spans="1:35" ht="18.75" customHeight="1">
      <c r="A109" s="121"/>
      <c r="B109" s="121"/>
      <c r="C109" s="121"/>
      <c r="D109" s="121"/>
      <c r="E109" s="3309" t="str">
        <f>IF(项目基本情况!E8="已注销及未注销","4.抵押担保权已注销时的房地产抵押价值",IF(项目基本情况!E8="已注销","3.抵押担保权已注销时的房地产抵押价值","——"))</f>
        <v>——</v>
      </c>
      <c r="F109" s="3277"/>
      <c r="G109" s="1687" t="s">
        <v>1432</v>
      </c>
      <c r="H109" s="2383" t="str">
        <f>IF(E109="——","——",H101-H105-H106)</f>
        <v>——</v>
      </c>
      <c r="I109" s="121"/>
    </row>
    <row r="110" spans="1:35" ht="18.75" customHeight="1">
      <c r="A110" s="121"/>
      <c r="B110" s="121"/>
      <c r="C110" s="121"/>
      <c r="D110" s="121"/>
      <c r="E110" s="3309"/>
      <c r="F110" s="3277"/>
      <c r="G110" s="1687" t="s">
        <v>1434</v>
      </c>
      <c r="H110" s="2340" t="str">
        <f>IF(H109="——","——",ROUND(H109*10000/'数据-汇总表'!E3,0))</f>
        <v>——</v>
      </c>
      <c r="I110" s="121"/>
    </row>
    <row r="111" spans="1:35" ht="18.75" customHeight="1">
      <c r="A111" s="121"/>
      <c r="B111" s="121"/>
      <c r="C111" s="121"/>
      <c r="D111" s="121"/>
      <c r="E111" s="3310" t="str">
        <f>IF(项目基本情况!E9="抵押净值",IF(OR(项目基本情况!E8="已注销",项目基本情况!E8="房地产抵押价值"),"4.抵押净值","5.抵押净值"),"——")</f>
        <v>——</v>
      </c>
      <c r="F111" s="3296"/>
      <c r="G111" s="1687" t="s">
        <v>1432</v>
      </c>
      <c r="H111" s="2380" t="str">
        <f>IF(E111="——","——",N59)</f>
        <v>——</v>
      </c>
      <c r="I111" s="121"/>
    </row>
    <row r="112" spans="1:35" ht="18.75" customHeight="1" thickBot="1">
      <c r="A112" s="121"/>
      <c r="B112" s="121"/>
      <c r="C112" s="121"/>
      <c r="D112" s="121"/>
      <c r="E112" s="3311"/>
      <c r="F112" s="3312"/>
      <c r="G112" s="1690" t="s">
        <v>1434</v>
      </c>
      <c r="H112" s="2384" t="str">
        <f>IF(E111="——","——",N61)</f>
        <v>——</v>
      </c>
      <c r="I112" s="121"/>
    </row>
    <row r="113" spans="1:27" ht="18.75" customHeight="1">
      <c r="A113" s="121"/>
      <c r="B113" s="121"/>
      <c r="C113" s="121"/>
      <c r="D113" s="121"/>
      <c r="E113" s="3319" t="s">
        <v>1440</v>
      </c>
      <c r="F113" s="3319"/>
      <c r="G113" s="3319"/>
      <c r="H113" s="3319"/>
      <c r="I113" s="121"/>
    </row>
    <row r="114" spans="1:27" ht="3.75" customHeight="1">
      <c r="A114" s="646"/>
      <c r="B114" s="646"/>
      <c r="C114" s="646"/>
      <c r="D114" s="646"/>
      <c r="E114" s="1671"/>
      <c r="F114" s="1671"/>
      <c r="G114" s="1671"/>
      <c r="H114" s="1671"/>
      <c r="I114" s="646"/>
    </row>
    <row r="115" spans="1:27" ht="18.75" customHeight="1">
      <c r="A115" s="3327" t="s">
        <v>1442</v>
      </c>
      <c r="B115" s="3328"/>
      <c r="C115" s="3328"/>
      <c r="D115" s="3328"/>
      <c r="E115" s="3328"/>
      <c r="F115" s="3328"/>
      <c r="G115" s="3328"/>
      <c r="H115" s="3328"/>
      <c r="I115" s="3329"/>
    </row>
    <row r="116" spans="1:27" ht="27" customHeight="1">
      <c r="A116" s="3284" t="s">
        <v>1443</v>
      </c>
      <c r="B116" s="3288" t="s">
        <v>1444</v>
      </c>
      <c r="C116" s="3288" t="s">
        <v>1445</v>
      </c>
      <c r="D116" s="3294" t="s">
        <v>1446</v>
      </c>
      <c r="E116" s="3295"/>
      <c r="F116" s="3326" t="s">
        <v>1447</v>
      </c>
      <c r="G116" s="3326"/>
      <c r="H116" s="3284" t="s">
        <v>1448</v>
      </c>
      <c r="I116" s="3284"/>
    </row>
    <row r="117" spans="1:27" ht="18.75" customHeight="1">
      <c r="A117" s="3284"/>
      <c r="B117" s="3289"/>
      <c r="C117" s="3289"/>
      <c r="D117" s="2150" t="s">
        <v>1449</v>
      </c>
      <c r="E117" s="2150" t="s">
        <v>1450</v>
      </c>
      <c r="F117" s="2150" t="s">
        <v>1449</v>
      </c>
      <c r="G117" s="2150" t="s">
        <v>1451</v>
      </c>
      <c r="H117" s="2150" t="s">
        <v>1449</v>
      </c>
      <c r="I117" s="2150" t="s">
        <v>1451</v>
      </c>
    </row>
    <row r="118" spans="1:27" ht="24.75" customHeight="1">
      <c r="A118" s="2385" t="str">
        <f>项目基本情况!S2</f>
        <v>北京市朝阳区望京园603号楼8层907房地产</v>
      </c>
      <c r="B118" s="2150">
        <f>M18</f>
        <v>55.89</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3180">
        <f ca="1">ROUND(IF(D32="总价",C32,I118*B118/10000),2)</f>
        <v>123.41</v>
      </c>
      <c r="I118" s="2150">
        <f ca="1">ROUND(IF(D32="楼面单价",C32,H118*10000/B118),0)</f>
        <v>22080</v>
      </c>
    </row>
    <row r="119" spans="1:27" ht="18.75" customHeight="1">
      <c r="A119" s="3284" t="s">
        <v>1452</v>
      </c>
      <c r="B119" s="3284"/>
      <c r="C119" s="3284"/>
      <c r="D119" s="3290" t="str">
        <f>NUMBERSTRING(INT(D118*10000),2)&amp;"元整"</f>
        <v>零元整</v>
      </c>
      <c r="E119" s="3291"/>
      <c r="F119" s="3290" t="str">
        <f>NUMBERSTRING(INT(F118*10000),2)&amp;"元整"</f>
        <v>零元整</v>
      </c>
      <c r="G119" s="3291"/>
      <c r="H119" s="3290" t="str">
        <f ca="1">NUMBERSTRING(INT(H118*10000),2)&amp;"元整"</f>
        <v>壹佰贰拾叁万肆仟壹佰元整</v>
      </c>
      <c r="I119" s="3291"/>
    </row>
    <row r="120" spans="1:27" ht="18.75" customHeight="1">
      <c r="A120" s="3285" t="str">
        <f>IF(项目基本情况!B9="房地产市场价值","",MID(E103,3,LEN(E103)-2))</f>
        <v>估价师知悉的法定优先受偿款</v>
      </c>
      <c r="B120" s="3286"/>
      <c r="C120" s="3287"/>
      <c r="D120" s="3285">
        <f>H103</f>
        <v>0</v>
      </c>
      <c r="E120" s="3286"/>
      <c r="F120" s="3286"/>
      <c r="G120" s="3286"/>
      <c r="H120" s="3286"/>
      <c r="I120" s="3287"/>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290" t="s">
        <v>1452</v>
      </c>
      <c r="B121" s="3292"/>
      <c r="C121" s="3291"/>
      <c r="D121" s="3290" t="str">
        <f>IF(D120=0,"零元整",NUMBERSTRING(INT(D120*10000),2)&amp;"元整")</f>
        <v>零元整</v>
      </c>
      <c r="E121" s="3292"/>
      <c r="F121" s="3292"/>
      <c r="G121" s="3292"/>
      <c r="H121" s="3292"/>
      <c r="I121" s="3291"/>
      <c r="AA121" s="684"/>
    </row>
    <row r="122" spans="1:27" ht="18.75" customHeight="1">
      <c r="A122" s="3296" t="str">
        <f>IF(项目基本情况!B9="房地产市场价值","",MID(E107,3,LEN(E107)-2))</f>
        <v>房地产抵押价值</v>
      </c>
      <c r="B122" s="3296"/>
      <c r="C122" s="3296"/>
      <c r="D122" s="3285">
        <f ca="1">H107</f>
        <v>123.41</v>
      </c>
      <c r="E122" s="3286"/>
      <c r="F122" s="3286"/>
      <c r="G122" s="3286"/>
      <c r="H122" s="3286"/>
      <c r="I122" s="3287"/>
      <c r="AA122" s="684"/>
    </row>
    <row r="123" spans="1:27" ht="18.75" customHeight="1">
      <c r="A123" s="3284" t="s">
        <v>1452</v>
      </c>
      <c r="B123" s="3284"/>
      <c r="C123" s="3284"/>
      <c r="D123" s="3290" t="str">
        <f ca="1">NUMBERSTRING(INT(D122*10000),2)&amp;"元整"</f>
        <v>壹佰贰拾叁万肆仟壹佰元整</v>
      </c>
      <c r="E123" s="3292"/>
      <c r="F123" s="3292"/>
      <c r="G123" s="3292"/>
      <c r="H123" s="3292"/>
      <c r="I123" s="3291"/>
      <c r="AA123" s="684"/>
    </row>
    <row r="124" spans="1:27" ht="18.75" customHeight="1">
      <c r="A124" s="3296" t="str">
        <f>IF(项目基本情况!B9="房地产市场价值","",MID(E109,3,LEN(E109)-2))</f>
        <v/>
      </c>
      <c r="B124" s="3296"/>
      <c r="C124" s="3296"/>
      <c r="D124" s="3285" t="str">
        <f>H109</f>
        <v>——</v>
      </c>
      <c r="E124" s="3286"/>
      <c r="F124" s="3286"/>
      <c r="G124" s="3286"/>
      <c r="H124" s="3286"/>
      <c r="I124" s="3287"/>
      <c r="AA124" s="684"/>
    </row>
    <row r="125" spans="1:27" ht="18.75" customHeight="1">
      <c r="A125" s="3284" t="s">
        <v>1452</v>
      </c>
      <c r="B125" s="3284"/>
      <c r="C125" s="3284"/>
      <c r="D125" s="3290" t="e">
        <f>NUMBERSTRING(INT(D124*10000),2)&amp;"元整"</f>
        <v>#VALUE!</v>
      </c>
      <c r="E125" s="3292"/>
      <c r="F125" s="3292"/>
      <c r="G125" s="3292"/>
      <c r="H125" s="3292"/>
      <c r="I125" s="3291"/>
      <c r="AA125" s="684"/>
    </row>
    <row r="126" spans="1:27" ht="18.75" customHeight="1">
      <c r="A126" s="3296" t="str">
        <f>IF(项目基本情况!B9="房地产市场价值","",MID(E111,3,LEN(E111)-2))</f>
        <v/>
      </c>
      <c r="B126" s="3296"/>
      <c r="C126" s="3296"/>
      <c r="D126" s="3285" t="str">
        <f>H111</f>
        <v>——</v>
      </c>
      <c r="E126" s="3286"/>
      <c r="F126" s="3286"/>
      <c r="G126" s="3286"/>
      <c r="H126" s="3286"/>
      <c r="I126" s="3287"/>
      <c r="AA126" s="684"/>
    </row>
    <row r="127" spans="1:27" ht="18.75" customHeight="1">
      <c r="A127" s="3284" t="s">
        <v>1452</v>
      </c>
      <c r="B127" s="3284"/>
      <c r="C127" s="3284"/>
      <c r="D127" s="3290" t="e">
        <f>NUMBERSTRING(INT(D126*10000),2)&amp;"元整"</f>
        <v>#VALUE!</v>
      </c>
      <c r="E127" s="3292"/>
      <c r="F127" s="3292"/>
      <c r="G127" s="3292"/>
      <c r="H127" s="3292"/>
      <c r="I127" s="3291"/>
      <c r="AA127" s="684"/>
    </row>
    <row r="128" spans="1:27" ht="21.75" customHeight="1">
      <c r="A128" s="3293" t="s">
        <v>1453</v>
      </c>
      <c r="B128" s="3293"/>
      <c r="C128" s="3293"/>
      <c r="D128" s="3293"/>
      <c r="E128" s="3293"/>
      <c r="F128" s="3293"/>
      <c r="G128" s="3293"/>
      <c r="H128" s="3293"/>
      <c r="I128" s="3293"/>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algorithmName="SHA-512" hashValue="SpzYW6vtCn/6nwe8tH6eBvmwUcu8TLqAI8ESA43FCkM3rLI2AiZOzv6+wGAQz3VK+jPA7e3JnYn8dHi2ygx0uQ==" saltValue="hJpAoxuYnNg6bTwGdZ8pZg==" spinCount="100000"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6328125" defaultRowHeight="12.5"/>
  <cols>
    <col min="1" max="1" width="10.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21</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3757</v>
      </c>
      <c r="C3" s="191" t="s">
        <v>1465</v>
      </c>
      <c r="D3" s="191"/>
      <c r="E3" s="191"/>
      <c r="F3" s="191"/>
      <c r="G3" s="191"/>
    </row>
    <row r="4" spans="1:9" s="200" customFormat="1" ht="16">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ht="13">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v>
      </c>
      <c r="D10" s="795">
        <f ca="1">IF(B1="",'数据-汇总表'!E6,IF(INDIRECT("'数据-取费表'!c"&amp;$G$1)="住宅",INDIRECT("'数据-取费表'!s"&amp;$G$1),INDIRECT("'数据-取费表'!k"&amp;$G$1)+INDIRECT("'数据-取费表'!s"&amp;$G$1)))</f>
        <v>55.89</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v>
      </c>
      <c r="D19" s="204">
        <f ca="1">D9+D10</f>
        <v>55.89</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0</v>
      </c>
      <c r="D22" s="227">
        <f ca="1">C26</f>
        <v>5.9999999999999995E-4</v>
      </c>
      <c r="E22" s="228" t="s">
        <v>1498</v>
      </c>
      <c r="F22" s="229">
        <f ca="1">'数据-取费表'!B40</f>
        <v>3.1300000000000001E-2</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0</v>
      </c>
      <c r="D24" s="230"/>
      <c r="E24" s="230"/>
      <c r="F24" s="231"/>
      <c r="G24" s="232" t="s">
        <v>1507</v>
      </c>
    </row>
    <row r="25" spans="1:7" s="206" customFormat="1" ht="26">
      <c r="A25" s="734" t="s">
        <v>1508</v>
      </c>
      <c r="B25" s="207" t="s">
        <v>1509</v>
      </c>
      <c r="C25" s="1042">
        <f ca="1">ROUND(IF('数据-取费表'!B22&lt;=1,C20*F22*'数据-取费表'!B23/2,C20*(POWER((1+F22),'数据-取费表'!B23/2)-1)),0)</f>
        <v>0</v>
      </c>
      <c r="D25" s="230"/>
      <c r="E25" s="233"/>
      <c r="F25" s="231"/>
      <c r="G25" s="234" t="s">
        <v>1510</v>
      </c>
    </row>
    <row r="26" spans="1:7" s="206" customFormat="1" ht="13">
      <c r="A26" s="734" t="s">
        <v>350</v>
      </c>
      <c r="B26" s="207" t="s">
        <v>1511</v>
      </c>
      <c r="C26" s="230">
        <f ca="1">ROUND(IF('数据-取费表'!B22&lt;=1,F21*F22*'数据-取费表'!B23/2,F21*(POWER((1+F22),'数据-取费表'!B23/2)-1)),4)</f>
        <v>5.9999999999999995E-4</v>
      </c>
      <c r="D26" s="230"/>
      <c r="E26" s="233"/>
      <c r="F26" s="231"/>
      <c r="G26" s="235"/>
    </row>
    <row r="27" spans="1:7" s="206" customFormat="1" ht="27">
      <c r="A27" s="247" t="s">
        <v>1512</v>
      </c>
      <c r="B27" s="236" t="s">
        <v>1513</v>
      </c>
      <c r="C27" s="237">
        <f ca="1">C28</f>
        <v>0</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0</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v>
      </c>
      <c r="D31" s="222"/>
      <c r="E31" s="203"/>
      <c r="F31" s="242"/>
      <c r="G31" s="226" t="s">
        <v>1522</v>
      </c>
    </row>
    <row r="32" spans="1:7" s="200" customFormat="1" ht="16">
      <c r="A32" s="244" t="s">
        <v>1523</v>
      </c>
      <c r="B32" s="245"/>
      <c r="C32" s="245"/>
      <c r="D32" s="245"/>
      <c r="E32" s="245"/>
      <c r="F32" s="245"/>
      <c r="G32" s="246"/>
    </row>
    <row r="33" spans="1:7" s="206" customFormat="1" ht="13.5" customHeight="1">
      <c r="A33" s="247" t="s">
        <v>337</v>
      </c>
      <c r="B33" s="202" t="s">
        <v>1524</v>
      </c>
      <c r="C33" s="248">
        <f ca="1">SUM(C34:C38)</f>
        <v>22</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20</v>
      </c>
      <c r="D34" s="209"/>
      <c r="E34" s="212"/>
      <c r="F34" s="249">
        <f ca="1">IF('数据-取费表'!B24=0,1,IF(B1="",'数据-取费表'!N16,INDIRECT("'数据-取费表'!n"&amp;$G$1)))</f>
        <v>1</v>
      </c>
      <c r="G34" s="211" t="s">
        <v>1526</v>
      </c>
    </row>
    <row r="35" spans="1:7" ht="13.5" customHeight="1">
      <c r="A35" s="734" t="s">
        <v>351</v>
      </c>
      <c r="B35" s="207" t="s">
        <v>1527</v>
      </c>
      <c r="C35" s="212">
        <f ca="1">ROUND(C34*F35,0)</f>
        <v>1</v>
      </c>
      <c r="D35" s="212"/>
      <c r="E35" s="212"/>
      <c r="F35" s="251">
        <f>'数据-取费表'!B33</f>
        <v>0.05</v>
      </c>
      <c r="G35" s="211" t="s">
        <v>1528</v>
      </c>
    </row>
    <row r="36" spans="1:7" ht="26">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v>
      </c>
      <c r="D37" s="209">
        <f ca="1">D19</f>
        <v>55.89</v>
      </c>
      <c r="E37" s="241">
        <f>'数据-取费表'!B35</f>
        <v>200</v>
      </c>
      <c r="F37" s="251"/>
      <c r="G37" s="253" t="s">
        <v>1532</v>
      </c>
    </row>
    <row r="38" spans="1:7" ht="13.5" customHeight="1">
      <c r="A38" s="734" t="s">
        <v>354</v>
      </c>
      <c r="B38" s="207" t="s">
        <v>1533</v>
      </c>
      <c r="C38" s="212">
        <f ca="1">ROUND(C34*F38,0)</f>
        <v>0</v>
      </c>
      <c r="D38" s="212"/>
      <c r="E38" s="212"/>
      <c r="F38" s="251">
        <f>'数据-取费表'!B36</f>
        <v>0.02</v>
      </c>
      <c r="G38" s="211" t="s">
        <v>1528</v>
      </c>
    </row>
    <row r="39" spans="1:7" s="206" customFormat="1" ht="13.5" customHeight="1">
      <c r="A39" s="247" t="s">
        <v>1534</v>
      </c>
      <c r="B39" s="202" t="s">
        <v>1535</v>
      </c>
      <c r="C39" s="224">
        <f ca="1">ROUND(C33*F20,0)</f>
        <v>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v>
      </c>
      <c r="D42" s="230"/>
      <c r="E42" s="230"/>
      <c r="F42" s="231"/>
      <c r="G42" s="3363" t="s">
        <v>1544</v>
      </c>
    </row>
    <row r="43" spans="1:7" ht="13.5" customHeight="1">
      <c r="A43" s="734" t="s">
        <v>347</v>
      </c>
      <c r="B43" s="207" t="s">
        <v>1545</v>
      </c>
      <c r="C43" s="230">
        <f ca="1">ROUND(IF('数据-取费表'!B22&lt;=1,C39*F22*'数据-取费表'!B21/2,C39*(POWER((1+F22),'数据-取费表'!B21/2)-1)),0)</f>
        <v>0</v>
      </c>
      <c r="D43" s="230"/>
      <c r="E43" s="230"/>
      <c r="F43" s="231"/>
      <c r="G43" s="3364"/>
    </row>
    <row r="44" spans="1:7" ht="13.5" customHeight="1">
      <c r="A44" s="734" t="s">
        <v>348</v>
      </c>
      <c r="B44" s="207" t="s">
        <v>1546</v>
      </c>
      <c r="C44" s="230">
        <f ca="1">ROUND(IF('数据-取费表'!B22&lt;=1,C40*F22*'数据-取费表'!B21/2,C40*(POWER((1+F22),'数据-取费表'!B21/2)-1)),4)</f>
        <v>5.9999999999999995E-4</v>
      </c>
      <c r="D44" s="230"/>
      <c r="E44" s="230"/>
      <c r="F44" s="231"/>
      <c r="G44" s="3365"/>
    </row>
    <row r="45" spans="1:7" s="206" customFormat="1" ht="13.5" customHeight="1">
      <c r="A45" s="247" t="s">
        <v>1547</v>
      </c>
      <c r="B45" s="236" t="s">
        <v>1513</v>
      </c>
      <c r="C45" s="237">
        <f ca="1">C46</f>
        <v>3</v>
      </c>
      <c r="D45" s="227">
        <f ca="1">C47</f>
        <v>3.0000000000000001E-3</v>
      </c>
      <c r="E45" s="228" t="s">
        <v>1539</v>
      </c>
      <c r="F45" s="238">
        <f ca="1">F27</f>
        <v>0.15</v>
      </c>
      <c r="G45" s="239" t="s">
        <v>1548</v>
      </c>
    </row>
    <row r="46" spans="1:7" s="206" customFormat="1" ht="13.5" customHeight="1">
      <c r="A46" s="734" t="s">
        <v>346</v>
      </c>
      <c r="B46" s="240" t="s">
        <v>1549</v>
      </c>
      <c r="C46" s="241">
        <f ca="1">ROUND((C33+C39)*F27,0)</f>
        <v>3</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28</v>
      </c>
      <c r="D49" s="224"/>
      <c r="E49" s="224"/>
      <c r="F49" s="256"/>
      <c r="G49" s="226" t="s">
        <v>1554</v>
      </c>
    </row>
    <row r="50" spans="1:7" s="250" customFormat="1" ht="26">
      <c r="A50" s="247" t="s">
        <v>1555</v>
      </c>
      <c r="B50" s="202" t="s">
        <v>1556</v>
      </c>
      <c r="C50" s="224"/>
      <c r="D50" s="224"/>
      <c r="E50" s="224"/>
      <c r="F50" s="256">
        <f>IF('数据-取费表'!B24=0,'数据-取费表'!N16,1)</f>
        <v>0.72</v>
      </c>
      <c r="G50" s="239" t="s">
        <v>1557</v>
      </c>
    </row>
    <row r="51" spans="1:7" ht="16.5" customHeight="1">
      <c r="A51" s="247" t="s">
        <v>1558</v>
      </c>
      <c r="B51" s="202" t="s">
        <v>1559</v>
      </c>
      <c r="C51" s="224">
        <f ca="1">ROUND(C49*F50,0)</f>
        <v>20</v>
      </c>
      <c r="D51" s="224"/>
      <c r="E51" s="224"/>
      <c r="F51" s="256"/>
      <c r="G51" s="226" t="s">
        <v>1560</v>
      </c>
    </row>
    <row r="52" spans="1:7" s="200" customFormat="1" ht="16.5" thickBot="1">
      <c r="A52" s="257" t="s">
        <v>1561</v>
      </c>
      <c r="B52" s="258"/>
      <c r="C52" s="259">
        <f ca="1">C31+C51</f>
        <v>21</v>
      </c>
      <c r="D52" s="258"/>
      <c r="E52" s="258"/>
      <c r="F52" s="258"/>
      <c r="G52" s="260"/>
    </row>
    <row r="55" spans="1:7" ht="15.5">
      <c r="B55" s="262" t="s">
        <v>1562</v>
      </c>
      <c r="C55" s="263"/>
    </row>
    <row r="56" spans="1:7" ht="13">
      <c r="B56" s="265" t="s">
        <v>802</v>
      </c>
      <c r="C56" s="267">
        <f ca="1">1-C57</f>
        <v>4.8000000000000043E-2</v>
      </c>
    </row>
    <row r="57" spans="1:7" ht="13">
      <c r="B57" s="265" t="s">
        <v>803</v>
      </c>
      <c r="C57" s="266">
        <f ca="1">ROUND(C51/C52,3)</f>
        <v>0.95199999999999996</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
  <cols>
    <col min="1" max="1" width="3.453125" style="793" customWidth="1"/>
    <col min="2" max="9" width="10" style="793" customWidth="1"/>
    <col min="10" max="16384" width="9" style="793"/>
  </cols>
  <sheetData>
    <row r="36" spans="1:9">
      <c r="A36" s="792" t="s">
        <v>371</v>
      </c>
      <c r="B36" s="792" t="s">
        <v>372</v>
      </c>
    </row>
    <row r="37" spans="1:9" ht="27.75" customHeight="1">
      <c r="A37" s="792"/>
      <c r="B37" s="3181" t="str">
        <f>项目基本情况!B1</f>
        <v>北京市朝阳区望京园603号楼8层907房地产抵押价值预评估</v>
      </c>
      <c r="C37" s="3181"/>
      <c r="D37" s="3181"/>
      <c r="E37" s="3181"/>
      <c r="F37" s="3181"/>
      <c r="G37" s="3181"/>
      <c r="H37" s="3181"/>
      <c r="I37" s="3181"/>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ht="13.5">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0580F-3AC1-4506-BDCD-3E444810C59F}">
  <sheetPr>
    <tabColor rgb="FF7030A0"/>
  </sheetPr>
  <dimension ref="A1"/>
  <sheetViews>
    <sheetView topLeftCell="A88" workbookViewId="0">
      <selection activeCell="S116" sqref="S116"/>
    </sheetView>
  </sheetViews>
  <sheetFormatPr defaultRowHeight="14"/>
  <sheetData/>
  <phoneticPr fontId="134" type="noConversion"/>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64779-8DAC-400A-8723-BCC673E4C88E}">
  <sheetPr>
    <tabColor rgb="FF7030A0"/>
  </sheetPr>
  <dimension ref="A1"/>
  <sheetViews>
    <sheetView topLeftCell="A22" workbookViewId="0">
      <selection activeCell="O32" sqref="O32"/>
    </sheetView>
  </sheetViews>
  <sheetFormatPr defaultRowHeight="14"/>
  <sheetData/>
  <phoneticPr fontId="134" type="noConversion"/>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F39" sqref="F39:F48"/>
    </sheetView>
  </sheetViews>
  <sheetFormatPr defaultColWidth="6.6328125" defaultRowHeight="12.5"/>
  <cols>
    <col min="1" max="1" width="9.7265625" style="687" customWidth="1"/>
    <col min="2" max="2" width="25.7265625" style="735" customWidth="1"/>
    <col min="3" max="3" width="10.36328125" style="774" customWidth="1"/>
    <col min="4" max="4" width="9.90625" style="735" customWidth="1"/>
    <col min="5" max="5" width="9.453125" style="687" customWidth="1"/>
    <col min="6" max="6" width="10.08984375" style="735" customWidth="1"/>
    <col min="7" max="7" width="10.7265625" style="735" customWidth="1"/>
    <col min="8" max="8" width="10" style="735" customWidth="1"/>
    <col min="9" max="11" width="9.453125" style="735" customWidth="1"/>
    <col min="12" max="12" width="9" style="735" customWidth="1"/>
    <col min="13" max="13" width="10.453125" style="735" bestFit="1" customWidth="1"/>
    <col min="14" max="254" width="9" style="735" customWidth="1"/>
    <col min="255" max="16384" width="6.63281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-1</v>
      </c>
      <c r="C2" s="268" t="s">
        <v>1595</v>
      </c>
      <c r="D2" s="268"/>
      <c r="E2" s="2566"/>
      <c r="F2" s="2566"/>
      <c r="G2" s="2566"/>
      <c r="H2" s="2566"/>
      <c r="I2" s="2566"/>
      <c r="J2" s="2566"/>
      <c r="K2" s="2566"/>
    </row>
    <row r="3" spans="1:33" ht="18" customHeight="1" thickBot="1">
      <c r="A3" s="195" t="s">
        <v>1464</v>
      </c>
      <c r="B3" s="196">
        <f ca="1">ROUND(B2*10000/IF(C1="",'数据-汇总表'!E3,INDIRECT("'数据-取费表'!K"&amp;$K$1)),0)</f>
        <v>-179</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55.89</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55.89</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v>
      </c>
      <c r="D20" s="796">
        <f ca="1">IF(C1="",'数据-汇总表'!E6,IF(INDIRECT("'数据-取费表'!c"&amp;$K$1)="住宅",INDIRECT("'数据-取费表'!s"&amp;$K$1),INDIRECT("'数据-取费表'!k"&amp;$K$1)+INDIRECT("'数据-取费表'!s"&amp;$K$1)))</f>
        <v>55.89</v>
      </c>
      <c r="E20" s="21">
        <f>'数据-取费表'!B28</f>
        <v>200</v>
      </c>
      <c r="F20" s="756"/>
      <c r="G20" s="12"/>
      <c r="H20" s="761"/>
      <c r="I20" s="761"/>
      <c r="J20" s="761"/>
      <c r="K20" s="762"/>
    </row>
    <row r="21" spans="1:33" s="755" customFormat="1" ht="13.5" customHeight="1">
      <c r="A21" s="744" t="s">
        <v>357</v>
      </c>
      <c r="B21" s="765" t="s">
        <v>1628</v>
      </c>
      <c r="C21" s="766">
        <f ca="1">C16+C17+C18</f>
        <v>1</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3.1300000000000001E-2</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0</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0</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5.6000000000000001E-2</v>
      </c>
      <c r="G31" s="788" t="s">
        <v>1648</v>
      </c>
      <c r="H31" s="789"/>
      <c r="I31" s="789"/>
      <c r="J31" s="789"/>
      <c r="K31" s="790"/>
    </row>
    <row r="32" spans="1:33" s="751" customFormat="1" ht="13.5" customHeight="1" thickBot="1">
      <c r="A32" s="449" t="s">
        <v>1649</v>
      </c>
      <c r="B32" s="779"/>
      <c r="C32" s="780">
        <f ca="1">ROUND((C4-C21-C22-C23-C25-C28-C31)/(1+C24+D25+D28),0)</f>
        <v>-1</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F39" sqref="F39:F48"/>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5.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68" t="s">
        <v>694</v>
      </c>
      <c r="C6" s="1011">
        <f ca="1">ROUND(F6*F8*F7*(1-F9)/10000,0)</f>
        <v>0</v>
      </c>
      <c r="D6" s="147" t="s">
        <v>2109</v>
      </c>
      <c r="E6" s="294" t="s">
        <v>696</v>
      </c>
      <c r="F6" s="295">
        <f ca="1">INDIRECT("'数据-取费表'!u"&amp;$G$1)</f>
        <v>0</v>
      </c>
      <c r="G6" s="1292"/>
      <c r="H6" s="1006" t="s">
        <v>398</v>
      </c>
      <c r="I6" s="3368" t="s">
        <v>694</v>
      </c>
      <c r="J6" s="293">
        <f ca="1">ROUND(M6*M8*M7*(1-M9)/10000,0)</f>
        <v>0</v>
      </c>
      <c r="K6" s="147" t="s">
        <v>2108</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0</v>
      </c>
      <c r="G7" s="1292"/>
      <c r="H7" s="296"/>
      <c r="I7" s="3369"/>
      <c r="J7" s="298"/>
      <c r="K7" s="299"/>
      <c r="L7" s="294" t="s">
        <v>697</v>
      </c>
      <c r="M7" s="295">
        <f ca="1">F7</f>
        <v>0</v>
      </c>
    </row>
    <row r="8" spans="1:37" ht="18" customHeight="1">
      <c r="A8" s="296"/>
      <c r="B8" s="3369"/>
      <c r="C8" s="298"/>
      <c r="D8" s="299"/>
      <c r="E8" s="294" t="s">
        <v>698</v>
      </c>
      <c r="F8" s="295">
        <f ca="1">INDIRECT("'数据-取费表'!ai"&amp;$G$1)</f>
        <v>0</v>
      </c>
      <c r="G8" s="1292"/>
      <c r="H8" s="296"/>
      <c r="I8" s="3369"/>
      <c r="J8" s="298"/>
      <c r="K8" s="299"/>
      <c r="L8" s="294" t="s">
        <v>698</v>
      </c>
      <c r="M8" s="295">
        <f ca="1">INDIRECT("'数据-取费表'!ai"&amp;$G$1)</f>
        <v>0</v>
      </c>
    </row>
    <row r="9" spans="1:37" ht="18" customHeight="1">
      <c r="A9" s="296"/>
      <c r="B9" s="3370"/>
      <c r="C9" s="298"/>
      <c r="D9" s="299"/>
      <c r="E9" s="294" t="s">
        <v>699</v>
      </c>
      <c r="F9" s="304">
        <f ca="1">INDIRECT("'数据-取费表'!w"&amp;$G$1)</f>
        <v>0</v>
      </c>
      <c r="G9" s="1292"/>
      <c r="H9" s="296"/>
      <c r="I9" s="3370"/>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3334</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ht="13">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IF(项目基本情况!B11="自然人","——",ROUND(C6*F32/(1+'数据-取费表'!C42),2))</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IF(项目基本情况!B11="自然人","——",IF(D33="按租金收入计税",ROUND(C6*F33/(1+'数据-取费表'!C42),2),IF(D33="按房产原值计税",ROUND(C29*F33*0.7,2),INDIRECT("'数据-取费表'!Aj"&amp;$G$1))))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IF(项目基本情况!B11="自然人","——",ROUND(F34*F35/10000,2))</f>
        <v>——</v>
      </c>
      <c r="D34" s="316" t="s">
        <v>731</v>
      </c>
      <c r="E34" s="294" t="s">
        <v>732</v>
      </c>
      <c r="F34" s="317">
        <f>'数据-取费表'!B52</f>
        <v>12</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5"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4"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5"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3.5"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5"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5"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5"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5"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26.5"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66" t="s">
        <v>837</v>
      </c>
      <c r="L53" s="3367"/>
      <c r="O53" s="1325" t="s">
        <v>409</v>
      </c>
      <c r="P53" s="1326" t="s">
        <v>838</v>
      </c>
      <c r="Q53" s="1327" t="e">
        <f ca="1">Q47+Q48</f>
        <v>#DIV/0!</v>
      </c>
      <c r="R53" s="1327" t="s">
        <v>410</v>
      </c>
    </row>
    <row r="54" spans="1:18" s="1292" customFormat="1" ht="26.5"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40"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6.5"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6.5"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IF(项目基本情况!B11="自然人","——",ROUND(C48*F60/(1+'数据-取费表'!C42),2))</f>
        <v>——</v>
      </c>
      <c r="D60" s="910" t="s">
        <v>724</v>
      </c>
      <c r="E60" s="896" t="s">
        <v>712</v>
      </c>
      <c r="F60" s="322">
        <f t="shared" ref="F60:F66" si="0">F32</f>
        <v>5.6000000000000001E-2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IF(项目基本情况!B11="自然人","——",IF(D61="按租金收入计税",ROUND(C49*F61/(1+'数据-取费表'!C42),2),IF(D61="按房产原值计税",ROUND(C57*F61*0.7,2),INDIRECT("'数据-取费表'!Aj"&amp;$G$1))))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IF(项目基本情况!B11="自然人","——",ROUND(F62*F63/10000,2))</f>
        <v>——</v>
      </c>
      <c r="D62" s="911" t="s">
        <v>786</v>
      </c>
      <c r="E62" s="896" t="s">
        <v>787</v>
      </c>
      <c r="F62" s="317">
        <f t="shared" si="0"/>
        <v>12</v>
      </c>
      <c r="I62" s="1367" t="s">
        <v>858</v>
      </c>
      <c r="J62" s="610" t="s">
        <v>859</v>
      </c>
      <c r="K62" s="610" t="s">
        <v>860</v>
      </c>
      <c r="L62" s="610" t="s">
        <v>861</v>
      </c>
      <c r="M62" s="1368" t="s">
        <v>862</v>
      </c>
      <c r="O62" s="1325" t="s">
        <v>409</v>
      </c>
      <c r="P62" s="1326" t="s">
        <v>863</v>
      </c>
      <c r="Q62" s="1327" t="e">
        <f ca="1">Q56+Q57</f>
        <v>#DIV/0!</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6.5"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5" thickBot="1">
      <c r="A69" s="897"/>
      <c r="B69" s="898"/>
      <c r="C69" s="298"/>
      <c r="D69" s="916" t="s">
        <v>762</v>
      </c>
      <c r="E69" s="896" t="s">
        <v>763</v>
      </c>
      <c r="F69" s="324">
        <f ca="1">F41</f>
        <v>0</v>
      </c>
      <c r="O69" s="1334" t="s">
        <v>411</v>
      </c>
      <c r="P69" s="1371" t="s">
        <v>872</v>
      </c>
      <c r="Q69" s="1327">
        <f ca="1">C39</f>
        <v>0</v>
      </c>
      <c r="R69" s="1327" t="s">
        <v>818</v>
      </c>
    </row>
    <row r="70" spans="1:18" s="1292" customFormat="1" ht="13.5" thickBot="1">
      <c r="A70" s="900"/>
      <c r="B70" s="901"/>
      <c r="C70" s="302"/>
      <c r="D70" s="912"/>
      <c r="E70" s="896" t="s">
        <v>766</v>
      </c>
      <c r="F70" s="991"/>
      <c r="O70" s="1334" t="s">
        <v>412</v>
      </c>
      <c r="P70" s="1371" t="s">
        <v>873</v>
      </c>
      <c r="Q70" s="1327">
        <f ca="1">C13</f>
        <v>0</v>
      </c>
      <c r="R70" s="1327" t="s">
        <v>818</v>
      </c>
    </row>
    <row r="71" spans="1:18" s="1292" customFormat="1" ht="13.5"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ht="13">
      <c r="B76" s="333" t="s">
        <v>796</v>
      </c>
      <c r="C76" s="334">
        <f ca="1">INDIRECT("'数据-取费表'!j"&amp;$G$1)</f>
        <v>0</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t="e">
        <f ca="1">1-C80</f>
        <v>#DIV/0!</v>
      </c>
    </row>
    <row r="80" spans="1:18" ht="13">
      <c r="B80" s="331" t="s">
        <v>800</v>
      </c>
      <c r="C80" s="266" t="e">
        <f ca="1">ROUND(C75/C39,3)</f>
        <v>#DIV/0!</v>
      </c>
    </row>
    <row r="81" spans="2:3" ht="13.5">
      <c r="B81" s="262" t="s">
        <v>801</v>
      </c>
      <c r="C81" s="230"/>
    </row>
    <row r="82" spans="2:3" ht="13">
      <c r="B82" s="265" t="s">
        <v>802</v>
      </c>
      <c r="C82" s="267" t="e">
        <f ca="1">1-C83</f>
        <v>#DIV/0!</v>
      </c>
    </row>
    <row r="83" spans="2:3" ht="1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view="pageBreakPreview" topLeftCell="A22" zoomScale="60" zoomScaleNormal="70" workbookViewId="0">
      <selection activeCell="N39" sqref="N39"/>
    </sheetView>
  </sheetViews>
  <sheetFormatPr defaultColWidth="9" defaultRowHeight="14"/>
  <cols>
    <col min="1" max="1" width="10.453125" style="347" customWidth="1"/>
    <col min="2" max="2" width="15.7265625" style="347" customWidth="1"/>
    <col min="3" max="3" width="18.6328125" style="347" customWidth="1"/>
    <col min="4" max="4" width="12.26953125" style="347" customWidth="1"/>
    <col min="5" max="5" width="17.26953125" style="347" customWidth="1"/>
    <col min="6" max="6" width="12.26953125" style="347" customWidth="1"/>
    <col min="7" max="7" width="17.36328125" style="347" customWidth="1"/>
    <col min="8" max="8" width="12.26953125" style="347" customWidth="1"/>
    <col min="9" max="9" width="17.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1810</v>
      </c>
      <c r="C1" s="1141" t="s">
        <v>1662</v>
      </c>
      <c r="D1" s="1142" t="s">
        <v>21</v>
      </c>
      <c r="E1" s="3130" t="s">
        <v>3438</v>
      </c>
      <c r="F1" s="1735" t="s">
        <v>3439</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136.1704</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24364</v>
      </c>
      <c r="C3" s="344" t="s">
        <v>1768</v>
      </c>
      <c r="D3" s="343">
        <f>IF(D1="",'数据-汇总表'!E3,SUMIF('数据-汇总表'!$C19:$C33,D1,'数据-汇总表'!$E19:$E33))</f>
        <v>55.89</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c r="A4" s="345" t="s">
        <v>1769</v>
      </c>
      <c r="B4" s="346"/>
      <c r="C4" s="3390" t="s">
        <v>1770</v>
      </c>
      <c r="D4" s="3391"/>
      <c r="E4" s="3392" t="s">
        <v>1771</v>
      </c>
      <c r="F4" s="3393"/>
      <c r="G4" s="3390" t="s">
        <v>1772</v>
      </c>
      <c r="H4" s="3391"/>
      <c r="I4" s="3390" t="s">
        <v>1773</v>
      </c>
      <c r="J4" s="3391"/>
      <c r="K4" s="537" t="s">
        <v>1774</v>
      </c>
      <c r="L4" s="2485"/>
      <c r="M4" s="2486"/>
      <c r="N4" s="2486"/>
      <c r="O4" s="2486"/>
      <c r="P4" s="3394" t="s">
        <v>1775</v>
      </c>
      <c r="Q4" s="3395"/>
      <c r="R4" s="3376" t="s">
        <v>1771</v>
      </c>
      <c r="S4" s="3377"/>
      <c r="T4" s="3376" t="s">
        <v>1772</v>
      </c>
      <c r="U4" s="3377"/>
      <c r="V4" s="3402" t="s">
        <v>1773</v>
      </c>
      <c r="W4" s="3402"/>
      <c r="X4" s="1809"/>
      <c r="Y4" s="3376" t="s">
        <v>1775</v>
      </c>
      <c r="Z4" s="3377"/>
      <c r="AA4" s="3371" t="s">
        <v>1771</v>
      </c>
      <c r="AB4" s="3371" t="s">
        <v>1772</v>
      </c>
      <c r="AC4" s="3387" t="s">
        <v>1773</v>
      </c>
    </row>
    <row r="5" spans="1:29" ht="14" customHeight="1">
      <c r="A5" s="348"/>
      <c r="B5" s="349"/>
      <c r="C5" s="3380" t="s">
        <v>3437</v>
      </c>
      <c r="D5" s="3381"/>
      <c r="E5" s="3380" t="s">
        <v>3437</v>
      </c>
      <c r="F5" s="3381"/>
      <c r="G5" s="3380" t="s">
        <v>3437</v>
      </c>
      <c r="H5" s="3381"/>
      <c r="I5" s="3380" t="s">
        <v>3437</v>
      </c>
      <c r="J5" s="3381"/>
      <c r="K5" s="537"/>
      <c r="L5" s="2485"/>
      <c r="M5" s="2486"/>
      <c r="N5" s="2486"/>
      <c r="O5" s="2486"/>
      <c r="P5" s="3396"/>
      <c r="Q5" s="3397"/>
      <c r="R5" s="3378"/>
      <c r="S5" s="3379"/>
      <c r="T5" s="3378"/>
      <c r="U5" s="3379"/>
      <c r="V5" s="3403"/>
      <c r="W5" s="3403"/>
      <c r="X5" s="1265"/>
      <c r="Y5" s="3378"/>
      <c r="Z5" s="3379"/>
      <c r="AA5" s="3372"/>
      <c r="AB5" s="3372"/>
      <c r="AC5" s="3388"/>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398"/>
      <c r="Q6" s="3399"/>
      <c r="R6" s="3378"/>
      <c r="S6" s="3379"/>
      <c r="T6" s="3400"/>
      <c r="U6" s="3401"/>
      <c r="V6" s="3403"/>
      <c r="W6" s="3403"/>
      <c r="X6" s="1265"/>
      <c r="Y6" s="3400"/>
      <c r="Z6" s="3401"/>
      <c r="AA6" s="3373"/>
      <c r="AB6" s="3373"/>
      <c r="AC6" s="3389"/>
    </row>
    <row r="7" spans="1:29" s="102" customFormat="1" ht="14.5" thickBot="1">
      <c r="A7" s="352" t="s">
        <v>1679</v>
      </c>
      <c r="B7" s="353"/>
      <c r="C7" s="354">
        <f>'数据-取费表'!B2</f>
        <v>45950</v>
      </c>
      <c r="D7" s="355">
        <v>100</v>
      </c>
      <c r="E7" s="356">
        <f>C7</f>
        <v>45950</v>
      </c>
      <c r="F7" s="357">
        <f>SUMIF(59:59,YEAR(E7)&amp;"-"&amp;MONTH(E7),60:60)</f>
        <v>100</v>
      </c>
      <c r="G7" s="356">
        <f>C7</f>
        <v>45950</v>
      </c>
      <c r="H7" s="355">
        <f>SUMIF(59:59,YEAR(G7)&amp;"-"&amp;MONTH(G7),60:60)</f>
        <v>100</v>
      </c>
      <c r="I7" s="356">
        <f>C7</f>
        <v>45950</v>
      </c>
      <c r="J7" s="355">
        <f>SUMIF(59:59,YEAR(I7)&amp;"-"&amp;MONTH(I7),60:60)</f>
        <v>100</v>
      </c>
      <c r="K7" s="38"/>
      <c r="L7" s="2487"/>
      <c r="M7" s="2439"/>
      <c r="N7" s="2439"/>
      <c r="O7" s="2439"/>
      <c r="P7" s="3404" t="s">
        <v>1680</v>
      </c>
      <c r="Q7" s="3405"/>
      <c r="R7" s="664" t="s">
        <v>14</v>
      </c>
      <c r="S7" s="665">
        <f t="shared" ref="S7:S15" si="0">F7</f>
        <v>100</v>
      </c>
      <c r="T7" s="664" t="s">
        <v>14</v>
      </c>
      <c r="U7" s="665">
        <f t="shared" ref="U7:U15" si="1">H7</f>
        <v>100</v>
      </c>
      <c r="V7" s="664" t="s">
        <v>14</v>
      </c>
      <c r="W7" s="665">
        <f t="shared" ref="W7:W15" si="2">J7</f>
        <v>100</v>
      </c>
      <c r="X7" s="666"/>
      <c r="Y7" s="3374" t="s">
        <v>1680</v>
      </c>
      <c r="Z7" s="3375"/>
      <c r="AA7" s="50">
        <f>D7/F7</f>
        <v>1</v>
      </c>
      <c r="AB7" s="50">
        <f>D7/H7</f>
        <v>1</v>
      </c>
      <c r="AC7" s="802">
        <f>D7/J7</f>
        <v>1</v>
      </c>
    </row>
    <row r="8" spans="1:29" s="102" customFormat="1" ht="14.5" thickBot="1">
      <c r="A8" s="352" t="s">
        <v>1681</v>
      </c>
      <c r="B8" s="353"/>
      <c r="C8" s="358" t="s">
        <v>3455</v>
      </c>
      <c r="D8" s="355">
        <v>100</v>
      </c>
      <c r="E8" s="358" t="s">
        <v>3456</v>
      </c>
      <c r="F8" s="357">
        <f>SUMIF(62:62,E8,63:63)-SUMIF(62:62,C8,63:63)+100</f>
        <v>102</v>
      </c>
      <c r="G8" s="358" t="s">
        <v>3456</v>
      </c>
      <c r="H8" s="355">
        <f>SUMIF(62:62,G8,63:63)-SUMIF(62:62,C8,63:63)+100</f>
        <v>102</v>
      </c>
      <c r="I8" s="358" t="s">
        <v>3456</v>
      </c>
      <c r="J8" s="355">
        <f>SUMIF(62:62,I8,63:63)-SUMIF(62:62,C8,63:63)+100</f>
        <v>102</v>
      </c>
      <c r="K8" s="38"/>
      <c r="L8" s="2487"/>
      <c r="M8" s="2439"/>
      <c r="N8" s="2439"/>
      <c r="O8" s="2439"/>
      <c r="P8" s="3404" t="s">
        <v>1683</v>
      </c>
      <c r="Q8" s="3375"/>
      <c r="R8" s="664" t="s">
        <v>14</v>
      </c>
      <c r="S8" s="665">
        <f t="shared" si="0"/>
        <v>102</v>
      </c>
      <c r="T8" s="664" t="s">
        <v>14</v>
      </c>
      <c r="U8" s="665">
        <f t="shared" si="1"/>
        <v>102</v>
      </c>
      <c r="V8" s="664" t="s">
        <v>14</v>
      </c>
      <c r="W8" s="665">
        <f t="shared" si="2"/>
        <v>102</v>
      </c>
      <c r="X8" s="666"/>
      <c r="Y8" s="3374" t="s">
        <v>1683</v>
      </c>
      <c r="Z8" s="3375"/>
      <c r="AA8" s="50">
        <f t="shared" ref="AA8:AA47" si="3">D8/F8</f>
        <v>0.98039215686274506</v>
      </c>
      <c r="AB8" s="50">
        <f t="shared" ref="AB8:AB47" si="4">D8/H8</f>
        <v>0.98039215686274506</v>
      </c>
      <c r="AC8" s="802">
        <f t="shared" ref="AC8:AC47" si="5">D8/J8</f>
        <v>0.98039215686274506</v>
      </c>
    </row>
    <row r="9" spans="1:29" s="102" customFormat="1">
      <c r="A9" s="359" t="s">
        <v>1684</v>
      </c>
      <c r="B9" s="60" t="s">
        <v>1685</v>
      </c>
      <c r="C9" s="3173" t="s">
        <v>3458</v>
      </c>
      <c r="D9" s="59">
        <v>100</v>
      </c>
      <c r="E9" s="362" t="s">
        <v>21</v>
      </c>
      <c r="F9" s="59">
        <f>SUMIF(64:64,E9,65:65)-SUMIF(64:64,C9,65:65)+100</f>
        <v>100</v>
      </c>
      <c r="G9" s="361" t="s">
        <v>21</v>
      </c>
      <c r="H9" s="59">
        <f>SUMIF(64:64,G9,65:65)-SUMIF(64:64,C9,65:65)+100</f>
        <v>100</v>
      </c>
      <c r="I9" s="361" t="s">
        <v>21</v>
      </c>
      <c r="J9" s="59">
        <f>SUMIF(64:64,I9,65:65)-SUMIF(64:64,C9,65:65)+100</f>
        <v>100</v>
      </c>
      <c r="K9" s="38"/>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802">
        <f t="shared" si="5"/>
        <v>1</v>
      </c>
    </row>
    <row r="10" spans="1:29" s="366" customFormat="1" ht="28">
      <c r="A10" s="363"/>
      <c r="B10" s="364" t="s">
        <v>1688</v>
      </c>
      <c r="C10" s="3131" t="s">
        <v>3459</v>
      </c>
      <c r="D10" s="119">
        <v>100</v>
      </c>
      <c r="E10" s="3131" t="s">
        <v>3459</v>
      </c>
      <c r="F10" s="119">
        <f>SUMIF(66:66,E10,67:67)-SUMIF(66:66,C10,67:67)+100</f>
        <v>100</v>
      </c>
      <c r="G10" s="3131" t="s">
        <v>3459</v>
      </c>
      <c r="H10" s="119">
        <f>SUMIF(66:66,G10,67:67)-SUMIF(66:66,C10,67:67)+100</f>
        <v>100</v>
      </c>
      <c r="I10" s="3131" t="s">
        <v>3459</v>
      </c>
      <c r="J10" s="119">
        <f>SUMIF(66:66,I10,67:67)-SUMIF(66:66,C10,67:67)+100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802">
        <f t="shared" si="5"/>
        <v>1</v>
      </c>
    </row>
    <row r="11" spans="1:29" ht="15.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86"/>
      <c r="Q11" s="530" t="str">
        <f t="shared" si="6"/>
        <v>容积率</v>
      </c>
      <c r="R11" s="664" t="s">
        <v>14</v>
      </c>
      <c r="S11" s="665">
        <f t="shared" si="0"/>
        <v>100</v>
      </c>
      <c r="T11" s="664" t="s">
        <v>14</v>
      </c>
      <c r="U11" s="665">
        <f t="shared" si="1"/>
        <v>100</v>
      </c>
      <c r="V11" s="664" t="s">
        <v>14</v>
      </c>
      <c r="W11" s="665">
        <f t="shared" si="2"/>
        <v>100</v>
      </c>
      <c r="X11" s="666"/>
      <c r="Y11" s="3339"/>
      <c r="Z11" s="50" t="str">
        <f t="shared" si="7"/>
        <v>容积率</v>
      </c>
      <c r="AA11" s="50">
        <f t="shared" si="3"/>
        <v>1</v>
      </c>
      <c r="AB11" s="50">
        <f t="shared" si="4"/>
        <v>1</v>
      </c>
      <c r="AC11" s="802">
        <f t="shared" si="5"/>
        <v>1</v>
      </c>
    </row>
    <row r="12" spans="1:29" s="102" customFormat="1" ht="15.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802">
        <f>D12/J12</f>
        <v>1</v>
      </c>
    </row>
    <row r="13" spans="1:29" ht="15.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802">
        <f t="shared" si="5"/>
        <v>1</v>
      </c>
    </row>
    <row r="14" spans="1:29" ht="1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802">
        <f t="shared" si="5"/>
        <v>1</v>
      </c>
    </row>
    <row r="15" spans="1:29" ht="56">
      <c r="A15" s="379" t="s">
        <v>1690</v>
      </c>
      <c r="B15" s="554" t="s">
        <v>1811</v>
      </c>
      <c r="C15" s="1811" t="str">
        <f>估价对象房地状况!C5</f>
        <v>估价对象位于XX商圈，周边办公楼项目较多，入驻率高，办公集聚程度较好</v>
      </c>
      <c r="D15" s="380">
        <v>100</v>
      </c>
      <c r="E15" s="383"/>
      <c r="F15" s="380">
        <f>SUMIF(77:77,E16,78:78)-SUMIF(77:77,C16,78:78)+100</f>
        <v>100</v>
      </c>
      <c r="G15" s="381"/>
      <c r="H15" s="380">
        <f>SUMIF(77:77,G16,78:78)-SUMIF(77:77,C16,78:78)+100</f>
        <v>100</v>
      </c>
      <c r="I15" s="381"/>
      <c r="J15" s="380">
        <f>SUMIF(77:77,I16,78:78)-SUMIF(77:77,C16,78:78)+100</f>
        <v>100</v>
      </c>
      <c r="K15" s="540">
        <v>3</v>
      </c>
      <c r="L15" s="2491"/>
      <c r="M15" s="2486"/>
      <c r="N15" s="2486"/>
      <c r="O15" s="2486"/>
      <c r="P15" s="3406" t="s">
        <v>1691</v>
      </c>
      <c r="Q15" s="1263" t="str">
        <f t="shared" si="6"/>
        <v>办公集聚程度</v>
      </c>
      <c r="R15" s="667" t="s">
        <v>14</v>
      </c>
      <c r="S15" s="668">
        <f t="shared" si="0"/>
        <v>100</v>
      </c>
      <c r="T15" s="667" t="s">
        <v>14</v>
      </c>
      <c r="U15" s="668">
        <f t="shared" si="1"/>
        <v>100</v>
      </c>
      <c r="V15" s="667" t="s">
        <v>14</v>
      </c>
      <c r="W15" s="668">
        <f t="shared" si="2"/>
        <v>100</v>
      </c>
      <c r="X15" s="1265"/>
      <c r="Y15" s="3408" t="s">
        <v>1691</v>
      </c>
      <c r="Z15" s="1264" t="str">
        <f t="shared" si="7"/>
        <v>办公集聚程度</v>
      </c>
      <c r="AA15" s="1264">
        <f t="shared" si="3"/>
        <v>1</v>
      </c>
      <c r="AB15" s="1264">
        <f t="shared" si="4"/>
        <v>1</v>
      </c>
      <c r="AC15" s="1812">
        <f t="shared" si="5"/>
        <v>1</v>
      </c>
    </row>
    <row r="16" spans="1:29" ht="15.5">
      <c r="A16" s="367"/>
      <c r="B16" s="555"/>
      <c r="C16" s="1758" t="s">
        <v>3470</v>
      </c>
      <c r="D16" s="387"/>
      <c r="E16" s="1758" t="s">
        <v>3470</v>
      </c>
      <c r="F16" s="387"/>
      <c r="G16" s="1758" t="s">
        <v>3470</v>
      </c>
      <c r="H16" s="389"/>
      <c r="I16" s="1758" t="s">
        <v>3470</v>
      </c>
      <c r="J16" s="387"/>
      <c r="K16" s="541"/>
      <c r="L16" s="2491"/>
      <c r="M16" s="2486"/>
      <c r="N16" s="2486"/>
      <c r="O16" s="2486"/>
      <c r="P16" s="3407"/>
      <c r="Q16" s="1263"/>
      <c r="R16" s="667"/>
      <c r="S16" s="668"/>
      <c r="T16" s="667"/>
      <c r="U16" s="668"/>
      <c r="V16" s="667"/>
      <c r="W16" s="668"/>
      <c r="X16" s="1265"/>
      <c r="Y16" s="3409"/>
      <c r="Z16" s="1264"/>
      <c r="AA16" s="1264">
        <v>1</v>
      </c>
      <c r="AB16" s="1264">
        <v>1</v>
      </c>
      <c r="AC16" s="1812">
        <v>1</v>
      </c>
    </row>
    <row r="17" spans="1:29" ht="70">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407"/>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812">
        <f t="shared" si="5"/>
        <v>1</v>
      </c>
    </row>
    <row r="18" spans="1:29" ht="15.5">
      <c r="A18" s="367"/>
      <c r="B18" s="401"/>
      <c r="C18" s="1814" t="s">
        <v>3470</v>
      </c>
      <c r="D18" s="389"/>
      <c r="E18" s="1814" t="s">
        <v>3470</v>
      </c>
      <c r="F18" s="389"/>
      <c r="G18" s="1814" t="s">
        <v>3470</v>
      </c>
      <c r="H18" s="387"/>
      <c r="I18" s="1814" t="s">
        <v>3470</v>
      </c>
      <c r="J18" s="387"/>
      <c r="K18" s="541"/>
      <c r="L18" s="2491"/>
      <c r="M18" s="2486"/>
      <c r="N18" s="2486"/>
      <c r="O18" s="2486"/>
      <c r="P18" s="3407"/>
      <c r="Q18" s="1263"/>
      <c r="R18" s="667"/>
      <c r="S18" s="668"/>
      <c r="T18" s="667"/>
      <c r="U18" s="668"/>
      <c r="V18" s="667"/>
      <c r="W18" s="668"/>
      <c r="X18" s="1265"/>
      <c r="Y18" s="3409"/>
      <c r="Z18" s="1264"/>
      <c r="AA18" s="1264">
        <v>1</v>
      </c>
      <c r="AB18" s="1264">
        <v>1</v>
      </c>
      <c r="AC18" s="1812">
        <v>1</v>
      </c>
    </row>
    <row r="19" spans="1:29" ht="28">
      <c r="A19" s="367"/>
      <c r="B19" s="556" t="s">
        <v>1812</v>
      </c>
      <c r="C19" s="1813" t="str">
        <f>估价对象房地状况!C7</f>
        <v>估价对象所在区域公共配套设施齐备情况</v>
      </c>
      <c r="D19" s="394">
        <v>100</v>
      </c>
      <c r="E19" s="398"/>
      <c r="F19" s="394">
        <f>SUMIF(81:81,E20,82:82)-SUMIF(81:81,C20,82:82)+100</f>
        <v>100</v>
      </c>
      <c r="G19" s="396"/>
      <c r="H19" s="389">
        <f>SUMIF(81:81,G20,82:82)-SUMIF(81:81,C20,82:82)+100</f>
        <v>100</v>
      </c>
      <c r="I19" s="396"/>
      <c r="J19" s="389">
        <f>SUMIF(81:81,I20,82:82)-SUMIF(81:81,C20,82:82)+100</f>
        <v>100</v>
      </c>
      <c r="K19" s="540">
        <v>2</v>
      </c>
      <c r="L19" s="2491"/>
      <c r="M19" s="2486"/>
      <c r="N19" s="2486"/>
      <c r="O19" s="2486"/>
      <c r="P19" s="3407"/>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812">
        <f t="shared" si="5"/>
        <v>1</v>
      </c>
    </row>
    <row r="20" spans="1:29" ht="15.5">
      <c r="A20" s="367"/>
      <c r="B20" s="401"/>
      <c r="C20" s="1758" t="s">
        <v>3470</v>
      </c>
      <c r="D20" s="387"/>
      <c r="E20" s="1758" t="s">
        <v>3470</v>
      </c>
      <c r="F20" s="387"/>
      <c r="G20" s="1758" t="s">
        <v>3470</v>
      </c>
      <c r="H20" s="387"/>
      <c r="I20" s="1758" t="s">
        <v>3470</v>
      </c>
      <c r="J20" s="387"/>
      <c r="K20" s="541"/>
      <c r="L20" s="2491"/>
      <c r="M20" s="2486"/>
      <c r="N20" s="2486"/>
      <c r="O20" s="2486"/>
      <c r="P20" s="3407"/>
      <c r="Q20" s="1263"/>
      <c r="R20" s="667"/>
      <c r="S20" s="668"/>
      <c r="T20" s="667"/>
      <c r="U20" s="668"/>
      <c r="V20" s="667"/>
      <c r="W20" s="668"/>
      <c r="X20" s="1265"/>
      <c r="Y20" s="3409"/>
      <c r="Z20" s="1264"/>
      <c r="AA20" s="1264">
        <v>1</v>
      </c>
      <c r="AB20" s="1264">
        <v>1</v>
      </c>
      <c r="AC20" s="1812">
        <v>1</v>
      </c>
    </row>
    <row r="21" spans="1:29" ht="28">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812">
        <f t="shared" ref="AC21" si="10">D21/J21</f>
        <v>1</v>
      </c>
    </row>
    <row r="22" spans="1:29" ht="15.5">
      <c r="A22" s="367"/>
      <c r="B22" s="557"/>
      <c r="C22" s="1814" t="s">
        <v>3477</v>
      </c>
      <c r="D22" s="387"/>
      <c r="E22" s="1814" t="s">
        <v>3477</v>
      </c>
      <c r="F22" s="387"/>
      <c r="G22" s="1814" t="s">
        <v>3477</v>
      </c>
      <c r="H22" s="387"/>
      <c r="I22" s="1814" t="s">
        <v>3477</v>
      </c>
      <c r="J22" s="387"/>
      <c r="K22" s="1064"/>
      <c r="L22" s="2491"/>
      <c r="M22" s="2486"/>
      <c r="N22" s="2486"/>
      <c r="O22" s="2486"/>
      <c r="P22" s="3407"/>
      <c r="Q22" s="1263"/>
      <c r="R22" s="667"/>
      <c r="S22" s="668"/>
      <c r="T22" s="667"/>
      <c r="U22" s="668"/>
      <c r="V22" s="667"/>
      <c r="W22" s="668"/>
      <c r="X22" s="1265"/>
      <c r="Y22" s="3409"/>
      <c r="Z22" s="1264"/>
      <c r="AA22" s="1264">
        <v>1</v>
      </c>
      <c r="AB22" s="1264">
        <v>1</v>
      </c>
      <c r="AC22" s="1812">
        <v>1</v>
      </c>
    </row>
    <row r="23" spans="1:29" ht="4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407"/>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812">
        <f t="shared" si="5"/>
        <v>1</v>
      </c>
    </row>
    <row r="24" spans="1:29" ht="15.5">
      <c r="A24" s="367"/>
      <c r="B24" s="557"/>
      <c r="C24" s="1758" t="s">
        <v>3470</v>
      </c>
      <c r="D24" s="387"/>
      <c r="E24" s="1758" t="s">
        <v>3470</v>
      </c>
      <c r="F24" s="387"/>
      <c r="G24" s="1758" t="s">
        <v>3470</v>
      </c>
      <c r="H24" s="387"/>
      <c r="I24" s="1758" t="s">
        <v>3470</v>
      </c>
      <c r="J24" s="387"/>
      <c r="K24" s="541"/>
      <c r="L24" s="2491"/>
      <c r="M24" s="2486"/>
      <c r="N24" s="2486"/>
      <c r="O24" s="2486"/>
      <c r="P24" s="3407"/>
      <c r="Q24" s="1263"/>
      <c r="R24" s="667"/>
      <c r="S24" s="668"/>
      <c r="T24" s="667"/>
      <c r="U24" s="668"/>
      <c r="V24" s="667"/>
      <c r="W24" s="668"/>
      <c r="X24" s="1265"/>
      <c r="Y24" s="3409"/>
      <c r="Z24" s="1264"/>
      <c r="AA24" s="1264">
        <v>1</v>
      </c>
      <c r="AB24" s="1264">
        <v>1</v>
      </c>
      <c r="AC24" s="1812">
        <v>1</v>
      </c>
    </row>
    <row r="25" spans="1:29" ht="2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v>2</v>
      </c>
      <c r="L25" s="2491"/>
      <c r="M25" s="2486"/>
      <c r="N25" s="2486"/>
      <c r="O25" s="2486"/>
      <c r="P25" s="3407"/>
      <c r="Q25" s="1263" t="str">
        <f>B25</f>
        <v>毗邻道路的类型与等级</v>
      </c>
      <c r="R25" s="667" t="s">
        <v>14</v>
      </c>
      <c r="S25" s="668">
        <f>F25</f>
        <v>100</v>
      </c>
      <c r="T25" s="667" t="s">
        <v>14</v>
      </c>
      <c r="U25" s="668">
        <f>H25</f>
        <v>100</v>
      </c>
      <c r="V25" s="667" t="s">
        <v>14</v>
      </c>
      <c r="W25" s="668">
        <f>J25</f>
        <v>100</v>
      </c>
      <c r="X25" s="1265"/>
      <c r="Y25" s="3409"/>
      <c r="Z25" s="1264" t="str">
        <f>Q25</f>
        <v>毗邻道路的类型与等级</v>
      </c>
      <c r="AA25" s="1264">
        <f t="shared" si="3"/>
        <v>1</v>
      </c>
      <c r="AB25" s="1264">
        <f t="shared" si="4"/>
        <v>1</v>
      </c>
      <c r="AC25" s="1812">
        <f t="shared" si="5"/>
        <v>1</v>
      </c>
    </row>
    <row r="26" spans="1:29" ht="15.5">
      <c r="A26" s="348"/>
      <c r="B26" s="401"/>
      <c r="C26" s="558"/>
      <c r="D26" s="374"/>
      <c r="E26" s="542"/>
      <c r="F26" s="374"/>
      <c r="G26" s="558"/>
      <c r="H26" s="374"/>
      <c r="I26" s="542"/>
      <c r="J26" s="374"/>
      <c r="K26" s="541"/>
      <c r="L26" s="2491"/>
      <c r="M26" s="2486"/>
      <c r="N26" s="2486"/>
      <c r="O26" s="2486"/>
      <c r="P26" s="3407"/>
      <c r="Q26" s="1263"/>
      <c r="R26" s="667"/>
      <c r="S26" s="668"/>
      <c r="T26" s="667"/>
      <c r="U26" s="668"/>
      <c r="V26" s="667"/>
      <c r="W26" s="668"/>
      <c r="X26" s="1265"/>
      <c r="Y26" s="3409"/>
      <c r="Z26" s="1264"/>
      <c r="AA26" s="1264">
        <v>1</v>
      </c>
      <c r="AB26" s="1264">
        <v>1</v>
      </c>
      <c r="AC26" s="1812">
        <v>1</v>
      </c>
    </row>
    <row r="27" spans="1:29" ht="15.5">
      <c r="A27" s="367"/>
      <c r="B27" s="401" t="s">
        <v>1783</v>
      </c>
      <c r="C27" s="558" t="s">
        <v>3448</v>
      </c>
      <c r="D27" s="374">
        <v>100</v>
      </c>
      <c r="E27" s="542" t="s">
        <v>3446</v>
      </c>
      <c r="F27" s="374">
        <f>SUMIF(89:89,E27,90:90)-SUMIF(89:89,C27,90:90)+100</f>
        <v>102</v>
      </c>
      <c r="G27" s="558" t="s">
        <v>3448</v>
      </c>
      <c r="H27" s="374">
        <f>SUMIF(89:89,G27,90:90)-SUMIF(89:89,C27,90:90)+100</f>
        <v>100</v>
      </c>
      <c r="I27" s="542" t="s">
        <v>3448</v>
      </c>
      <c r="J27" s="374">
        <f>SUMIF(89:89,I27,90:90)-SUMIF(89:89,C27,90:90)+100</f>
        <v>100</v>
      </c>
      <c r="K27" s="538">
        <v>2</v>
      </c>
      <c r="L27" s="2491"/>
      <c r="M27" s="2486"/>
      <c r="N27" s="2486"/>
      <c r="O27" s="2486"/>
      <c r="P27" s="3407"/>
      <c r="Q27" s="1263" t="str">
        <f t="shared" ref="Q27:Q47" si="11">B27</f>
        <v>楼层</v>
      </c>
      <c r="R27" s="667" t="s">
        <v>14</v>
      </c>
      <c r="S27" s="668">
        <f>F27</f>
        <v>102</v>
      </c>
      <c r="T27" s="667" t="s">
        <v>14</v>
      </c>
      <c r="U27" s="668">
        <f>H27</f>
        <v>100</v>
      </c>
      <c r="V27" s="667" t="s">
        <v>14</v>
      </c>
      <c r="W27" s="668">
        <f>J27</f>
        <v>100</v>
      </c>
      <c r="X27" s="1265"/>
      <c r="Y27" s="3409"/>
      <c r="Z27" s="1264" t="str">
        <f>Q27</f>
        <v>楼层</v>
      </c>
      <c r="AA27" s="1264">
        <f t="shared" si="3"/>
        <v>0.98039215686274506</v>
      </c>
      <c r="AB27" s="1264">
        <f t="shared" si="4"/>
        <v>1</v>
      </c>
      <c r="AC27" s="1812">
        <f t="shared" si="5"/>
        <v>1</v>
      </c>
    </row>
    <row r="28" spans="1:29" s="102" customFormat="1" ht="15.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407"/>
      <c r="Q28" s="530" t="str">
        <f t="shared" si="11"/>
        <v>朝向</v>
      </c>
      <c r="R28" s="664" t="s">
        <v>14</v>
      </c>
      <c r="S28" s="665">
        <f>F28</f>
        <v>100</v>
      </c>
      <c r="T28" s="664" t="s">
        <v>14</v>
      </c>
      <c r="U28" s="665">
        <f>H28</f>
        <v>100</v>
      </c>
      <c r="V28" s="664" t="s">
        <v>14</v>
      </c>
      <c r="W28" s="665">
        <f>J28</f>
        <v>100</v>
      </c>
      <c r="X28" s="666"/>
      <c r="Y28" s="3409"/>
      <c r="Z28" s="50" t="str">
        <f>Q28</f>
        <v>朝向</v>
      </c>
      <c r="AA28" s="1264">
        <f>D28/F28</f>
        <v>1</v>
      </c>
      <c r="AB28" s="1264">
        <f>D28/H28</f>
        <v>1</v>
      </c>
      <c r="AC28" s="1812">
        <f>D28/J28</f>
        <v>1</v>
      </c>
    </row>
    <row r="29" spans="1:29" ht="15.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407"/>
      <c r="Q29" s="1263">
        <f t="shared" si="11"/>
        <v>111</v>
      </c>
      <c r="R29" s="667" t="s">
        <v>14</v>
      </c>
      <c r="S29" s="668">
        <f t="shared" ref="S29:S47" si="12">F29</f>
        <v>100</v>
      </c>
      <c r="T29" s="667" t="s">
        <v>14</v>
      </c>
      <c r="U29" s="668">
        <f t="shared" ref="U29:U47" si="13">H29</f>
        <v>100</v>
      </c>
      <c r="V29" s="667" t="s">
        <v>14</v>
      </c>
      <c r="W29" s="668">
        <f t="shared" ref="W29:W47" si="14">J29</f>
        <v>100</v>
      </c>
      <c r="X29" s="1265"/>
      <c r="Y29" s="3409"/>
      <c r="Z29" s="1264">
        <f t="shared" ref="Z29:Z47" si="15">Q29</f>
        <v>111</v>
      </c>
      <c r="AA29" s="1264">
        <f t="shared" si="3"/>
        <v>1</v>
      </c>
      <c r="AB29" s="1264">
        <f t="shared" si="4"/>
        <v>1</v>
      </c>
      <c r="AC29" s="1812">
        <f t="shared" si="5"/>
        <v>1</v>
      </c>
    </row>
    <row r="30" spans="1:29" ht="15.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407"/>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812">
        <f t="shared" si="5"/>
        <v>1</v>
      </c>
    </row>
    <row r="31" spans="1:29" ht="15.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407"/>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812">
        <f t="shared" si="5"/>
        <v>1</v>
      </c>
    </row>
    <row r="32" spans="1:29" ht="1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407"/>
      <c r="Q32" s="1263">
        <f t="shared" si="11"/>
        <v>111</v>
      </c>
      <c r="R32" s="667" t="s">
        <v>14</v>
      </c>
      <c r="S32" s="668">
        <f t="shared" si="12"/>
        <v>100</v>
      </c>
      <c r="T32" s="667" t="s">
        <v>14</v>
      </c>
      <c r="U32" s="668">
        <f t="shared" si="13"/>
        <v>100</v>
      </c>
      <c r="V32" s="667" t="s">
        <v>14</v>
      </c>
      <c r="W32" s="668">
        <f t="shared" si="14"/>
        <v>100</v>
      </c>
      <c r="X32" s="1265"/>
      <c r="Y32" s="3409"/>
      <c r="Z32" s="1264">
        <f t="shared" si="15"/>
        <v>111</v>
      </c>
      <c r="AA32" s="1264">
        <f t="shared" si="3"/>
        <v>1</v>
      </c>
      <c r="AB32" s="1264">
        <f t="shared" si="4"/>
        <v>1</v>
      </c>
      <c r="AC32" s="1812">
        <f t="shared" si="5"/>
        <v>1</v>
      </c>
    </row>
    <row r="33" spans="1:29" ht="15.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1"/>
      <c r="M33" s="2486"/>
      <c r="N33" s="2486"/>
      <c r="O33" s="2486"/>
      <c r="P33" s="3410" t="s">
        <v>1696</v>
      </c>
      <c r="Q33" s="1263" t="str">
        <f t="shared" si="11"/>
        <v>建筑类型</v>
      </c>
      <c r="R33" s="667" t="s">
        <v>14</v>
      </c>
      <c r="S33" s="668">
        <f t="shared" si="12"/>
        <v>100</v>
      </c>
      <c r="T33" s="667" t="s">
        <v>14</v>
      </c>
      <c r="U33" s="668">
        <f t="shared" si="13"/>
        <v>100</v>
      </c>
      <c r="V33" s="667" t="s">
        <v>14</v>
      </c>
      <c r="W33" s="668">
        <f t="shared" si="14"/>
        <v>100</v>
      </c>
      <c r="X33" s="1265"/>
      <c r="Y33" s="3413" t="s">
        <v>1696</v>
      </c>
      <c r="Z33" s="1264" t="str">
        <f t="shared" si="15"/>
        <v>建筑类型</v>
      </c>
      <c r="AA33" s="1264">
        <f t="shared" si="3"/>
        <v>1</v>
      </c>
      <c r="AB33" s="1264">
        <f t="shared" si="4"/>
        <v>1</v>
      </c>
      <c r="AC33" s="1812">
        <f t="shared" si="5"/>
        <v>1</v>
      </c>
    </row>
    <row r="34" spans="1:29" s="408" customFormat="1" ht="15.5">
      <c r="A34" s="406"/>
      <c r="B34" s="364" t="s">
        <v>1697</v>
      </c>
      <c r="C34" s="407">
        <f>'数据-汇总表'!E19</f>
        <v>55.89</v>
      </c>
      <c r="D34" s="119">
        <v>100</v>
      </c>
      <c r="E34" s="369">
        <v>49.68</v>
      </c>
      <c r="F34" s="364">
        <f>LOOKUP(E34,104:104,105:105)-LOOKUP(C34,104:104,105:105)+100</f>
        <v>101</v>
      </c>
      <c r="G34" s="368">
        <v>49.52</v>
      </c>
      <c r="H34" s="119">
        <f>LOOKUP(G34,104:104,105:105)-LOOKUP(C34,104:104,105:105)+100</f>
        <v>101</v>
      </c>
      <c r="I34" s="368">
        <v>64.42</v>
      </c>
      <c r="J34" s="119">
        <f>LOOKUP(I34,104:104,105:105)-LOOKUP(C34,104:104,105:105)+100</f>
        <v>100</v>
      </c>
      <c r="K34" s="539"/>
      <c r="L34" s="2490"/>
      <c r="M34" s="2492"/>
      <c r="N34" s="2492"/>
      <c r="O34" s="2492"/>
      <c r="P34" s="3411"/>
      <c r="Q34" s="531" t="str">
        <f t="shared" si="11"/>
        <v>项目建筑规模</v>
      </c>
      <c r="R34" s="669" t="s">
        <v>14</v>
      </c>
      <c r="S34" s="670">
        <f t="shared" si="12"/>
        <v>101</v>
      </c>
      <c r="T34" s="669" t="s">
        <v>14</v>
      </c>
      <c r="U34" s="670">
        <f t="shared" si="13"/>
        <v>101</v>
      </c>
      <c r="V34" s="669" t="s">
        <v>14</v>
      </c>
      <c r="W34" s="670">
        <f t="shared" si="14"/>
        <v>100</v>
      </c>
      <c r="X34" s="671"/>
      <c r="Y34" s="3413"/>
      <c r="Z34" s="672" t="str">
        <f t="shared" si="15"/>
        <v>项目建筑规模</v>
      </c>
      <c r="AA34" s="1264">
        <f t="shared" si="3"/>
        <v>0.99009900990099009</v>
      </c>
      <c r="AB34" s="1264">
        <f t="shared" si="4"/>
        <v>0.99009900990099009</v>
      </c>
      <c r="AC34" s="1812">
        <f t="shared" si="5"/>
        <v>1</v>
      </c>
    </row>
    <row r="35" spans="1:29" ht="15.5">
      <c r="A35" s="409"/>
      <c r="B35" s="364" t="s">
        <v>1698</v>
      </c>
      <c r="C35" s="399" t="s">
        <v>3432</v>
      </c>
      <c r="D35" s="374">
        <v>100</v>
      </c>
      <c r="E35" s="399" t="s">
        <v>3432</v>
      </c>
      <c r="F35" s="400">
        <f>SUMIF(106:106,E35,107:107)-SUMIF(106:106,C35,107:107)+100</f>
        <v>100</v>
      </c>
      <c r="G35" s="399" t="s">
        <v>3432</v>
      </c>
      <c r="H35" s="374">
        <f>SUMIF(106:106,G35,107:107)-SUMIF(106:106,C35,107:107)+100</f>
        <v>100</v>
      </c>
      <c r="I35" s="399" t="s">
        <v>3432</v>
      </c>
      <c r="J35" s="374">
        <f>SUMIF(106:106,I35,107:107)-SUMIF(106:106,C35,107:107)+100</f>
        <v>100</v>
      </c>
      <c r="K35" s="538">
        <v>2</v>
      </c>
      <c r="L35" s="2491"/>
      <c r="M35" s="2486"/>
      <c r="N35" s="2486"/>
      <c r="O35" s="2486"/>
      <c r="P35" s="3411"/>
      <c r="Q35" s="1263" t="str">
        <f t="shared" si="11"/>
        <v>建筑结构</v>
      </c>
      <c r="R35" s="667" t="s">
        <v>14</v>
      </c>
      <c r="S35" s="668">
        <f t="shared" si="12"/>
        <v>100</v>
      </c>
      <c r="T35" s="667" t="s">
        <v>14</v>
      </c>
      <c r="U35" s="668">
        <f t="shared" si="13"/>
        <v>100</v>
      </c>
      <c r="V35" s="667" t="s">
        <v>14</v>
      </c>
      <c r="W35" s="668">
        <f t="shared" si="14"/>
        <v>100</v>
      </c>
      <c r="X35" s="1265"/>
      <c r="Y35" s="3413"/>
      <c r="Z35" s="1264" t="str">
        <f t="shared" si="15"/>
        <v>建筑结构</v>
      </c>
      <c r="AA35" s="1264">
        <f t="shared" si="3"/>
        <v>1</v>
      </c>
      <c r="AB35" s="1264">
        <f t="shared" si="4"/>
        <v>1</v>
      </c>
      <c r="AC35" s="1812">
        <f t="shared" si="5"/>
        <v>1</v>
      </c>
    </row>
    <row r="36" spans="1:29" ht="15.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411"/>
      <c r="Q36" s="1263" t="str">
        <f t="shared" si="11"/>
        <v>公共部分装修</v>
      </c>
      <c r="R36" s="667" t="s">
        <v>14</v>
      </c>
      <c r="S36" s="668">
        <f t="shared" si="12"/>
        <v>100</v>
      </c>
      <c r="T36" s="667" t="s">
        <v>14</v>
      </c>
      <c r="U36" s="668">
        <f t="shared" si="13"/>
        <v>100</v>
      </c>
      <c r="V36" s="667" t="s">
        <v>14</v>
      </c>
      <c r="W36" s="668">
        <f t="shared" si="14"/>
        <v>100</v>
      </c>
      <c r="X36" s="1265"/>
      <c r="Y36" s="3413"/>
      <c r="Z36" s="1264" t="str">
        <f t="shared" si="15"/>
        <v>公共部分装修</v>
      </c>
      <c r="AA36" s="1264">
        <f t="shared" si="3"/>
        <v>1</v>
      </c>
      <c r="AB36" s="1264">
        <f t="shared" si="4"/>
        <v>1</v>
      </c>
      <c r="AC36" s="1812">
        <f t="shared" si="5"/>
        <v>1</v>
      </c>
    </row>
    <row r="37" spans="1:29" ht="15.5">
      <c r="A37" s="409"/>
      <c r="B37" s="364" t="s">
        <v>1786</v>
      </c>
      <c r="C37" s="411">
        <f>'数据-取费表'!N6</f>
        <v>0.72</v>
      </c>
      <c r="D37" s="374">
        <v>100</v>
      </c>
      <c r="E37" s="411">
        <f>C37</f>
        <v>0.72</v>
      </c>
      <c r="F37" s="400">
        <f>LOOKUP(E37,111:111,112:112)-LOOKUP(C37,111:111,112:112)+100</f>
        <v>100</v>
      </c>
      <c r="G37" s="411">
        <f>C37</f>
        <v>0.72</v>
      </c>
      <c r="H37" s="400">
        <f>LOOKUP(G37,111:111,112:112)-LOOKUP(C37,111:111,112:112)+100</f>
        <v>100</v>
      </c>
      <c r="I37" s="411">
        <f>C37</f>
        <v>0.72</v>
      </c>
      <c r="J37" s="374">
        <f>LOOKUP(I37,111:111,112:112)-LOOKUP(C37,111:111,112:112)+100</f>
        <v>100</v>
      </c>
      <c r="K37" s="538">
        <v>1</v>
      </c>
      <c r="L37" s="2491"/>
      <c r="M37" s="2486"/>
      <c r="N37" s="2486"/>
      <c r="O37" s="2486"/>
      <c r="P37" s="3411"/>
      <c r="Q37" s="1263" t="str">
        <f t="shared" si="11"/>
        <v>成新度</v>
      </c>
      <c r="R37" s="667" t="s">
        <v>14</v>
      </c>
      <c r="S37" s="668">
        <f t="shared" si="12"/>
        <v>100</v>
      </c>
      <c r="T37" s="667" t="s">
        <v>14</v>
      </c>
      <c r="U37" s="668">
        <f t="shared" si="13"/>
        <v>100</v>
      </c>
      <c r="V37" s="667" t="s">
        <v>14</v>
      </c>
      <c r="W37" s="668">
        <f t="shared" si="14"/>
        <v>100</v>
      </c>
      <c r="X37" s="1265"/>
      <c r="Y37" s="3413"/>
      <c r="Z37" s="1264" t="str">
        <f t="shared" si="15"/>
        <v>成新度</v>
      </c>
      <c r="AA37" s="1264">
        <f t="shared" si="3"/>
        <v>1</v>
      </c>
      <c r="AB37" s="1264">
        <f t="shared" si="4"/>
        <v>1</v>
      </c>
      <c r="AC37" s="1812">
        <f t="shared" si="5"/>
        <v>1</v>
      </c>
    </row>
    <row r="38" spans="1:29" s="102" customFormat="1" ht="15.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411"/>
      <c r="Q38" s="530" t="str">
        <f t="shared" si="11"/>
        <v>写字楼等级</v>
      </c>
      <c r="R38" s="664" t="s">
        <v>14</v>
      </c>
      <c r="S38" s="665">
        <f t="shared" si="12"/>
        <v>100</v>
      </c>
      <c r="T38" s="664" t="s">
        <v>14</v>
      </c>
      <c r="U38" s="665">
        <f t="shared" si="13"/>
        <v>100</v>
      </c>
      <c r="V38" s="664" t="s">
        <v>14</v>
      </c>
      <c r="W38" s="665">
        <f t="shared" si="14"/>
        <v>100</v>
      </c>
      <c r="X38" s="666"/>
      <c r="Y38" s="3413"/>
      <c r="Z38" s="50" t="str">
        <f t="shared" si="15"/>
        <v>写字楼等级</v>
      </c>
      <c r="AA38" s="50">
        <f t="shared" si="3"/>
        <v>1</v>
      </c>
      <c r="AB38" s="50">
        <f t="shared" si="4"/>
        <v>1</v>
      </c>
      <c r="AC38" s="802">
        <f t="shared" si="5"/>
        <v>1</v>
      </c>
    </row>
    <row r="39" spans="1:29" ht="15.5">
      <c r="A39" s="409"/>
      <c r="B39" s="364" t="s">
        <v>1819</v>
      </c>
      <c r="C39" s="399" t="s">
        <v>3486</v>
      </c>
      <c r="D39" s="374">
        <v>100</v>
      </c>
      <c r="E39" s="399" t="s">
        <v>3486</v>
      </c>
      <c r="F39" s="400">
        <f>SUMIF(115:115,E39,116:116)-SUMIF(115:115,C39,116:116)+100</f>
        <v>100</v>
      </c>
      <c r="G39" s="399" t="s">
        <v>3486</v>
      </c>
      <c r="H39" s="374">
        <f>SUMIF(115:115,G39,116:116)-SUMIF(115:115,C39,116:116)+100</f>
        <v>100</v>
      </c>
      <c r="I39" s="399" t="s">
        <v>3486</v>
      </c>
      <c r="J39" s="374">
        <f>SUMIF(115:115,I39,116:116)-SUMIF(115:115,C39,116:116)+100</f>
        <v>100</v>
      </c>
      <c r="K39" s="538">
        <v>2</v>
      </c>
      <c r="L39" s="2491"/>
      <c r="M39" s="2486"/>
      <c r="N39" s="2486"/>
      <c r="O39" s="2486"/>
      <c r="P39" s="3411" t="s">
        <v>1696</v>
      </c>
      <c r="Q39" s="1263" t="str">
        <f t="shared" si="11"/>
        <v>物业管理</v>
      </c>
      <c r="R39" s="667" t="s">
        <v>14</v>
      </c>
      <c r="S39" s="668">
        <f t="shared" si="12"/>
        <v>100</v>
      </c>
      <c r="T39" s="667" t="s">
        <v>14</v>
      </c>
      <c r="U39" s="668">
        <f t="shared" si="13"/>
        <v>100</v>
      </c>
      <c r="V39" s="667" t="s">
        <v>14</v>
      </c>
      <c r="W39" s="668">
        <f t="shared" si="14"/>
        <v>100</v>
      </c>
      <c r="X39" s="1265"/>
      <c r="Y39" s="3413" t="s">
        <v>1696</v>
      </c>
      <c r="Z39" s="1264" t="str">
        <f t="shared" si="15"/>
        <v>物业管理</v>
      </c>
      <c r="AA39" s="1264">
        <f t="shared" si="3"/>
        <v>1</v>
      </c>
      <c r="AB39" s="1264">
        <f t="shared" si="4"/>
        <v>1</v>
      </c>
      <c r="AC39" s="1812">
        <f t="shared" si="5"/>
        <v>1</v>
      </c>
    </row>
    <row r="40" spans="1:29" ht="15.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1"/>
      <c r="M40" s="2486"/>
      <c r="N40" s="2486"/>
      <c r="O40" s="2486"/>
      <c r="P40" s="3411"/>
      <c r="Q40" s="1263" t="str">
        <f t="shared" si="11"/>
        <v>市政基础设施</v>
      </c>
      <c r="R40" s="667" t="s">
        <v>14</v>
      </c>
      <c r="S40" s="668">
        <f t="shared" si="12"/>
        <v>100</v>
      </c>
      <c r="T40" s="667" t="s">
        <v>14</v>
      </c>
      <c r="U40" s="668">
        <f t="shared" si="13"/>
        <v>100</v>
      </c>
      <c r="V40" s="667" t="s">
        <v>14</v>
      </c>
      <c r="W40" s="668">
        <f t="shared" si="14"/>
        <v>100</v>
      </c>
      <c r="X40" s="1265"/>
      <c r="Y40" s="3413"/>
      <c r="Z40" s="1264" t="str">
        <f t="shared" si="15"/>
        <v>市政基础设施</v>
      </c>
      <c r="AA40" s="1264">
        <f t="shared" si="3"/>
        <v>1</v>
      </c>
      <c r="AB40" s="1264">
        <f t="shared" si="4"/>
        <v>1</v>
      </c>
      <c r="AC40" s="1812">
        <f t="shared" si="5"/>
        <v>1</v>
      </c>
    </row>
    <row r="41" spans="1:29" ht="15.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1"/>
      <c r="M41" s="2486"/>
      <c r="N41" s="2486"/>
      <c r="O41" s="2486"/>
      <c r="P41" s="3411"/>
      <c r="Q41" s="1263" t="str">
        <f t="shared" si="11"/>
        <v>层高</v>
      </c>
      <c r="R41" s="667" t="s">
        <v>14</v>
      </c>
      <c r="S41" s="668">
        <f t="shared" si="12"/>
        <v>100</v>
      </c>
      <c r="T41" s="667" t="s">
        <v>14</v>
      </c>
      <c r="U41" s="668">
        <f t="shared" si="13"/>
        <v>100</v>
      </c>
      <c r="V41" s="667" t="s">
        <v>14</v>
      </c>
      <c r="W41" s="668">
        <f t="shared" si="14"/>
        <v>100</v>
      </c>
      <c r="X41" s="1265"/>
      <c r="Y41" s="3413"/>
      <c r="Z41" s="1264" t="str">
        <f t="shared" si="15"/>
        <v>层高</v>
      </c>
      <c r="AA41" s="1264">
        <f t="shared" si="3"/>
        <v>1</v>
      </c>
      <c r="AB41" s="1264">
        <f t="shared" si="4"/>
        <v>1</v>
      </c>
      <c r="AC41" s="1812">
        <f t="shared" si="5"/>
        <v>1</v>
      </c>
    </row>
    <row r="42" spans="1:29" s="408" customFormat="1" ht="15.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411"/>
      <c r="Q42" s="531" t="str">
        <f t="shared" si="11"/>
        <v>单套建筑面积</v>
      </c>
      <c r="R42" s="669" t="s">
        <v>14</v>
      </c>
      <c r="S42" s="670">
        <f t="shared" si="12"/>
        <v>100</v>
      </c>
      <c r="T42" s="669" t="s">
        <v>14</v>
      </c>
      <c r="U42" s="670">
        <f t="shared" si="13"/>
        <v>100</v>
      </c>
      <c r="V42" s="669" t="s">
        <v>14</v>
      </c>
      <c r="W42" s="670">
        <f t="shared" si="14"/>
        <v>100</v>
      </c>
      <c r="X42" s="671"/>
      <c r="Y42" s="3413"/>
      <c r="Z42" s="672" t="str">
        <f t="shared" si="15"/>
        <v>单套建筑面积</v>
      </c>
      <c r="AA42" s="1264">
        <f t="shared" si="3"/>
        <v>1</v>
      </c>
      <c r="AB42" s="1264">
        <f t="shared" si="4"/>
        <v>1</v>
      </c>
      <c r="AC42" s="1812">
        <f t="shared" si="5"/>
        <v>1</v>
      </c>
    </row>
    <row r="43" spans="1:29" ht="15.5">
      <c r="A43" s="409"/>
      <c r="B43" s="364" t="s">
        <v>1792</v>
      </c>
      <c r="C43" s="399" t="s">
        <v>3480</v>
      </c>
      <c r="D43" s="374">
        <v>100</v>
      </c>
      <c r="E43" s="399" t="s">
        <v>3478</v>
      </c>
      <c r="F43" s="400">
        <f>SUMIF(123:123,E43,124:124)-SUMIF(123:123,C43,124:124)+100</f>
        <v>101</v>
      </c>
      <c r="G43" s="399" t="s">
        <v>3478</v>
      </c>
      <c r="H43" s="374">
        <f>SUMIF(123:123,G43,124:124)-SUMIF(123:123,C43,124:124)+100</f>
        <v>101</v>
      </c>
      <c r="I43" s="399" t="s">
        <v>3478</v>
      </c>
      <c r="J43" s="374">
        <f>SUMIF(123:123,I43,124:124)-SUMIF(123:123,C43,124:124)+100</f>
        <v>101</v>
      </c>
      <c r="K43" s="538">
        <v>1</v>
      </c>
      <c r="L43" s="2491"/>
      <c r="M43" s="2486"/>
      <c r="N43" s="2486"/>
      <c r="O43" s="2486"/>
      <c r="P43" s="3411"/>
      <c r="Q43" s="1263" t="str">
        <f t="shared" si="11"/>
        <v>内部装修</v>
      </c>
      <c r="R43" s="667" t="s">
        <v>14</v>
      </c>
      <c r="S43" s="668">
        <f t="shared" si="12"/>
        <v>101</v>
      </c>
      <c r="T43" s="667" t="s">
        <v>14</v>
      </c>
      <c r="U43" s="668">
        <f t="shared" si="13"/>
        <v>101</v>
      </c>
      <c r="V43" s="667" t="s">
        <v>14</v>
      </c>
      <c r="W43" s="668">
        <f t="shared" si="14"/>
        <v>101</v>
      </c>
      <c r="X43" s="1265"/>
      <c r="Y43" s="3413"/>
      <c r="Z43" s="1264" t="str">
        <f t="shared" si="15"/>
        <v>内部装修</v>
      </c>
      <c r="AA43" s="1264">
        <f t="shared" si="3"/>
        <v>0.99009900990099009</v>
      </c>
      <c r="AB43" s="1264">
        <f t="shared" si="4"/>
        <v>0.99009900990099009</v>
      </c>
      <c r="AC43" s="1812">
        <f t="shared" si="5"/>
        <v>0.99009900990099009</v>
      </c>
    </row>
    <row r="44" spans="1:29" ht="28">
      <c r="A44" s="409"/>
      <c r="B44" s="364" t="s">
        <v>1707</v>
      </c>
      <c r="C44" s="399" t="s">
        <v>3470</v>
      </c>
      <c r="D44" s="374">
        <v>100</v>
      </c>
      <c r="E44" s="399" t="s">
        <v>3470</v>
      </c>
      <c r="F44" s="400">
        <f>SUMIF(125:125,E44,126:126)-SUMIF(125:125,C44,126:126)+100</f>
        <v>100</v>
      </c>
      <c r="G44" s="399" t="s">
        <v>3470</v>
      </c>
      <c r="H44" s="374">
        <f>SUMIF(125:125,G44,126:126)-SUMIF(125:125,C44,126:126)+100</f>
        <v>100</v>
      </c>
      <c r="I44" s="399" t="s">
        <v>3470</v>
      </c>
      <c r="J44" s="374">
        <f>SUMIF(125:125,I44,126:126)-SUMIF(125:125,C44,126:126)+100</f>
        <v>100</v>
      </c>
      <c r="K44" s="538">
        <v>2</v>
      </c>
      <c r="L44" s="2491"/>
      <c r="M44" s="2486"/>
      <c r="N44" s="2486"/>
      <c r="O44" s="2486"/>
      <c r="P44" s="3411"/>
      <c r="Q44" s="1263" t="str">
        <f t="shared" si="11"/>
        <v>内部装修维护情况</v>
      </c>
      <c r="R44" s="667" t="s">
        <v>14</v>
      </c>
      <c r="S44" s="668">
        <f t="shared" si="12"/>
        <v>100</v>
      </c>
      <c r="T44" s="667" t="s">
        <v>14</v>
      </c>
      <c r="U44" s="668">
        <f t="shared" si="13"/>
        <v>100</v>
      </c>
      <c r="V44" s="667" t="s">
        <v>14</v>
      </c>
      <c r="W44" s="668">
        <f t="shared" si="14"/>
        <v>100</v>
      </c>
      <c r="X44" s="1265"/>
      <c r="Y44" s="3413"/>
      <c r="Z44" s="1264" t="str">
        <f t="shared" si="15"/>
        <v>内部装修维护情况</v>
      </c>
      <c r="AA44" s="1264">
        <f t="shared" si="3"/>
        <v>1</v>
      </c>
      <c r="AB44" s="1264">
        <f t="shared" si="4"/>
        <v>1</v>
      </c>
      <c r="AC44" s="1812">
        <f t="shared" si="5"/>
        <v>1</v>
      </c>
    </row>
    <row r="45" spans="1:29" s="102" customFormat="1" ht="15.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411"/>
      <c r="Q45" s="530">
        <f t="shared" si="11"/>
        <v>111</v>
      </c>
      <c r="R45" s="664" t="s">
        <v>14</v>
      </c>
      <c r="S45" s="665">
        <f t="shared" si="12"/>
        <v>100</v>
      </c>
      <c r="T45" s="664" t="s">
        <v>14</v>
      </c>
      <c r="U45" s="665">
        <f t="shared" si="13"/>
        <v>100</v>
      </c>
      <c r="V45" s="664" t="s">
        <v>14</v>
      </c>
      <c r="W45" s="665">
        <f t="shared" si="14"/>
        <v>100</v>
      </c>
      <c r="X45" s="666"/>
      <c r="Y45" s="3413"/>
      <c r="Z45" s="50">
        <f t="shared" si="15"/>
        <v>111</v>
      </c>
      <c r="AA45" s="50">
        <f t="shared" si="3"/>
        <v>1</v>
      </c>
      <c r="AB45" s="50">
        <f t="shared" si="4"/>
        <v>1</v>
      </c>
      <c r="AC45" s="802">
        <f t="shared" si="5"/>
        <v>1</v>
      </c>
    </row>
    <row r="46" spans="1:29" ht="15.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411"/>
      <c r="Q46" s="1263">
        <f t="shared" si="11"/>
        <v>111</v>
      </c>
      <c r="R46" s="667" t="s">
        <v>14</v>
      </c>
      <c r="S46" s="668">
        <f t="shared" si="12"/>
        <v>100</v>
      </c>
      <c r="T46" s="667" t="s">
        <v>14</v>
      </c>
      <c r="U46" s="668">
        <f t="shared" si="13"/>
        <v>100</v>
      </c>
      <c r="V46" s="667" t="s">
        <v>14</v>
      </c>
      <c r="W46" s="668">
        <f t="shared" si="14"/>
        <v>100</v>
      </c>
      <c r="X46" s="1265"/>
      <c r="Y46" s="3413"/>
      <c r="Z46" s="1264">
        <f t="shared" si="15"/>
        <v>111</v>
      </c>
      <c r="AA46" s="1264">
        <f t="shared" si="3"/>
        <v>1</v>
      </c>
      <c r="AB46" s="1264">
        <f t="shared" si="4"/>
        <v>1</v>
      </c>
      <c r="AC46" s="1812">
        <f t="shared" si="5"/>
        <v>1</v>
      </c>
    </row>
    <row r="47" spans="1:29" ht="1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412"/>
      <c r="Q47" s="1263">
        <f t="shared" si="11"/>
        <v>111</v>
      </c>
      <c r="R47" s="667" t="s">
        <v>14</v>
      </c>
      <c r="S47" s="668">
        <f t="shared" si="12"/>
        <v>100</v>
      </c>
      <c r="T47" s="667" t="s">
        <v>14</v>
      </c>
      <c r="U47" s="668">
        <f t="shared" si="13"/>
        <v>100</v>
      </c>
      <c r="V47" s="667" t="s">
        <v>14</v>
      </c>
      <c r="W47" s="668">
        <f t="shared" si="14"/>
        <v>100</v>
      </c>
      <c r="X47" s="1265"/>
      <c r="Y47" s="3414"/>
      <c r="Z47" s="1264">
        <f t="shared" si="15"/>
        <v>111</v>
      </c>
      <c r="AA47" s="1264">
        <f t="shared" si="3"/>
        <v>1</v>
      </c>
      <c r="AB47" s="1264">
        <f t="shared" si="4"/>
        <v>1</v>
      </c>
      <c r="AC47" s="1812">
        <f t="shared" si="5"/>
        <v>1</v>
      </c>
    </row>
    <row r="48" spans="1:29">
      <c r="A48" s="416" t="s">
        <v>1708</v>
      </c>
      <c r="B48" s="417"/>
      <c r="C48" s="1081" t="s">
        <v>0</v>
      </c>
      <c r="D48" s="418"/>
      <c r="E48" s="419">
        <v>24960</v>
      </c>
      <c r="F48" s="420"/>
      <c r="G48" s="421">
        <v>25243</v>
      </c>
      <c r="H48" s="422"/>
      <c r="I48" s="419">
        <v>26079</v>
      </c>
      <c r="J48" s="422"/>
      <c r="K48" s="674"/>
      <c r="L48" s="2493"/>
      <c r="M48" s="2486"/>
      <c r="N48" s="2486"/>
      <c r="O48" s="2486"/>
      <c r="P48" s="3386" t="str">
        <f>A48</f>
        <v>成交单价（元/平方米）</v>
      </c>
      <c r="Q48" s="3415"/>
      <c r="R48" s="3403">
        <f>E48</f>
        <v>24960</v>
      </c>
      <c r="S48" s="3403"/>
      <c r="T48" s="3403">
        <f>G48</f>
        <v>25243</v>
      </c>
      <c r="U48" s="3403"/>
      <c r="V48" s="3403">
        <f>I48</f>
        <v>26079</v>
      </c>
      <c r="W48" s="3403"/>
      <c r="X48" s="385"/>
      <c r="Y48" s="673"/>
      <c r="Z48" s="385"/>
      <c r="AA48" s="385"/>
      <c r="AB48" s="385"/>
      <c r="AC48" s="555"/>
    </row>
    <row r="49" spans="1:29" ht="14.5" thickBot="1">
      <c r="A49" s="423" t="s">
        <v>1793</v>
      </c>
      <c r="B49" s="424"/>
      <c r="C49" s="1082">
        <f>R50</f>
        <v>24364</v>
      </c>
      <c r="D49" s="2141" t="s">
        <v>2138</v>
      </c>
      <c r="E49" s="1083">
        <f>R49</f>
        <v>23518</v>
      </c>
      <c r="F49" s="2142"/>
      <c r="G49" s="1082">
        <f>T49</f>
        <v>24260</v>
      </c>
      <c r="H49" s="2142"/>
      <c r="I49" s="1083">
        <f>V49</f>
        <v>25315</v>
      </c>
      <c r="J49" s="2142"/>
      <c r="K49" s="2144">
        <f>F49+H49+J49</f>
        <v>0</v>
      </c>
      <c r="L49" s="2493"/>
      <c r="M49" s="2486"/>
      <c r="N49" s="2486"/>
      <c r="O49" s="2486"/>
      <c r="P49" s="3386" t="str">
        <f>A49</f>
        <v>比较价值（元/平方米）</v>
      </c>
      <c r="Q49" s="3415"/>
      <c r="R49" s="3403">
        <f>IF(F1="售价",ROUND(PRODUCT(R48,AA7:AA47),0),ROUND(PRODUCT(R48,AA7:AA47),1))</f>
        <v>23518</v>
      </c>
      <c r="S49" s="3403"/>
      <c r="T49" s="3403">
        <f>IF(F1="售价",ROUND(PRODUCT(T48,AB7:AB47),0),ROUND(PRODUCT(T48,AB7:AB47),1))</f>
        <v>24260</v>
      </c>
      <c r="U49" s="3403"/>
      <c r="V49" s="3403">
        <f>IF(F1="售价",ROUND(PRODUCT(V48,AC7:AC47),0),ROUND(PRODUCT(V48,AC7:AC47),1))</f>
        <v>25315</v>
      </c>
      <c r="W49" s="3403"/>
      <c r="X49" s="385"/>
      <c r="Y49" s="385"/>
      <c r="Z49" s="385"/>
      <c r="AA49" s="385"/>
      <c r="AB49" s="385"/>
      <c r="AC49" s="555"/>
    </row>
    <row r="50" spans="1:29" ht="14.5" thickBot="1">
      <c r="A50" s="427" t="s">
        <v>1794</v>
      </c>
      <c r="B50" s="428"/>
      <c r="C50" s="351">
        <f>R50</f>
        <v>24364</v>
      </c>
      <c r="D50" s="351"/>
      <c r="E50" s="351"/>
      <c r="F50" s="351"/>
      <c r="G50" s="351"/>
      <c r="H50" s="351"/>
      <c r="I50" s="351"/>
      <c r="J50" s="429"/>
      <c r="K50" s="675"/>
      <c r="L50" s="2493"/>
      <c r="M50" s="2486"/>
      <c r="N50" s="2486"/>
      <c r="O50" s="2486"/>
      <c r="P50" s="3416" t="str">
        <f>A50</f>
        <v>估价对象XX用房的比较价值（楼面单价，元/平方米）</v>
      </c>
      <c r="Q50" s="3417"/>
      <c r="R50" s="3418">
        <f>IF(F1="售价",ROUND(IF(D49="简单平均",AVERAGE(R49:V49),R49*F49+T49*H49+V49*J49),0),ROUND(IF(D49="简单平均",AVERAGE(R49:V49),R49*F49+T49*H49+V49*J49),1))</f>
        <v>24364</v>
      </c>
      <c r="S50" s="3418"/>
      <c r="T50" s="3418"/>
      <c r="U50" s="3418"/>
      <c r="V50" s="3418"/>
      <c r="W50" s="3418"/>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6.1314737647759188E-2</v>
      </c>
      <c r="F53" s="435" t="str">
        <f>IF(OR(E53&gt;=0.3,E53&lt;=-0.3),"超过30%","")</f>
        <v/>
      </c>
      <c r="G53" s="434">
        <f>IF(G48&lt;G49,G49/G48-1,G48/G49-1)</f>
        <v>4.0519373454245722E-2</v>
      </c>
      <c r="H53" s="435" t="str">
        <f>IF(OR(G53&gt;=0.3,G53&lt;=-0.3),"超过30%","")</f>
        <v/>
      </c>
      <c r="I53" s="434">
        <f>IF(I48&lt;I49,I49/I48-1,I48/I49-1)</f>
        <v>3.0179735334781688E-2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3.155030189641983E-2</v>
      </c>
      <c r="F54" s="435" t="str">
        <f>IF(OR(E54&gt;=0.2,E54&lt;=-0.2),"超过20%","")</f>
        <v/>
      </c>
      <c r="G54" s="434">
        <f>IF(G49&lt;I49,I49/G49-1,G49/I49-1)</f>
        <v>4.348722176422104E-2</v>
      </c>
      <c r="H54" s="435" t="str">
        <f>IF(OR(G54&gt;=0.2,G54&lt;=-0.2),"超过20%","")</f>
        <v/>
      </c>
      <c r="I54" s="434">
        <f>IF(I49&lt;E49,E49/I49-1,I49/E49-1)</f>
        <v>7.6409558635938346E-2</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1.1338141025641013E-2</v>
      </c>
      <c r="F55" s="435" t="str">
        <f>IF(OR(E55&gt;=0.3,E55&lt;=-0.3),"超过30%","")</f>
        <v/>
      </c>
      <c r="G55" s="434">
        <f>IF(G48&lt;I48,I48/G48-1,G48/I48-1)</f>
        <v>3.3118092144356792E-2</v>
      </c>
      <c r="H55" s="435" t="str">
        <f>IF(OR(G55&gt;=0.3,G55&lt;=-0.3),"超过30%","")</f>
        <v/>
      </c>
      <c r="I55" s="434">
        <f>IF(I48&lt;E48,E48/I48-1,I48/E48-1)</f>
        <v>4.4831730769230749E-2</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1.5"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c r="A59" s="440" t="s">
        <v>1679</v>
      </c>
      <c r="B59" s="441"/>
      <c r="C59" s="1103" t="str">
        <f>YEAR(C7)&amp;"-"&amp;MONTH(C7)</f>
        <v>2025-10</v>
      </c>
      <c r="D59" s="1104">
        <f>EDATE(C59,-1)</f>
        <v>45901</v>
      </c>
      <c r="E59" s="1104">
        <f>EDATE(D59,-1)</f>
        <v>45870</v>
      </c>
      <c r="F59" s="1104">
        <f t="shared" ref="F59:O59" si="16">EDATE(E59,-1)</f>
        <v>45839</v>
      </c>
      <c r="G59" s="1104">
        <f t="shared" si="16"/>
        <v>45809</v>
      </c>
      <c r="H59" s="1104">
        <f t="shared" si="16"/>
        <v>45778</v>
      </c>
      <c r="I59" s="1104">
        <f t="shared" si="16"/>
        <v>45748</v>
      </c>
      <c r="J59" s="1104">
        <f t="shared" si="16"/>
        <v>45717</v>
      </c>
      <c r="K59" s="1104">
        <f t="shared" si="16"/>
        <v>45689</v>
      </c>
      <c r="L59" s="1104">
        <f t="shared" si="16"/>
        <v>45658</v>
      </c>
      <c r="M59" s="1104">
        <f t="shared" si="16"/>
        <v>45627</v>
      </c>
      <c r="N59" s="1104">
        <f t="shared" si="16"/>
        <v>45597</v>
      </c>
      <c r="O59" s="1104">
        <f t="shared" si="16"/>
        <v>45566</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4.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c r="A62" s="455" t="s">
        <v>1681</v>
      </c>
      <c r="B62" s="444"/>
      <c r="C62" s="456" t="s">
        <v>1776</v>
      </c>
      <c r="D62" s="3172" t="s">
        <v>3457</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5" thickBot="1">
      <c r="A63" s="455"/>
      <c r="B63" s="444"/>
      <c r="C63" s="445">
        <v>100</v>
      </c>
      <c r="D63" s="446">
        <v>102</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c r="A64" s="379" t="s">
        <v>1719</v>
      </c>
      <c r="B64" s="460" t="s">
        <v>1685</v>
      </c>
      <c r="C64" s="461" t="str">
        <f>C9</f>
        <v>办公</v>
      </c>
      <c r="D64" s="462"/>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5" thickBot="1">
      <c r="A65" s="367"/>
      <c r="B65" s="466"/>
      <c r="C65" s="467">
        <v>100</v>
      </c>
      <c r="D65" s="467"/>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8.5" thickTop="1">
      <c r="A66" s="367"/>
      <c r="B66" s="469" t="s">
        <v>1688</v>
      </c>
      <c r="C66" s="513" t="s">
        <v>3440</v>
      </c>
      <c r="D66" s="513" t="s">
        <v>3441</v>
      </c>
      <c r="E66" s="513" t="s">
        <v>3442</v>
      </c>
      <c r="F66" s="513" t="s">
        <v>3443</v>
      </c>
      <c r="G66" s="513" t="s">
        <v>3444</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5" thickBot="1">
      <c r="A67" s="367"/>
      <c r="B67" s="474"/>
      <c r="C67" s="467">
        <f t="shared" ref="C67:E67" si="17">D67-3</f>
        <v>88</v>
      </c>
      <c r="D67" s="467">
        <f t="shared" si="17"/>
        <v>91</v>
      </c>
      <c r="E67" s="467">
        <f t="shared" si="17"/>
        <v>94</v>
      </c>
      <c r="F67" s="467">
        <f>G67-3</f>
        <v>97</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4.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5"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5"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5"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5"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5"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5"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5"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5" thickBot="1">
      <c r="A78" s="367"/>
      <c r="B78" s="474"/>
      <c r="C78" s="475">
        <v>100</v>
      </c>
      <c r="D78" s="475">
        <f>C78-$K15</f>
        <v>97</v>
      </c>
      <c r="E78" s="475">
        <f>D78-$K15</f>
        <v>94</v>
      </c>
      <c r="F78" s="475">
        <f>E78-$K15</f>
        <v>91</v>
      </c>
      <c r="G78" s="475">
        <f>F78-$K15</f>
        <v>88</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4.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4.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5"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4.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5"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4.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5"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8.5" thickTop="1">
      <c r="A87" s="370"/>
      <c r="B87" s="469" t="s">
        <v>1823</v>
      </c>
      <c r="C87" s="3171" t="s">
        <v>3451</v>
      </c>
      <c r="D87" s="3170" t="s">
        <v>3452</v>
      </c>
      <c r="E87" s="3170" t="s">
        <v>3453</v>
      </c>
      <c r="F87" s="3170" t="s">
        <v>3454</v>
      </c>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5" thickBot="1">
      <c r="A88" s="370"/>
      <c r="B88" s="474"/>
      <c r="C88" s="512">
        <v>100</v>
      </c>
      <c r="D88" s="475">
        <f t="shared" ref="D88:M88" si="20">C88-$K25</f>
        <v>98</v>
      </c>
      <c r="E88" s="475">
        <f t="shared" si="20"/>
        <v>96</v>
      </c>
      <c r="F88" s="475">
        <f t="shared" si="20"/>
        <v>94</v>
      </c>
      <c r="G88" s="475">
        <f t="shared" si="20"/>
        <v>92</v>
      </c>
      <c r="H88" s="475">
        <f t="shared" si="20"/>
        <v>90</v>
      </c>
      <c r="I88" s="475">
        <f t="shared" si="20"/>
        <v>88</v>
      </c>
      <c r="J88" s="475">
        <f t="shared" si="20"/>
        <v>86</v>
      </c>
      <c r="K88" s="475">
        <f t="shared" si="20"/>
        <v>84</v>
      </c>
      <c r="L88" s="475">
        <f t="shared" si="20"/>
        <v>82</v>
      </c>
      <c r="M88" s="475">
        <f t="shared" si="20"/>
        <v>80</v>
      </c>
      <c r="N88" s="2521"/>
      <c r="O88" s="2521"/>
      <c r="P88" s="2529"/>
      <c r="Q88" s="2507"/>
      <c r="R88" s="2439"/>
      <c r="S88" s="2439"/>
      <c r="T88" s="2439"/>
      <c r="U88" s="2439"/>
      <c r="V88" s="2439"/>
      <c r="W88" s="2439"/>
      <c r="X88" s="2439"/>
      <c r="Y88" s="2439"/>
      <c r="Z88" s="2439"/>
      <c r="AA88" s="2439"/>
      <c r="AB88" s="2439"/>
      <c r="AC88" s="2439"/>
    </row>
    <row r="89" spans="1:29" s="102" customFormat="1" ht="14.5" thickTop="1">
      <c r="A89" s="370"/>
      <c r="B89" s="469" t="str">
        <f>B27</f>
        <v>楼层</v>
      </c>
      <c r="C89" s="3170" t="s">
        <v>3445</v>
      </c>
      <c r="D89" s="3170" t="s">
        <v>3447</v>
      </c>
      <c r="E89" s="3170" t="s">
        <v>3449</v>
      </c>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5" thickBot="1">
      <c r="A90" s="370"/>
      <c r="B90" s="474"/>
      <c r="C90" s="512">
        <v>100</v>
      </c>
      <c r="D90" s="475">
        <f>C90-$K27</f>
        <v>98</v>
      </c>
      <c r="E90" s="475">
        <f t="shared" ref="E90:M90" si="21">D90-$K27</f>
        <v>96</v>
      </c>
      <c r="F90" s="475">
        <f t="shared" si="21"/>
        <v>94</v>
      </c>
      <c r="G90" s="475">
        <f t="shared" si="21"/>
        <v>92</v>
      </c>
      <c r="H90" s="475">
        <f t="shared" si="21"/>
        <v>90</v>
      </c>
      <c r="I90" s="475">
        <f t="shared" si="21"/>
        <v>88</v>
      </c>
      <c r="J90" s="475">
        <f t="shared" si="21"/>
        <v>86</v>
      </c>
      <c r="K90" s="475">
        <f t="shared" si="21"/>
        <v>84</v>
      </c>
      <c r="L90" s="475">
        <f t="shared" si="21"/>
        <v>82</v>
      </c>
      <c r="M90" s="475">
        <f t="shared" si="21"/>
        <v>80</v>
      </c>
      <c r="N90" s="2521"/>
      <c r="O90" s="2521"/>
      <c r="P90" s="2529"/>
      <c r="Q90" s="2507"/>
      <c r="R90" s="2439"/>
      <c r="S90" s="2439"/>
      <c r="T90" s="2439"/>
      <c r="U90" s="2439"/>
      <c r="V90" s="2439"/>
      <c r="W90" s="2439"/>
      <c r="X90" s="2439"/>
      <c r="Y90" s="2439"/>
      <c r="Z90" s="2439"/>
      <c r="AA90" s="2439"/>
      <c r="AB90" s="2439"/>
      <c r="AC90" s="2439"/>
    </row>
    <row r="91" spans="1:29" s="408" customFormat="1" ht="14.5"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4.5"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5"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5"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5"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5"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5"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c r="A101" s="379" t="s">
        <v>1694</v>
      </c>
      <c r="B101" s="460" t="s">
        <v>1736</v>
      </c>
      <c r="C101" s="462"/>
      <c r="D101" s="462"/>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4.5" thickTop="1">
      <c r="A103" s="367"/>
      <c r="B103" s="469" t="s">
        <v>1737</v>
      </c>
      <c r="C103" s="509" t="str">
        <f>C104&amp;"(含)"&amp;"-"&amp;D104</f>
        <v>0(含)-50</v>
      </c>
      <c r="D103" s="509" t="str">
        <f t="shared" ref="D103:L103" si="24">D104&amp;"(含)"&amp;"-"&amp;E104</f>
        <v>50(含)-80</v>
      </c>
      <c r="E103" s="509" t="str">
        <f t="shared" si="24"/>
        <v>80(含)-100</v>
      </c>
      <c r="F103" s="509" t="str">
        <f t="shared" si="24"/>
        <v>100(含)-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50</v>
      </c>
      <c r="E104" s="6">
        <v>80</v>
      </c>
      <c r="F104" s="6">
        <v>100</v>
      </c>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5" thickBot="1">
      <c r="A105" s="484"/>
      <c r="B105" s="474"/>
      <c r="C105" s="491">
        <v>100</v>
      </c>
      <c r="D105" s="467">
        <f>C105-1</f>
        <v>99</v>
      </c>
      <c r="E105" s="467">
        <f t="shared" ref="E105:F105" si="25">D105-1</f>
        <v>98</v>
      </c>
      <c r="F105" s="467">
        <f t="shared" si="25"/>
        <v>97</v>
      </c>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4.5" thickTop="1">
      <c r="A106" s="409"/>
      <c r="B106" s="469" t="s">
        <v>1738</v>
      </c>
      <c r="C106" s="3170" t="s">
        <v>3450</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5" thickBot="1">
      <c r="A107" s="367"/>
      <c r="B107" s="474"/>
      <c r="C107" s="475">
        <v>100</v>
      </c>
      <c r="D107" s="475">
        <f t="shared" ref="D107:M107" si="26">C107-$K35</f>
        <v>98</v>
      </c>
      <c r="E107" s="475">
        <f t="shared" si="26"/>
        <v>96</v>
      </c>
      <c r="F107" s="475">
        <f t="shared" si="26"/>
        <v>94</v>
      </c>
      <c r="G107" s="475">
        <f t="shared" si="26"/>
        <v>92</v>
      </c>
      <c r="H107" s="475">
        <f t="shared" si="26"/>
        <v>90</v>
      </c>
      <c r="I107" s="475">
        <f t="shared" si="26"/>
        <v>88</v>
      </c>
      <c r="J107" s="475">
        <f t="shared" si="26"/>
        <v>86</v>
      </c>
      <c r="K107" s="475">
        <f t="shared" si="26"/>
        <v>84</v>
      </c>
      <c r="L107" s="475">
        <f t="shared" si="26"/>
        <v>82</v>
      </c>
      <c r="M107" s="476">
        <f t="shared" si="26"/>
        <v>80</v>
      </c>
      <c r="N107" s="2521"/>
      <c r="O107" s="2521"/>
      <c r="P107" s="2529"/>
      <c r="Q107" s="2507"/>
      <c r="R107" s="2486"/>
      <c r="S107" s="2486"/>
      <c r="T107" s="2486"/>
      <c r="U107" s="2486"/>
      <c r="V107" s="2486"/>
      <c r="W107" s="2486"/>
      <c r="X107" s="2486"/>
      <c r="Y107" s="2486"/>
      <c r="Z107" s="2486"/>
      <c r="AA107" s="2486"/>
      <c r="AB107" s="2486"/>
      <c r="AC107" s="2486"/>
    </row>
    <row r="108" spans="1:29" ht="14.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5" thickBot="1">
      <c r="A109" s="367"/>
      <c r="B109" s="474"/>
      <c r="C109" s="475">
        <v>100</v>
      </c>
      <c r="D109" s="475">
        <f t="shared" ref="D109:M109" si="27">C109-$K36</f>
        <v>100</v>
      </c>
      <c r="E109" s="475">
        <f t="shared" si="27"/>
        <v>100</v>
      </c>
      <c r="F109" s="475">
        <f t="shared" si="27"/>
        <v>100</v>
      </c>
      <c r="G109" s="475">
        <f t="shared" si="27"/>
        <v>100</v>
      </c>
      <c r="H109" s="475">
        <f t="shared" si="27"/>
        <v>100</v>
      </c>
      <c r="I109" s="475">
        <f t="shared" si="27"/>
        <v>100</v>
      </c>
      <c r="J109" s="475">
        <f t="shared" si="27"/>
        <v>100</v>
      </c>
      <c r="K109" s="475">
        <f t="shared" si="27"/>
        <v>100</v>
      </c>
      <c r="L109" s="475">
        <f t="shared" si="27"/>
        <v>100</v>
      </c>
      <c r="M109" s="476">
        <f t="shared" si="27"/>
        <v>100</v>
      </c>
      <c r="N109" s="2521"/>
      <c r="O109" s="2521"/>
      <c r="P109" s="2529"/>
      <c r="Q109" s="2507"/>
      <c r="R109" s="2486"/>
      <c r="S109" s="2486"/>
      <c r="T109" s="2486"/>
      <c r="U109" s="2486"/>
      <c r="V109" s="2486"/>
      <c r="W109" s="2486"/>
      <c r="X109" s="2486"/>
      <c r="Y109" s="2486"/>
      <c r="Z109" s="2486"/>
      <c r="AA109" s="2486"/>
      <c r="AB109" s="2486"/>
      <c r="AC109" s="2486"/>
    </row>
    <row r="110" spans="1:29" ht="14.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5" thickBot="1">
      <c r="A112" s="367"/>
      <c r="B112" s="474"/>
      <c r="C112" s="512">
        <v>100</v>
      </c>
      <c r="D112" s="475">
        <f>C112+$K37</f>
        <v>101</v>
      </c>
      <c r="E112" s="475">
        <f t="shared" ref="E112:M112" si="28">D112+$K37</f>
        <v>102</v>
      </c>
      <c r="F112" s="475">
        <f t="shared" si="28"/>
        <v>103</v>
      </c>
      <c r="G112" s="475">
        <f t="shared" si="28"/>
        <v>104</v>
      </c>
      <c r="H112" s="475">
        <f t="shared" si="28"/>
        <v>105</v>
      </c>
      <c r="I112" s="475">
        <f t="shared" si="28"/>
        <v>106</v>
      </c>
      <c r="J112" s="475">
        <f t="shared" si="28"/>
        <v>107</v>
      </c>
      <c r="K112" s="475">
        <f t="shared" si="28"/>
        <v>108</v>
      </c>
      <c r="L112" s="475">
        <f t="shared" si="28"/>
        <v>109</v>
      </c>
      <c r="M112" s="475">
        <f t="shared" si="28"/>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4.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5" thickBot="1">
      <c r="A114" s="484"/>
      <c r="B114" s="474"/>
      <c r="C114" s="475">
        <v>100</v>
      </c>
      <c r="D114" s="475">
        <f>C114-$K38</f>
        <v>100</v>
      </c>
      <c r="E114" s="475">
        <f t="shared" ref="E114:M114" si="29">D114-$K38</f>
        <v>100</v>
      </c>
      <c r="F114" s="475">
        <f t="shared" si="29"/>
        <v>100</v>
      </c>
      <c r="G114" s="475">
        <f t="shared" si="29"/>
        <v>100</v>
      </c>
      <c r="H114" s="475">
        <f t="shared" si="29"/>
        <v>100</v>
      </c>
      <c r="I114" s="475">
        <f t="shared" si="29"/>
        <v>100</v>
      </c>
      <c r="J114" s="475">
        <f t="shared" si="29"/>
        <v>100</v>
      </c>
      <c r="K114" s="475">
        <f t="shared" si="29"/>
        <v>100</v>
      </c>
      <c r="L114" s="475">
        <f t="shared" si="29"/>
        <v>100</v>
      </c>
      <c r="M114" s="475">
        <f t="shared" si="29"/>
        <v>100</v>
      </c>
      <c r="N114" s="2522"/>
      <c r="O114" s="2522"/>
      <c r="P114" s="2530"/>
      <c r="Q114" s="2514"/>
      <c r="R114" s="2492"/>
      <c r="S114" s="2492"/>
      <c r="T114" s="2492"/>
      <c r="U114" s="2492"/>
      <c r="V114" s="2492"/>
      <c r="W114" s="2492"/>
      <c r="X114" s="2492"/>
      <c r="Y114" s="2492"/>
      <c r="Z114" s="2492"/>
      <c r="AA114" s="2492"/>
      <c r="AB114" s="2492"/>
      <c r="AC114" s="2492"/>
    </row>
    <row r="115" spans="1:29" ht="14.5" thickTop="1">
      <c r="A115" s="409"/>
      <c r="B115" s="469" t="s">
        <v>1741</v>
      </c>
      <c r="C115" s="3170" t="s">
        <v>3485</v>
      </c>
      <c r="D115" s="3170" t="s">
        <v>3487</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5" thickBot="1">
      <c r="A116" s="367"/>
      <c r="B116" s="474"/>
      <c r="C116" s="475">
        <v>100</v>
      </c>
      <c r="D116" s="475">
        <f t="shared" ref="D116:M116" si="30">C116-$K39</f>
        <v>98</v>
      </c>
      <c r="E116" s="475">
        <f t="shared" si="30"/>
        <v>96</v>
      </c>
      <c r="F116" s="475">
        <f t="shared" si="30"/>
        <v>94</v>
      </c>
      <c r="G116" s="475">
        <f t="shared" si="30"/>
        <v>92</v>
      </c>
      <c r="H116" s="475">
        <f t="shared" si="30"/>
        <v>90</v>
      </c>
      <c r="I116" s="475">
        <f t="shared" si="30"/>
        <v>88</v>
      </c>
      <c r="J116" s="475">
        <f t="shared" si="30"/>
        <v>86</v>
      </c>
      <c r="K116" s="475">
        <f t="shared" si="30"/>
        <v>84</v>
      </c>
      <c r="L116" s="475">
        <f t="shared" si="30"/>
        <v>82</v>
      </c>
      <c r="M116" s="476">
        <f t="shared" si="30"/>
        <v>80</v>
      </c>
      <c r="N116" s="2521"/>
      <c r="O116" s="2521"/>
      <c r="P116" s="2529"/>
      <c r="Q116" s="2507"/>
      <c r="R116" s="2486"/>
      <c r="S116" s="2486"/>
      <c r="T116" s="2486"/>
      <c r="U116" s="2486"/>
      <c r="V116" s="2486"/>
      <c r="W116" s="2486"/>
      <c r="X116" s="2486"/>
      <c r="Y116" s="2486"/>
      <c r="Z116" s="2486"/>
      <c r="AA116" s="2486"/>
      <c r="AB116" s="2486"/>
      <c r="AC116" s="2486"/>
    </row>
    <row r="117" spans="1:29" ht="14.5" thickTop="1">
      <c r="A117" s="409"/>
      <c r="B117" s="469" t="s">
        <v>1742</v>
      </c>
      <c r="C117" s="485"/>
      <c r="D117" s="485"/>
      <c r="E117" s="485"/>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5"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4.5" thickTop="1">
      <c r="A119" s="409"/>
      <c r="B119" s="560" t="s">
        <v>1825</v>
      </c>
      <c r="C119" s="513"/>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5" thickBot="1">
      <c r="A120" s="367"/>
      <c r="B120" s="474"/>
      <c r="C120" s="512">
        <v>100</v>
      </c>
      <c r="D120" s="475">
        <f>C120-$K41</f>
        <v>95</v>
      </c>
      <c r="E120" s="475">
        <f t="shared" ref="E120:M120" si="31">D120-$K41</f>
        <v>90</v>
      </c>
      <c r="F120" s="475">
        <f t="shared" si="31"/>
        <v>85</v>
      </c>
      <c r="G120" s="475">
        <f t="shared" si="31"/>
        <v>80</v>
      </c>
      <c r="H120" s="475">
        <f t="shared" si="31"/>
        <v>75</v>
      </c>
      <c r="I120" s="475">
        <f t="shared" si="31"/>
        <v>70</v>
      </c>
      <c r="J120" s="475">
        <f t="shared" si="31"/>
        <v>65</v>
      </c>
      <c r="K120" s="475">
        <f t="shared" si="31"/>
        <v>60</v>
      </c>
      <c r="L120" s="475">
        <f t="shared" si="31"/>
        <v>55</v>
      </c>
      <c r="M120" s="475">
        <f t="shared" si="31"/>
        <v>50</v>
      </c>
      <c r="N120" s="2521"/>
      <c r="O120" s="2521"/>
      <c r="P120" s="2529"/>
      <c r="Q120" s="2507"/>
      <c r="R120" s="2486"/>
      <c r="S120" s="2486"/>
      <c r="T120" s="2486"/>
      <c r="U120" s="2486"/>
      <c r="V120" s="2486"/>
      <c r="W120" s="2486"/>
      <c r="X120" s="2486"/>
      <c r="Y120" s="2486"/>
      <c r="Z120" s="2486"/>
      <c r="AA120" s="2486"/>
      <c r="AB120" s="2486"/>
      <c r="AC120" s="2486"/>
    </row>
    <row r="121" spans="1:29" s="408" customFormat="1" ht="14.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5"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4.5" thickTop="1">
      <c r="A123" s="409"/>
      <c r="B123" s="469" t="s">
        <v>1744</v>
      </c>
      <c r="C123" s="3170" t="s">
        <v>3479</v>
      </c>
      <c r="D123" s="3170" t="s">
        <v>3481</v>
      </c>
      <c r="E123" s="3170" t="s">
        <v>3482</v>
      </c>
      <c r="F123" s="3179" t="s">
        <v>3483</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5" thickBot="1">
      <c r="A124" s="367"/>
      <c r="B124" s="474"/>
      <c r="C124" s="475">
        <v>100</v>
      </c>
      <c r="D124" s="475">
        <f t="shared" ref="D124:M124" si="32">C124-$K43</f>
        <v>99</v>
      </c>
      <c r="E124" s="475">
        <f t="shared" si="32"/>
        <v>98</v>
      </c>
      <c r="F124" s="475">
        <f t="shared" si="32"/>
        <v>97</v>
      </c>
      <c r="G124" s="475">
        <f t="shared" si="32"/>
        <v>96</v>
      </c>
      <c r="H124" s="475">
        <f t="shared" si="32"/>
        <v>95</v>
      </c>
      <c r="I124" s="475">
        <f t="shared" si="32"/>
        <v>94</v>
      </c>
      <c r="J124" s="475">
        <f t="shared" si="32"/>
        <v>93</v>
      </c>
      <c r="K124" s="475">
        <f t="shared" si="32"/>
        <v>92</v>
      </c>
      <c r="L124" s="475">
        <f t="shared" si="32"/>
        <v>91</v>
      </c>
      <c r="M124" s="476">
        <f t="shared" si="32"/>
        <v>90</v>
      </c>
      <c r="N124" s="2521"/>
      <c r="O124" s="2521"/>
      <c r="P124" s="2529"/>
      <c r="Q124" s="2507"/>
      <c r="R124" s="2486"/>
      <c r="S124" s="2486"/>
      <c r="T124" s="2486"/>
      <c r="U124" s="2486"/>
      <c r="V124" s="2486"/>
      <c r="W124" s="2486"/>
      <c r="X124" s="2486"/>
      <c r="Y124" s="2486"/>
      <c r="Z124" s="2486"/>
      <c r="AA124" s="2486"/>
      <c r="AB124" s="2486"/>
      <c r="AC124" s="2486"/>
    </row>
    <row r="125" spans="1:29" ht="28.5"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5"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5"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5"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5"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5"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5"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5"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topLeftCell="A10" zoomScale="70" zoomScaleNormal="70" zoomScaleSheetLayoutView="70" workbookViewId="0">
      <selection activeCell="G35" sqref="G35"/>
    </sheetView>
  </sheetViews>
  <sheetFormatPr defaultColWidth="9" defaultRowHeight="12.5"/>
  <cols>
    <col min="1" max="1" width="9" style="250" customWidth="1"/>
    <col min="2" max="2" width="20.6328125" style="625" customWidth="1"/>
    <col min="3" max="3" width="11.90625" style="625" customWidth="1"/>
    <col min="4" max="4" width="40.453125" style="250" customWidth="1"/>
    <col min="5" max="5" width="15.7265625" style="250" customWidth="1"/>
    <col min="6" max="6" width="10.6328125" style="250" customWidth="1"/>
    <col min="7" max="7" width="4.90625" style="250" customWidth="1"/>
    <col min="8" max="8" width="8.453125" style="250" customWidth="1"/>
    <col min="9" max="9" width="21.26953125" style="250" customWidth="1"/>
    <col min="10" max="10" width="12.26953125" style="250" customWidth="1"/>
    <col min="11" max="11" width="40.08984375" style="1372" customWidth="1"/>
    <col min="12" max="12" width="16.36328125" style="250" customWidth="1"/>
    <col min="13" max="13" width="13" style="250" customWidth="1"/>
    <col min="14" max="14" width="13.7265625" style="1292" customWidth="1"/>
    <col min="15" max="15" width="5.08984375" style="1292" customWidth="1"/>
    <col min="16" max="16" width="25.7265625" style="1292" customWidth="1"/>
    <col min="17" max="17" width="13.7265625" style="1292" customWidth="1"/>
    <col min="18" max="18" width="20.453125" style="1292" customWidth="1"/>
    <col min="19" max="19" width="13.26953125" style="1292" customWidth="1"/>
    <col min="20" max="37" width="9" style="1292"/>
    <col min="38" max="16384" width="9" style="250"/>
  </cols>
  <sheetData>
    <row r="1" spans="1:37" s="285" customFormat="1" ht="21">
      <c r="A1" s="1283" t="s">
        <v>877</v>
      </c>
      <c r="B1" s="663"/>
      <c r="C1" s="1287" t="s">
        <v>21</v>
      </c>
      <c r="D1" s="1271" t="s">
        <v>43</v>
      </c>
      <c r="E1" s="1272" t="s">
        <v>678</v>
      </c>
      <c r="F1" s="999">
        <f ca="1">J53</f>
        <v>28.87</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93.608199999999997</v>
      </c>
      <c r="C2" s="1289" t="s">
        <v>879</v>
      </c>
      <c r="D2" s="1375">
        <f ca="1">C40+J29+L46</f>
        <v>936082</v>
      </c>
      <c r="E2" s="1295" t="s">
        <v>880</v>
      </c>
      <c r="F2" s="1296"/>
      <c r="G2" s="2477"/>
      <c r="H2" s="2467"/>
      <c r="I2" s="2467"/>
      <c r="J2" s="2467"/>
      <c r="K2" s="2468"/>
      <c r="L2" s="2467"/>
      <c r="M2" s="2467"/>
    </row>
    <row r="3" spans="1:37" ht="18" customHeight="1" thickBot="1">
      <c r="A3" s="1297" t="s">
        <v>881</v>
      </c>
      <c r="B3" s="1298">
        <f ca="1">IF(ISERROR(D2/F43),0,ROUND(D2/F43,0))</f>
        <v>16749</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59474</v>
      </c>
      <c r="D5" s="1273" t="s">
        <v>889</v>
      </c>
      <c r="E5" s="1008"/>
      <c r="F5" s="1009"/>
      <c r="G5" s="1292"/>
      <c r="H5" s="291">
        <v>1</v>
      </c>
      <c r="I5" s="292" t="s">
        <v>888</v>
      </c>
      <c r="J5" s="1007">
        <f ca="1">J6+J10+J12</f>
        <v>0</v>
      </c>
      <c r="K5" s="1273" t="s">
        <v>889</v>
      </c>
      <c r="L5" s="1008"/>
      <c r="M5" s="1009"/>
    </row>
    <row r="6" spans="1:37" ht="18" customHeight="1">
      <c r="A6" s="1006" t="s">
        <v>398</v>
      </c>
      <c r="B6" s="3368" t="s">
        <v>694</v>
      </c>
      <c r="C6" s="1011">
        <f ca="1">ROUND(F6*F8*F7*(1-F9),0)</f>
        <v>59400</v>
      </c>
      <c r="D6" s="147" t="s">
        <v>2106</v>
      </c>
      <c r="E6" s="294" t="s">
        <v>696</v>
      </c>
      <c r="F6" s="295">
        <f ca="1">INDIRECT("'数据-取费表'!u"&amp;$G$1)</f>
        <v>5500</v>
      </c>
      <c r="G6" s="1292"/>
      <c r="H6" s="1006" t="s">
        <v>398</v>
      </c>
      <c r="I6" s="3368" t="s">
        <v>694</v>
      </c>
      <c r="J6" s="293">
        <f ca="1">ROUND(M6*M8*M7*(1-M9),0)</f>
        <v>0</v>
      </c>
      <c r="K6" s="1284" t="s">
        <v>2107</v>
      </c>
      <c r="L6" s="294" t="s">
        <v>696</v>
      </c>
      <c r="M6" s="295">
        <f ca="1">INDIRECT("'数据-取费表'!z"&amp;$G$1)</f>
        <v>0</v>
      </c>
    </row>
    <row r="7" spans="1:37" ht="18" customHeight="1">
      <c r="A7" s="1010"/>
      <c r="B7" s="3369"/>
      <c r="C7" s="1012"/>
      <c r="D7" s="299"/>
      <c r="E7" s="1013" t="s">
        <v>697</v>
      </c>
      <c r="F7" s="295">
        <f ca="1">IF(INDIRECT("'数据-取费表'!ah"&amp;$G$1)="",INDIRECT("'数据-取费表'!k"&amp;$G$1),INDIRECT("'数据-取费表'!ah"&amp;$G$1))</f>
        <v>1</v>
      </c>
      <c r="G7" s="1292"/>
      <c r="H7" s="296"/>
      <c r="I7" s="3369"/>
      <c r="J7" s="298"/>
      <c r="K7" s="299"/>
      <c r="L7" s="294" t="s">
        <v>697</v>
      </c>
      <c r="M7" s="295">
        <f ca="1">F7</f>
        <v>1</v>
      </c>
    </row>
    <row r="8" spans="1:37" ht="18" customHeight="1">
      <c r="A8" s="296"/>
      <c r="B8" s="3369"/>
      <c r="C8" s="298"/>
      <c r="D8" s="299"/>
      <c r="E8" s="294" t="s">
        <v>698</v>
      </c>
      <c r="F8" s="295">
        <f ca="1">INDIRECT("'数据-取费表'!ai"&amp;$G$1)</f>
        <v>12</v>
      </c>
      <c r="G8" s="1292"/>
      <c r="H8" s="296"/>
      <c r="I8" s="3369"/>
      <c r="J8" s="298"/>
      <c r="K8" s="299"/>
      <c r="L8" s="294" t="s">
        <v>698</v>
      </c>
      <c r="M8" s="295">
        <f ca="1">INDIRECT("'数据-取费表'!ai"&amp;$G$1)</f>
        <v>12</v>
      </c>
    </row>
    <row r="9" spans="1:37" ht="18" customHeight="1">
      <c r="A9" s="296"/>
      <c r="B9" s="3370"/>
      <c r="C9" s="298"/>
      <c r="D9" s="299"/>
      <c r="E9" s="294" t="s">
        <v>699</v>
      </c>
      <c r="F9" s="304">
        <f ca="1">INDIRECT("'数据-取费表'!w"&amp;$G$1)</f>
        <v>0.1</v>
      </c>
      <c r="G9" s="1292"/>
      <c r="H9" s="296"/>
      <c r="I9" s="3370"/>
      <c r="J9" s="298"/>
      <c r="K9" s="299"/>
      <c r="L9" s="305" t="s">
        <v>699</v>
      </c>
      <c r="M9" s="306">
        <f ca="1">INDIRECT("'数据-取费表'!ab"&amp;$G$1)</f>
        <v>0</v>
      </c>
    </row>
    <row r="10" spans="1:37" ht="18" customHeight="1">
      <c r="A10" s="1006" t="s">
        <v>402</v>
      </c>
      <c r="B10" s="1274" t="s">
        <v>700</v>
      </c>
      <c r="C10" s="308">
        <f ca="1">ROUND(IF(F10="押一",C6/12*F11,IF(F10="押二",C6/12*2*F11,IF(F10="押三",C6/12*3*F11,C11*F11))),0)</f>
        <v>74</v>
      </c>
      <c r="D10" s="150" t="s">
        <v>2116</v>
      </c>
      <c r="E10" s="305" t="s">
        <v>701</v>
      </c>
      <c r="F10" s="1053" t="s">
        <v>3431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207217</v>
      </c>
      <c r="D13" s="1018" t="s">
        <v>705</v>
      </c>
      <c r="E13" s="1018" t="s">
        <v>706</v>
      </c>
      <c r="F13" s="1019">
        <f ca="1">INDIRECT("'数据-取费表'!y"&amp;$G$1)</f>
        <v>0.72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195615</v>
      </c>
      <c r="D14" s="1257" t="s">
        <v>708</v>
      </c>
      <c r="E14" s="1255"/>
      <c r="F14" s="311"/>
      <c r="G14" s="1292"/>
      <c r="H14" s="928" t="s">
        <v>398</v>
      </c>
      <c r="I14" s="294" t="s">
        <v>709</v>
      </c>
      <c r="J14" s="21">
        <f ca="1">C29</f>
        <v>287801</v>
      </c>
      <c r="K14" s="12"/>
      <c r="L14" s="759"/>
      <c r="M14" s="760"/>
    </row>
    <row r="15" spans="1:37" s="1304" customFormat="1" ht="18" customHeight="1" thickBot="1">
      <c r="A15" s="928" t="s">
        <v>399</v>
      </c>
      <c r="B15" s="294" t="s">
        <v>710</v>
      </c>
      <c r="C15" s="21">
        <f ca="1">ROUND(C14*F15,0)</f>
        <v>9781</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2878</v>
      </c>
      <c r="K16" s="1024" t="s">
        <v>715</v>
      </c>
      <c r="L16" s="1025"/>
      <c r="M16" s="1009"/>
    </row>
    <row r="17" spans="1:37" s="1304" customFormat="1" ht="18" customHeight="1">
      <c r="A17" s="928" t="s">
        <v>681</v>
      </c>
      <c r="B17" s="294" t="s">
        <v>716</v>
      </c>
      <c r="C17" s="21">
        <f ca="1">ROUND(F17*(F43+INDIRECT("'数据-取费表'!S"&amp;$G$1)),0)</f>
        <v>11178</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f ca="1">IF(项目基本情况!B11="企业","",IF('数据-取费表'!B10="住宅",IF(M6*M7*M8/12/(1+'数据-取费表'!F30)&gt;100000,4%,2.5%),IF(M6*M7*M8/12/(1+'数据-取费表'!F30)&gt;100000,12%,7%)))</f>
        <v>7.0000000000000007E-2</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3912</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5.6000000000000001E-2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220486</v>
      </c>
      <c r="D19" s="123" t="s">
        <v>726</v>
      </c>
      <c r="E19" s="1269"/>
      <c r="F19" s="23"/>
      <c r="G19" s="1292"/>
      <c r="H19" s="928" t="s">
        <v>399</v>
      </c>
      <c r="I19" s="294" t="s">
        <v>727</v>
      </c>
      <c r="J19" s="21">
        <f ca="1">IF(K19="按租金收入计税",ROUND(J6*M19/(1+'数据-取费表'!C42),0),ROUND(C29*M19*0.7,0))</f>
        <v>0</v>
      </c>
      <c r="K19" s="1278" t="s">
        <v>3334</v>
      </c>
      <c r="L19" s="294" t="s">
        <v>712</v>
      </c>
      <c r="M19" s="314">
        <f>IF(K19="按租金收入计税",'数据-取费表'!B51,'数据-取费表'!B50)</f>
        <v>0.12</v>
      </c>
    </row>
    <row r="20" spans="1:37" s="1304" customFormat="1" ht="18" customHeight="1">
      <c r="A20" s="928" t="s">
        <v>402</v>
      </c>
      <c r="B20" s="294" t="s">
        <v>728</v>
      </c>
      <c r="C20" s="21">
        <f ca="1">ROUND(C19*F20,0)</f>
        <v>4410</v>
      </c>
      <c r="D20" s="315" t="s">
        <v>729</v>
      </c>
      <c r="E20" s="294" t="s">
        <v>712</v>
      </c>
      <c r="F20" s="314">
        <f>'数据-取费表'!B37</f>
        <v>0.02</v>
      </c>
      <c r="G20" s="1303"/>
      <c r="H20" s="928" t="s">
        <v>680</v>
      </c>
      <c r="I20" s="147" t="s">
        <v>730</v>
      </c>
      <c r="J20" s="22">
        <f ca="1">ROUND(M20*M21,0)</f>
        <v>0</v>
      </c>
      <c r="K20" s="316" t="s">
        <v>731</v>
      </c>
      <c r="L20" s="294" t="s">
        <v>732</v>
      </c>
      <c r="M20" s="317">
        <f>'数据-取费表'!B52</f>
        <v>12</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2878</v>
      </c>
      <c r="K22" s="1256" t="s">
        <v>739</v>
      </c>
      <c r="L22" s="294" t="s">
        <v>712</v>
      </c>
      <c r="M22" s="320">
        <f ca="1">INDIRECT("'数据-取费表'!Ak"&amp;$G$1)</f>
        <v>0.01</v>
      </c>
    </row>
    <row r="23" spans="1:37" s="1304" customFormat="1" ht="18" customHeight="1">
      <c r="A23" s="928" t="s">
        <v>397</v>
      </c>
      <c r="B23" s="294" t="s">
        <v>740</v>
      </c>
      <c r="C23" s="21">
        <f ca="1">IF('数据-取费表'!B22&lt;=1,ROUND(C19*F24*F23/2,0)+ROUND(C20*F24*F23/2,0),ROUND(C19*(POWER((1+F24),F23/2)-1),0)+ROUND(C20*(POWER((1+F24),F23/2)-1),0))</f>
        <v>7039</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3.1300000000000001E-2</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-2878</v>
      </c>
      <c r="K25" s="1032" t="s">
        <v>753</v>
      </c>
      <c r="L25" s="1033"/>
      <c r="M25" s="1034"/>
    </row>
    <row r="26" spans="1:37" ht="18" customHeight="1">
      <c r="A26" s="928" t="s">
        <v>397</v>
      </c>
      <c r="B26" s="294" t="s">
        <v>754</v>
      </c>
      <c r="C26" s="21">
        <f ca="1">ROUND((C19+C20)*F26,0)</f>
        <v>33734</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5.33E-2</v>
      </c>
      <c r="D28" s="315" t="s">
        <v>765</v>
      </c>
      <c r="E28" s="294" t="s">
        <v>712</v>
      </c>
      <c r="F28" s="314">
        <f>'数据-取费表'!B41</f>
        <v>5.6000000000000001E-2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287801</v>
      </c>
      <c r="D29" s="1029"/>
      <c r="E29" s="1027"/>
      <c r="F29" s="1030"/>
      <c r="G29" s="1303"/>
      <c r="H29" s="325" t="s">
        <v>396</v>
      </c>
      <c r="I29" s="326" t="s">
        <v>768</v>
      </c>
      <c r="J29" s="327">
        <f ca="1">ROUND(J26/(1+F40)^F41,0)</f>
        <v>0</v>
      </c>
      <c r="K29" s="328" t="s">
        <v>769</v>
      </c>
      <c r="L29" s="329"/>
      <c r="M29" s="330">
        <f ca="1">INDIRECT("'数据-取费表'!k"&amp;$G$1)</f>
        <v>55.89</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7640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3960</v>
      </c>
      <c r="D31" s="1257" t="s">
        <v>720</v>
      </c>
      <c r="E31" s="1256" t="s">
        <v>770</v>
      </c>
      <c r="F31" s="2139">
        <f ca="1">IF(项目基本情况!B11="企业","——",IF(M47="住宅",IF(F6*F7*F8/12/(1+'数据-取费表'!F30)&gt;100000,4%,2.5%),IF(F6*F7*F8/12/(1+'数据-取费表'!F30)&gt;100000,12%,7%)))</f>
        <v>7.0000000000000007E-2</v>
      </c>
      <c r="G31" s="1292"/>
      <c r="H31" s="2568" t="s">
        <v>2306</v>
      </c>
      <c r="I31" s="1305"/>
      <c r="J31" s="1306"/>
      <c r="K31" s="121"/>
      <c r="L31" s="2470"/>
      <c r="M31" s="2471"/>
    </row>
    <row r="32" spans="1:37" ht="18" customHeight="1">
      <c r="A32" s="928" t="s">
        <v>397</v>
      </c>
      <c r="B32" s="294" t="s">
        <v>723</v>
      </c>
      <c r="C32" s="21" t="str">
        <f>IF(项目基本情况!B11="自然人","——",ROUND(C6*F32/(1+'数据-取费表'!C42),0))</f>
        <v>——</v>
      </c>
      <c r="D32" s="1256" t="s">
        <v>724</v>
      </c>
      <c r="E32" s="294" t="s">
        <v>712</v>
      </c>
      <c r="F32" s="322">
        <f>'数据-取费表'!B41</f>
        <v>5.6000000000000001E-2</v>
      </c>
      <c r="G32" s="1292"/>
      <c r="H32" s="2469"/>
      <c r="I32" s="1305"/>
      <c r="J32" s="1306"/>
      <c r="K32" s="121"/>
      <c r="L32" s="2470"/>
      <c r="M32" s="2471"/>
    </row>
    <row r="33" spans="1:18" ht="18" customHeight="1">
      <c r="A33" s="928" t="s">
        <v>399</v>
      </c>
      <c r="B33" s="294" t="s">
        <v>727</v>
      </c>
      <c r="C33" s="21" t="str">
        <f ca="1">IF(项目基本情况!B11="自然人","——",IF(D33="按租金收入计税",ROUND(C6*F33/(1+'数据-取费表'!C42),0),IF(D33="按房产原值计税",ROUND(C29*F33*0.7,0),INDIRECT("'数据-取费表'!Aj"&amp;$G$1))))</f>
        <v>——</v>
      </c>
      <c r="D33" s="1278" t="s">
        <v>3334</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t="str">
        <f>IF(项目基本情况!B11="自然人","——",ROUND(F34*F35,0))</f>
        <v>——</v>
      </c>
      <c r="D34" s="316" t="s">
        <v>731</v>
      </c>
      <c r="E34" s="294" t="s">
        <v>732</v>
      </c>
      <c r="F34" s="317">
        <f>'数据-取费表'!B52</f>
        <v>12</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2878</v>
      </c>
      <c r="D36" s="1256" t="s">
        <v>771</v>
      </c>
      <c r="E36" s="294" t="s">
        <v>712</v>
      </c>
      <c r="F36" s="320">
        <f ca="1">INDIRECT("'数据-取费表'!Ak"&amp;$G$1)</f>
        <v>0.01</v>
      </c>
      <c r="G36" s="1292"/>
      <c r="H36" s="2472"/>
      <c r="I36" s="1305"/>
      <c r="J36" s="1306"/>
      <c r="K36" s="2330"/>
      <c r="L36" s="2472"/>
      <c r="M36" s="2472"/>
    </row>
    <row r="37" spans="1:18" ht="18" customHeight="1">
      <c r="A37" s="928" t="s">
        <v>437</v>
      </c>
      <c r="B37" s="294" t="s">
        <v>742</v>
      </c>
      <c r="C37" s="21">
        <f ca="1">ROUND(C13*F37,0)</f>
        <v>207</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595</v>
      </c>
      <c r="D38" s="1029" t="s">
        <v>748</v>
      </c>
      <c r="E38" s="1027" t="s">
        <v>744</v>
      </c>
      <c r="F38" s="1023">
        <f ca="1">INDIRECT("'数据-取费表'!Am"&amp;$G$1)</f>
        <v>0.01</v>
      </c>
      <c r="G38" s="1292"/>
      <c r="H38" s="2472"/>
      <c r="I38" s="1305"/>
      <c r="J38" s="1306"/>
      <c r="K38" s="2470"/>
      <c r="L38" s="2472"/>
      <c r="M38" s="2472"/>
    </row>
    <row r="39" spans="1:18" ht="24.65" customHeight="1" thickTop="1">
      <c r="A39" s="1016" t="s">
        <v>394</v>
      </c>
      <c r="B39" s="1031" t="s">
        <v>772</v>
      </c>
      <c r="C39" s="302">
        <f ca="1">C5-C30</f>
        <v>51834</v>
      </c>
      <c r="D39" s="1032" t="s">
        <v>773</v>
      </c>
      <c r="E39" s="1033"/>
      <c r="F39" s="1034"/>
      <c r="G39" s="1292"/>
      <c r="H39" s="2472"/>
      <c r="I39" s="1305"/>
      <c r="J39" s="1306"/>
      <c r="K39" s="2470"/>
      <c r="L39" s="2472"/>
      <c r="M39" s="2472"/>
    </row>
    <row r="40" spans="1:18" ht="18" customHeight="1">
      <c r="A40" s="291" t="s">
        <v>395</v>
      </c>
      <c r="B40" s="292" t="s">
        <v>774</v>
      </c>
      <c r="C40" s="293">
        <f ca="1">ROUND(C39*(1-((1+F42)/(1+F40))^F41)/(F40-F42),0)</f>
        <v>921813</v>
      </c>
      <c r="D40" s="316" t="s">
        <v>758</v>
      </c>
      <c r="E40" s="294" t="s">
        <v>759</v>
      </c>
      <c r="F40" s="304">
        <f ca="1">INDIRECT("'数据-取费表'!I"&amp;$G$1)</f>
        <v>5.5E-2</v>
      </c>
      <c r="G40" s="1292"/>
      <c r="H40" s="1366">
        <f ca="1">C39/C5</f>
        <v>0.87154050509466319</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28.87</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16493</v>
      </c>
      <c r="D43" s="328" t="s">
        <v>777</v>
      </c>
      <c r="E43" s="329" t="s">
        <v>778</v>
      </c>
      <c r="F43" s="330">
        <f ca="1">INDIRECT("'数据-取费表'!k"&amp;$G$1)</f>
        <v>55.89</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3350</v>
      </c>
      <c r="B45" s="1307"/>
      <c r="C45" s="1376">
        <f ca="1">ROUND((C68-C40)/10000,4)</f>
        <v>-96.594800000000006</v>
      </c>
      <c r="D45" s="3129" t="s">
        <v>3351</v>
      </c>
      <c r="E45" s="1307"/>
      <c r="F45" s="1307"/>
      <c r="O45" s="1310" t="s">
        <v>808</v>
      </c>
      <c r="P45" s="1366"/>
      <c r="Q45" s="1366"/>
      <c r="R45" s="1366"/>
    </row>
    <row r="46" spans="1:18" s="1292" customFormat="1" ht="14" thickBot="1">
      <c r="A46" s="1311" t="s">
        <v>809</v>
      </c>
      <c r="C46" s="1312">
        <f ca="1">ROUND(C45,0)</f>
        <v>-97</v>
      </c>
      <c r="D46" s="1313" t="str">
        <f>C2</f>
        <v>万元</v>
      </c>
      <c r="I46" s="1314" t="s">
        <v>810</v>
      </c>
      <c r="J46" s="1315"/>
      <c r="K46" s="1316"/>
      <c r="L46" s="1317">
        <f ca="1">IF(M47="住宅",0,IF(L48&gt;J51,L60,J60))</f>
        <v>14269</v>
      </c>
      <c r="O46" s="1318" t="s">
        <v>811</v>
      </c>
      <c r="P46" s="1319" t="s">
        <v>812</v>
      </c>
      <c r="Q46" s="1320" t="s">
        <v>813</v>
      </c>
      <c r="R46" s="1320" t="s">
        <v>814</v>
      </c>
    </row>
    <row r="47" spans="1:18" s="1292" customFormat="1" ht="13.5" thickBot="1">
      <c r="A47" s="892" t="s">
        <v>687</v>
      </c>
      <c r="B47" s="924" t="s">
        <v>688</v>
      </c>
      <c r="C47" s="924" t="s">
        <v>689</v>
      </c>
      <c r="D47" s="924" t="s">
        <v>690</v>
      </c>
      <c r="E47" s="995" t="s">
        <v>691</v>
      </c>
      <c r="F47" s="996"/>
      <c r="G47" s="681"/>
      <c r="I47" s="1321" t="s">
        <v>815</v>
      </c>
      <c r="J47" s="1322" t="s">
        <v>3432</v>
      </c>
      <c r="K47" s="1323" t="s">
        <v>816</v>
      </c>
      <c r="L47" s="1324">
        <f ca="1">INDIRECT("'数据-取费表'!d"&amp;$G$1)</f>
        <v>50</v>
      </c>
      <c r="M47" s="1288" t="str">
        <f>IF(ISNUMBER(FIND("住宅",C1)),"住宅","非住宅")</f>
        <v>非住宅</v>
      </c>
      <c r="O47" s="1325" t="s">
        <v>403</v>
      </c>
      <c r="P47" s="1326" t="s">
        <v>817</v>
      </c>
      <c r="Q47" s="1327">
        <f ca="1">C40+J29</f>
        <v>921813</v>
      </c>
      <c r="R47" s="1327" t="s">
        <v>818</v>
      </c>
    </row>
    <row r="48" spans="1:18" s="1292" customFormat="1" ht="43.5" thickBot="1">
      <c r="A48" s="1047" t="s">
        <v>438</v>
      </c>
      <c r="B48" s="292" t="s">
        <v>692</v>
      </c>
      <c r="C48" s="1268">
        <f ca="1">C49+C53+C55</f>
        <v>0</v>
      </c>
      <c r="D48" s="1049"/>
      <c r="E48" s="1050"/>
      <c r="F48" s="908"/>
      <c r="G48" s="681"/>
      <c r="H48" s="682"/>
      <c r="I48" s="1328" t="s">
        <v>819</v>
      </c>
      <c r="J48" s="1329" t="s">
        <v>3433</v>
      </c>
      <c r="K48" s="1330" t="s">
        <v>820</v>
      </c>
      <c r="L48" s="1331">
        <f ca="1">INDIRECT("'数据-取费表'!f"&amp;$G$1)</f>
        <v>28.87</v>
      </c>
      <c r="O48" s="1325" t="s">
        <v>404</v>
      </c>
      <c r="P48" s="1326" t="s">
        <v>821</v>
      </c>
      <c r="Q48" s="1327">
        <f ca="1">J60</f>
        <v>14269</v>
      </c>
      <c r="R48" s="1327" t="s">
        <v>822</v>
      </c>
    </row>
    <row r="49" spans="1:18" s="1292" customFormat="1" ht="13.5" thickBot="1">
      <c r="A49" s="921" t="s">
        <v>439</v>
      </c>
      <c r="B49" s="1279" t="s">
        <v>779</v>
      </c>
      <c r="C49" s="1051">
        <f ca="1">ROUND(F49*F51*F50*(1-F52),0)</f>
        <v>0</v>
      </c>
      <c r="D49" s="992" t="s">
        <v>695</v>
      </c>
      <c r="E49" s="1280" t="s">
        <v>780</v>
      </c>
      <c r="F49" s="997"/>
      <c r="H49" s="682"/>
      <c r="I49" s="1328" t="s">
        <v>823</v>
      </c>
      <c r="J49" s="1332">
        <f>'数据-取费表'!N18</f>
        <v>2008</v>
      </c>
      <c r="K49" s="1330" t="s">
        <v>824</v>
      </c>
      <c r="L49" s="1333"/>
      <c r="O49" s="1334" t="s">
        <v>405</v>
      </c>
      <c r="P49" s="1326" t="s">
        <v>825</v>
      </c>
      <c r="Q49" s="1327">
        <f ca="1">C29</f>
        <v>287801</v>
      </c>
      <c r="R49" s="1327" t="s">
        <v>818</v>
      </c>
    </row>
    <row r="50" spans="1:18" s="1292" customFormat="1" ht="13.5" thickBot="1">
      <c r="A50" s="922"/>
      <c r="B50" s="925"/>
      <c r="C50" s="926"/>
      <c r="D50" s="899"/>
      <c r="E50" s="993" t="s">
        <v>697</v>
      </c>
      <c r="F50" s="994">
        <f ca="1">F7</f>
        <v>1</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5" thickBot="1">
      <c r="A51" s="923"/>
      <c r="B51" s="925"/>
      <c r="C51" s="926"/>
      <c r="D51" s="899"/>
      <c r="E51" s="927" t="s">
        <v>698</v>
      </c>
      <c r="F51" s="295">
        <f ca="1">F8</f>
        <v>12</v>
      </c>
      <c r="I51" s="1338" t="s">
        <v>829</v>
      </c>
      <c r="J51" s="1331">
        <f>IF(J49="",J50,J49+J50-YEAR('数据-取费表'!B2))</f>
        <v>43</v>
      </c>
      <c r="K51" s="1339" t="s">
        <v>830</v>
      </c>
      <c r="L51" s="1340">
        <f ca="1">ROUND(-PV(INDIRECT("'数据-取费表'!h"&amp;$G$1),J51,(C39-C13*C76),0),0)</f>
        <v>654968</v>
      </c>
      <c r="M51" s="1341"/>
      <c r="O51" s="1334" t="s">
        <v>407</v>
      </c>
      <c r="P51" s="1326" t="s">
        <v>831</v>
      </c>
      <c r="Q51" s="1337">
        <f>J52</f>
        <v>7.4999999999999997E-2</v>
      </c>
      <c r="R51" s="1327"/>
    </row>
    <row r="52" spans="1:18" s="1292" customFormat="1" ht="13.5" thickBot="1">
      <c r="A52" s="923"/>
      <c r="B52" s="925"/>
      <c r="C52" s="926"/>
      <c r="D52" s="899"/>
      <c r="E52" s="927" t="s">
        <v>699</v>
      </c>
      <c r="F52" s="991"/>
      <c r="I52" s="1342" t="s">
        <v>832</v>
      </c>
      <c r="J52" s="1343">
        <v>7.4999999999999997E-2</v>
      </c>
      <c r="K52" s="1342" t="s">
        <v>833</v>
      </c>
      <c r="L52" s="1343"/>
      <c r="O52" s="1334" t="s">
        <v>408</v>
      </c>
      <c r="P52" s="1326" t="s">
        <v>834</v>
      </c>
      <c r="Q52" s="1327">
        <f ca="1">J53</f>
        <v>28.87</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28.87</v>
      </c>
      <c r="K53" s="3366" t="s">
        <v>837</v>
      </c>
      <c r="L53" s="3367"/>
      <c r="O53" s="1325" t="s">
        <v>409</v>
      </c>
      <c r="P53" s="1326" t="s">
        <v>838</v>
      </c>
      <c r="Q53" s="1327">
        <f ca="1">Q47+Q48</f>
        <v>936082</v>
      </c>
      <c r="R53" s="1327" t="s">
        <v>410</v>
      </c>
    </row>
    <row r="54" spans="1:18" s="1292" customFormat="1" ht="13.5"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5" thickBot="1">
      <c r="A55" s="1020" t="s">
        <v>437</v>
      </c>
      <c r="B55" s="1277" t="s">
        <v>703</v>
      </c>
      <c r="C55" s="1021"/>
      <c r="D55" s="150"/>
      <c r="E55" s="1282"/>
      <c r="F55" s="1345"/>
      <c r="I55" s="1348" t="s">
        <v>840</v>
      </c>
      <c r="J55" s="1349">
        <f ca="1">ROUND(IF(J47="钢混",J57/J50,1-(1-2%)*(J50-J57)/J50),3)</f>
        <v>0.23599999999999999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207217</v>
      </c>
      <c r="D56" s="1352"/>
      <c r="E56" s="1353"/>
      <c r="F56" s="1345"/>
      <c r="I56" s="1354" t="s">
        <v>842</v>
      </c>
      <c r="J56" s="1355" t="s">
        <v>3434</v>
      </c>
      <c r="K56" s="1328" t="s">
        <v>843</v>
      </c>
      <c r="L56" s="1331" t="str">
        <f ca="1">IF(L48&lt;J51,"——",L48-J51)</f>
        <v>——</v>
      </c>
      <c r="O56" s="1325" t="s">
        <v>403</v>
      </c>
      <c r="P56" s="1326" t="s">
        <v>817</v>
      </c>
      <c r="Q56" s="1327">
        <f ca="1">C40+J29</f>
        <v>921813</v>
      </c>
      <c r="R56" s="1327" t="s">
        <v>818</v>
      </c>
    </row>
    <row r="57" spans="1:18" s="1292" customFormat="1" ht="26.5" thickBot="1">
      <c r="A57" s="1356"/>
      <c r="B57" s="896" t="s">
        <v>767</v>
      </c>
      <c r="C57" s="230">
        <f ca="1">C29</f>
        <v>287801</v>
      </c>
      <c r="D57" s="1357"/>
      <c r="E57" s="1358"/>
      <c r="F57" s="1359"/>
      <c r="I57" s="1360" t="s">
        <v>844</v>
      </c>
      <c r="J57" s="1361">
        <f ca="1">IF(OR(M47="住宅",J51&lt;L48,J56="是"),"——",J51-L48)</f>
        <v>14.129999999999999</v>
      </c>
      <c r="K57" s="1328" t="s">
        <v>892</v>
      </c>
      <c r="L57" s="1331" t="str">
        <f ca="1">IF(L48&lt;J51,"——",IF(L55="比较法",L49,IF(L55="基准地价",L50,L51)))</f>
        <v>——</v>
      </c>
      <c r="O57" s="1325" t="s">
        <v>404</v>
      </c>
      <c r="P57" s="1326" t="s">
        <v>893</v>
      </c>
      <c r="Q57" s="1327">
        <f ca="1">L60</f>
        <v>0</v>
      </c>
      <c r="R57" s="1327" t="s">
        <v>894</v>
      </c>
    </row>
    <row r="58" spans="1:18" s="1292" customFormat="1" ht="26.5" thickBot="1">
      <c r="A58" s="307" t="s">
        <v>393</v>
      </c>
      <c r="B58" s="904" t="s">
        <v>714</v>
      </c>
      <c r="C58" s="308">
        <f ca="1">ROUND(C59+C64+C65+C66,0)</f>
        <v>3085</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6.5" thickBot="1">
      <c r="A59" s="928" t="s">
        <v>398</v>
      </c>
      <c r="B59" s="896" t="s">
        <v>719</v>
      </c>
      <c r="C59" s="2140">
        <f ca="1">ROUND(IF(AND(项目基本情况!B11="自然人",项目基本情况!B10="北京市"),C49*F59/(1+'数据-取费表'!C42),C60+C61+C62),0)</f>
        <v>0</v>
      </c>
      <c r="D59" s="909" t="s">
        <v>720</v>
      </c>
      <c r="E59" s="910" t="s">
        <v>721</v>
      </c>
      <c r="F59" s="2139">
        <f ca="1">IF(项目基本情况!B11="企业","——",IF('数据-取费表'!B10="住宅",IF(F49*F50*F51/12/(1+'数据-取费表'!F30)&gt;100000,4%,2.5%),IF(F49*F50*F51/12/(1+'数据-取费表'!F30)&gt;100000,12%,7%)))</f>
        <v>7.0000000000000007E-2</v>
      </c>
      <c r="I59" s="1360" t="s">
        <v>851</v>
      </c>
      <c r="J59" s="1361">
        <f ca="1">IF(OR(M47="住宅",J51&lt;L48,J56="是"),"——",ROUND(C29*J58,0))</f>
        <v>115120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 thickBot="1">
      <c r="A60" s="928" t="s">
        <v>397</v>
      </c>
      <c r="B60" s="896" t="s">
        <v>723</v>
      </c>
      <c r="C60" s="21" t="str">
        <f>IF(项目基本情况!B11="自然人","——",ROUND(C48*F60/(1+'数据-取费表'!C42),0))</f>
        <v>——</v>
      </c>
      <c r="D60" s="910" t="s">
        <v>724</v>
      </c>
      <c r="E60" s="896" t="s">
        <v>712</v>
      </c>
      <c r="F60" s="322">
        <f t="shared" ref="F60:F66" si="0">F32</f>
        <v>5.6000000000000001E-2</v>
      </c>
      <c r="I60" s="1363" t="s">
        <v>853</v>
      </c>
      <c r="J60" s="1364">
        <f ca="1">IF(OR(M47="住宅",J51&lt;L48,J56="是"),"0",ROUND(J59/(1+J52)^J53,0))</f>
        <v>14269</v>
      </c>
      <c r="K60" s="1365" t="s">
        <v>854</v>
      </c>
      <c r="L60" s="1364">
        <f ca="1">IF(OR(M47="住宅",L48&lt;J51),0,ROUND(L57*(L58/L59-1),0))</f>
        <v>0</v>
      </c>
      <c r="O60" s="1334" t="s">
        <v>407</v>
      </c>
      <c r="P60" s="1326" t="s">
        <v>855</v>
      </c>
      <c r="Q60" s="1327" t="e">
        <f ca="1">L58</f>
        <v>#DIV/0!</v>
      </c>
      <c r="R60" s="1327" t="s">
        <v>856</v>
      </c>
    </row>
    <row r="61" spans="1:18" s="1292" customFormat="1" ht="13.5" thickBot="1">
      <c r="A61" s="928" t="s">
        <v>781</v>
      </c>
      <c r="B61" s="896" t="s">
        <v>782</v>
      </c>
      <c r="C61" s="21" t="str">
        <f ca="1">IF(项目基本情况!B11="自然人","——",IF(D61="按租金收入计税",ROUND(C49*F61/(1+'数据-取费表'!C42),0),IF(D61="按房产原值计税",ROUND(C57*F61*0.7,0),INDIRECT("'数据-取费表'!Aj"&amp;$G$1))))</f>
        <v>——</v>
      </c>
      <c r="D61" s="1278" t="s">
        <v>3334</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5" thickBot="1">
      <c r="A62" s="928" t="s">
        <v>784</v>
      </c>
      <c r="B62" s="895" t="s">
        <v>785</v>
      </c>
      <c r="C62" s="22" t="str">
        <f>IF(项目基本情况!B11="自然人","——",ROUND(F62*F63,0))</f>
        <v>——</v>
      </c>
      <c r="D62" s="911" t="s">
        <v>786</v>
      </c>
      <c r="E62" s="896" t="s">
        <v>787</v>
      </c>
      <c r="F62" s="317">
        <f t="shared" si="0"/>
        <v>12</v>
      </c>
      <c r="I62" s="1367" t="s">
        <v>858</v>
      </c>
      <c r="J62" s="610" t="s">
        <v>859</v>
      </c>
      <c r="K62" s="610" t="s">
        <v>860</v>
      </c>
      <c r="L62" s="610" t="s">
        <v>861</v>
      </c>
      <c r="M62" s="1368" t="s">
        <v>862</v>
      </c>
      <c r="O62" s="1325" t="s">
        <v>409</v>
      </c>
      <c r="P62" s="1326" t="s">
        <v>863</v>
      </c>
      <c r="Q62" s="1327">
        <f ca="1">Q56+Q57</f>
        <v>921813</v>
      </c>
      <c r="R62" s="1327" t="s">
        <v>410</v>
      </c>
    </row>
    <row r="63" spans="1:18" s="1292" customFormat="1" ht="13.5"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5" thickBot="1">
      <c r="A64" s="928" t="s">
        <v>789</v>
      </c>
      <c r="B64" s="896" t="s">
        <v>790</v>
      </c>
      <c r="C64" s="21">
        <f ca="1">ROUND(C57*F64,0)</f>
        <v>2878</v>
      </c>
      <c r="D64" s="910" t="s">
        <v>791</v>
      </c>
      <c r="E64" s="896" t="s">
        <v>783</v>
      </c>
      <c r="F64" s="320">
        <f t="shared" ca="1" si="0"/>
        <v>0.01</v>
      </c>
      <c r="I64" s="1367" t="s">
        <v>866</v>
      </c>
      <c r="J64" s="610">
        <v>50</v>
      </c>
      <c r="K64" s="610">
        <v>35</v>
      </c>
      <c r="L64" s="610">
        <v>60</v>
      </c>
      <c r="M64" s="1368">
        <v>0</v>
      </c>
      <c r="O64" s="1318" t="s">
        <v>811</v>
      </c>
      <c r="P64" s="1319" t="s">
        <v>812</v>
      </c>
      <c r="Q64" s="1320" t="s">
        <v>813</v>
      </c>
      <c r="R64" s="1320" t="s">
        <v>814</v>
      </c>
    </row>
    <row r="65" spans="1:18" s="1292" customFormat="1" ht="13.5" thickBot="1">
      <c r="A65" s="928" t="s">
        <v>792</v>
      </c>
      <c r="B65" s="896" t="s">
        <v>742</v>
      </c>
      <c r="C65" s="21">
        <f ca="1">ROUND(C56*F65,0)</f>
        <v>207</v>
      </c>
      <c r="D65" s="910" t="s">
        <v>743</v>
      </c>
      <c r="E65" s="896" t="s">
        <v>744</v>
      </c>
      <c r="F65" s="321">
        <f t="shared" ca="1" si="0"/>
        <v>1E-3</v>
      </c>
      <c r="I65" s="1367" t="s">
        <v>867</v>
      </c>
      <c r="J65" s="610">
        <v>40</v>
      </c>
      <c r="K65" s="610">
        <v>30</v>
      </c>
      <c r="L65" s="610">
        <v>50</v>
      </c>
      <c r="M65" s="1369">
        <v>0.02</v>
      </c>
      <c r="O65" s="1325" t="s">
        <v>403</v>
      </c>
      <c r="P65" s="1326" t="s">
        <v>868</v>
      </c>
      <c r="Q65" s="1327">
        <f ca="1">C40+J29</f>
        <v>921813</v>
      </c>
      <c r="R65" s="1327" t="s">
        <v>818</v>
      </c>
    </row>
    <row r="66" spans="1:18" s="1292" customFormat="1" ht="16"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6.5" thickBot="1">
      <c r="A67" s="903" t="s">
        <v>394</v>
      </c>
      <c r="B67" s="913" t="s">
        <v>752</v>
      </c>
      <c r="C67" s="308">
        <f ca="1">C48-C58</f>
        <v>-3085</v>
      </c>
      <c r="D67" s="909" t="s">
        <v>753</v>
      </c>
      <c r="E67" s="914"/>
      <c r="F67" s="915"/>
      <c r="O67" s="1334" t="s">
        <v>405</v>
      </c>
      <c r="P67" s="1326" t="s">
        <v>850</v>
      </c>
      <c r="Q67" s="1370">
        <f ca="1">L51</f>
        <v>654968</v>
      </c>
      <c r="R67" s="1327" t="s">
        <v>870</v>
      </c>
    </row>
    <row r="68" spans="1:18" s="1292" customFormat="1" ht="16" thickBot="1">
      <c r="A68" s="893" t="s">
        <v>395</v>
      </c>
      <c r="B68" s="894" t="s">
        <v>774</v>
      </c>
      <c r="C68" s="293">
        <f ca="1">ROUND(C67*(1-((1+F70)/(1+F68))^F69)/(F68-F70),0)</f>
        <v>-44135</v>
      </c>
      <c r="D68" s="911" t="s">
        <v>758</v>
      </c>
      <c r="E68" s="896" t="s">
        <v>759</v>
      </c>
      <c r="F68" s="304">
        <f ca="1">F40</f>
        <v>5.5E-2</v>
      </c>
      <c r="O68" s="1334" t="s">
        <v>406</v>
      </c>
      <c r="P68" s="1371" t="s">
        <v>871</v>
      </c>
      <c r="Q68" s="1327">
        <f ca="1">ROUND(Q69-Q70*Q71,0)</f>
        <v>37329</v>
      </c>
      <c r="R68" s="1327" t="s">
        <v>414</v>
      </c>
    </row>
    <row r="69" spans="1:18" s="1292" customFormat="1" ht="13.5" thickBot="1">
      <c r="A69" s="897"/>
      <c r="B69" s="898"/>
      <c r="C69" s="298"/>
      <c r="D69" s="916" t="s">
        <v>762</v>
      </c>
      <c r="E69" s="896" t="s">
        <v>763</v>
      </c>
      <c r="F69" s="324">
        <f ca="1">F41</f>
        <v>28.87</v>
      </c>
      <c r="O69" s="1334" t="s">
        <v>411</v>
      </c>
      <c r="P69" s="1371" t="s">
        <v>872</v>
      </c>
      <c r="Q69" s="1327">
        <f ca="1">C39</f>
        <v>51834</v>
      </c>
      <c r="R69" s="1327" t="s">
        <v>818</v>
      </c>
    </row>
    <row r="70" spans="1:18" s="1292" customFormat="1" ht="13.5" thickBot="1">
      <c r="A70" s="900"/>
      <c r="B70" s="901"/>
      <c r="C70" s="302"/>
      <c r="D70" s="912"/>
      <c r="E70" s="896" t="s">
        <v>766</v>
      </c>
      <c r="F70" s="991"/>
      <c r="O70" s="1334" t="s">
        <v>412</v>
      </c>
      <c r="P70" s="1371" t="s">
        <v>873</v>
      </c>
      <c r="Q70" s="1327">
        <f ca="1">C13</f>
        <v>207217</v>
      </c>
      <c r="R70" s="1327" t="s">
        <v>818</v>
      </c>
    </row>
    <row r="71" spans="1:18" s="1292" customFormat="1" ht="13.5" thickBot="1">
      <c r="A71" s="917" t="s">
        <v>396</v>
      </c>
      <c r="B71" s="918" t="s">
        <v>776</v>
      </c>
      <c r="C71" s="327">
        <f ca="1">ROUND(C68/F71,0)</f>
        <v>-790</v>
      </c>
      <c r="D71" s="919" t="s">
        <v>777</v>
      </c>
      <c r="E71" s="920" t="s">
        <v>778</v>
      </c>
      <c r="F71" s="330">
        <f ca="1">F43</f>
        <v>55.89</v>
      </c>
      <c r="O71" s="1334" t="s">
        <v>413</v>
      </c>
      <c r="P71" s="1371" t="s">
        <v>874</v>
      </c>
      <c r="Q71" s="1337">
        <f ca="1">C76</f>
        <v>7.0000000000000007E-2</v>
      </c>
      <c r="R71" s="1327"/>
    </row>
    <row r="72" spans="1:18" s="1292" customFormat="1" ht="13.5" thickBot="1">
      <c r="B72" s="685"/>
      <c r="C72" s="685"/>
      <c r="O72" s="1334" t="s">
        <v>407</v>
      </c>
      <c r="P72" s="1326" t="s">
        <v>852</v>
      </c>
      <c r="Q72" s="1337">
        <f>L52</f>
        <v>0</v>
      </c>
      <c r="R72" s="1327"/>
    </row>
    <row r="73" spans="1:18" ht="16" thickBot="1">
      <c r="A73" s="1292"/>
      <c r="B73" s="685"/>
      <c r="C73" s="685"/>
      <c r="D73" s="1292"/>
      <c r="E73" s="1292"/>
      <c r="F73" s="1292"/>
      <c r="O73" s="1334" t="s">
        <v>408</v>
      </c>
      <c r="P73" s="1326" t="s">
        <v>855</v>
      </c>
      <c r="Q73" s="1327" t="e">
        <f ca="1">L58</f>
        <v>#DIV/0!</v>
      </c>
      <c r="R73" s="1327" t="s">
        <v>856</v>
      </c>
    </row>
    <row r="74" spans="1:18" ht="13.5"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5" thickBot="1">
      <c r="A75" s="1292"/>
      <c r="B75" s="331" t="s">
        <v>795</v>
      </c>
      <c r="C75" s="332">
        <f ca="1">ROUND(C13*C76,0)</f>
        <v>14505</v>
      </c>
      <c r="D75" s="1292"/>
      <c r="E75" s="1292"/>
      <c r="F75" s="1292"/>
      <c r="K75" s="1309"/>
      <c r="L75" s="1292"/>
      <c r="O75" s="1325" t="s">
        <v>409</v>
      </c>
      <c r="P75" s="1326" t="s">
        <v>838</v>
      </c>
      <c r="Q75" s="1327">
        <f ca="1">Q65+Q66</f>
        <v>921813</v>
      </c>
      <c r="R75" s="1327" t="s">
        <v>410</v>
      </c>
    </row>
    <row r="76" spans="1:18" ht="13">
      <c r="B76" s="333" t="s">
        <v>796</v>
      </c>
      <c r="C76" s="334">
        <f ca="1">INDIRECT("'数据-取费表'!j"&amp;$G$1)</f>
        <v>7.0000000000000007E-2</v>
      </c>
      <c r="I76" s="1292"/>
      <c r="J76" s="1292"/>
      <c r="K76" s="1309"/>
      <c r="L76" s="1292"/>
    </row>
    <row r="77" spans="1:18" ht="13.5">
      <c r="B77" s="335" t="s">
        <v>797</v>
      </c>
      <c r="C77" s="336"/>
      <c r="I77" s="1292"/>
      <c r="J77" s="1292"/>
      <c r="K77" s="1309"/>
      <c r="L77" s="1292"/>
    </row>
    <row r="78" spans="1:18" ht="13.5">
      <c r="B78" s="262" t="s">
        <v>798</v>
      </c>
      <c r="C78" s="337"/>
    </row>
    <row r="79" spans="1:18" ht="13">
      <c r="B79" s="331" t="s">
        <v>799</v>
      </c>
      <c r="C79" s="266">
        <f ca="1">1-C80</f>
        <v>0.72</v>
      </c>
    </row>
    <row r="80" spans="1:18" ht="13">
      <c r="B80" s="331" t="s">
        <v>800</v>
      </c>
      <c r="C80" s="266">
        <f ca="1">ROUND(C75/C39,3)</f>
        <v>0.28000000000000003</v>
      </c>
    </row>
    <row r="81" spans="2:3" ht="13.5">
      <c r="B81" s="262" t="s">
        <v>801</v>
      </c>
      <c r="C81" s="230"/>
    </row>
    <row r="82" spans="2:3" ht="13">
      <c r="B82" s="265" t="s">
        <v>802</v>
      </c>
      <c r="C82" s="267">
        <f ca="1">1-C83</f>
        <v>0.77500000000000002</v>
      </c>
    </row>
    <row r="83" spans="2:3" ht="13">
      <c r="B83" s="265" t="s">
        <v>803</v>
      </c>
      <c r="C83" s="266">
        <f ca="1">ROUND(C13/C40,3)</f>
        <v>0.22500000000000001</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F39" sqref="F39:F48"/>
    </sheetView>
  </sheetViews>
  <sheetFormatPr defaultRowHeight="13.15" customHeight="1"/>
  <cols>
    <col min="1" max="1" width="9.453125" style="2592" customWidth="1"/>
    <col min="2" max="2" width="8.90625" style="2592"/>
    <col min="3" max="5" width="12.90625" style="2592" customWidth="1"/>
    <col min="6" max="6" width="47.453125" style="2592" customWidth="1"/>
    <col min="7" max="7" width="13" style="2586" customWidth="1"/>
    <col min="8" max="8" width="8.90625" style="2586"/>
    <col min="9" max="9" width="8.90625" style="2587"/>
    <col min="10" max="10" width="5.7265625" style="2746" customWidth="1"/>
    <col min="11" max="11" width="11.7265625" style="2746" customWidth="1"/>
    <col min="12" max="13" width="10.7265625" style="2746" customWidth="1"/>
    <col min="14" max="14" width="10" style="2746" customWidth="1"/>
    <col min="15" max="16" width="10.453125" style="2746" bestFit="1" customWidth="1"/>
    <col min="17" max="17" width="10" style="2746" customWidth="1"/>
    <col min="18" max="18" width="10.08984375" style="2746" customWidth="1"/>
    <col min="19" max="19" width="10" style="2746" customWidth="1"/>
    <col min="20" max="20" width="26.08984375" style="2746" customWidth="1"/>
    <col min="21" max="21" width="8.90625" style="2746"/>
    <col min="22" max="22" width="8.90625" style="2587"/>
    <col min="23" max="256" width="8.90625" style="2592"/>
    <col min="257" max="257" width="9.453125" style="2592" customWidth="1"/>
    <col min="258" max="258" width="8.90625" style="2592"/>
    <col min="259" max="261" width="12.90625" style="2592" customWidth="1"/>
    <col min="262" max="262" width="47.453125" style="2592" customWidth="1"/>
    <col min="263" max="263" width="13" style="2592" customWidth="1"/>
    <col min="264" max="265" width="8.90625" style="2592"/>
    <col min="266" max="266" width="5.7265625" style="2592" customWidth="1"/>
    <col min="267" max="267" width="11.7265625" style="2592" customWidth="1"/>
    <col min="268" max="269" width="10.7265625" style="2592" customWidth="1"/>
    <col min="270" max="270" width="10" style="2592" customWidth="1"/>
    <col min="271" max="272" width="10.453125" style="2592" bestFit="1" customWidth="1"/>
    <col min="273" max="273" width="10" style="2592" customWidth="1"/>
    <col min="274" max="274" width="10.08984375" style="2592" customWidth="1"/>
    <col min="275" max="275" width="10" style="2592" customWidth="1"/>
    <col min="276" max="276" width="26.08984375" style="2592" customWidth="1"/>
    <col min="277" max="512" width="8.90625" style="2592"/>
    <col min="513" max="513" width="9.453125" style="2592" customWidth="1"/>
    <col min="514" max="514" width="8.90625" style="2592"/>
    <col min="515" max="517" width="12.90625" style="2592" customWidth="1"/>
    <col min="518" max="518" width="47.453125" style="2592" customWidth="1"/>
    <col min="519" max="519" width="13" style="2592" customWidth="1"/>
    <col min="520" max="521" width="8.90625" style="2592"/>
    <col min="522" max="522" width="5.7265625" style="2592" customWidth="1"/>
    <col min="523" max="523" width="11.7265625" style="2592" customWidth="1"/>
    <col min="524" max="525" width="10.7265625" style="2592" customWidth="1"/>
    <col min="526" max="526" width="10" style="2592" customWidth="1"/>
    <col min="527" max="528" width="10.453125" style="2592" bestFit="1" customWidth="1"/>
    <col min="529" max="529" width="10" style="2592" customWidth="1"/>
    <col min="530" max="530" width="10.08984375" style="2592" customWidth="1"/>
    <col min="531" max="531" width="10" style="2592" customWidth="1"/>
    <col min="532" max="532" width="26.08984375" style="2592" customWidth="1"/>
    <col min="533" max="768" width="8.90625" style="2592"/>
    <col min="769" max="769" width="9.453125" style="2592" customWidth="1"/>
    <col min="770" max="770" width="8.90625" style="2592"/>
    <col min="771" max="773" width="12.90625" style="2592" customWidth="1"/>
    <col min="774" max="774" width="47.453125" style="2592" customWidth="1"/>
    <col min="775" max="775" width="13" style="2592" customWidth="1"/>
    <col min="776" max="777" width="8.90625" style="2592"/>
    <col min="778" max="778" width="5.7265625" style="2592" customWidth="1"/>
    <col min="779" max="779" width="11.7265625" style="2592" customWidth="1"/>
    <col min="780" max="781" width="10.7265625" style="2592" customWidth="1"/>
    <col min="782" max="782" width="10" style="2592" customWidth="1"/>
    <col min="783" max="784" width="10.453125" style="2592" bestFit="1" customWidth="1"/>
    <col min="785" max="785" width="10" style="2592" customWidth="1"/>
    <col min="786" max="786" width="10.08984375" style="2592" customWidth="1"/>
    <col min="787" max="787" width="10" style="2592" customWidth="1"/>
    <col min="788" max="788" width="26.08984375" style="2592" customWidth="1"/>
    <col min="789" max="1024" width="8.90625" style="2592"/>
    <col min="1025" max="1025" width="9.453125" style="2592" customWidth="1"/>
    <col min="1026" max="1026" width="8.90625" style="2592"/>
    <col min="1027" max="1029" width="12.90625" style="2592" customWidth="1"/>
    <col min="1030" max="1030" width="47.453125" style="2592" customWidth="1"/>
    <col min="1031" max="1031" width="13" style="2592" customWidth="1"/>
    <col min="1032" max="1033" width="8.90625" style="2592"/>
    <col min="1034" max="1034" width="5.7265625" style="2592" customWidth="1"/>
    <col min="1035" max="1035" width="11.7265625" style="2592" customWidth="1"/>
    <col min="1036" max="1037" width="10.7265625" style="2592" customWidth="1"/>
    <col min="1038" max="1038" width="10" style="2592" customWidth="1"/>
    <col min="1039" max="1040" width="10.453125" style="2592" bestFit="1" customWidth="1"/>
    <col min="1041" max="1041" width="10" style="2592" customWidth="1"/>
    <col min="1042" max="1042" width="10.08984375" style="2592" customWidth="1"/>
    <col min="1043" max="1043" width="10" style="2592" customWidth="1"/>
    <col min="1044" max="1044" width="26.08984375" style="2592" customWidth="1"/>
    <col min="1045" max="1280" width="8.90625" style="2592"/>
    <col min="1281" max="1281" width="9.453125" style="2592" customWidth="1"/>
    <col min="1282" max="1282" width="8.90625" style="2592"/>
    <col min="1283" max="1285" width="12.90625" style="2592" customWidth="1"/>
    <col min="1286" max="1286" width="47.453125" style="2592" customWidth="1"/>
    <col min="1287" max="1287" width="13" style="2592" customWidth="1"/>
    <col min="1288" max="1289" width="8.90625" style="2592"/>
    <col min="1290" max="1290" width="5.7265625" style="2592" customWidth="1"/>
    <col min="1291" max="1291" width="11.7265625" style="2592" customWidth="1"/>
    <col min="1292" max="1293" width="10.7265625" style="2592" customWidth="1"/>
    <col min="1294" max="1294" width="10" style="2592" customWidth="1"/>
    <col min="1295" max="1296" width="10.453125" style="2592" bestFit="1" customWidth="1"/>
    <col min="1297" max="1297" width="10" style="2592" customWidth="1"/>
    <col min="1298" max="1298" width="10.08984375" style="2592" customWidth="1"/>
    <col min="1299" max="1299" width="10" style="2592" customWidth="1"/>
    <col min="1300" max="1300" width="26.08984375" style="2592" customWidth="1"/>
    <col min="1301" max="1536" width="8.90625" style="2592"/>
    <col min="1537" max="1537" width="9.453125" style="2592" customWidth="1"/>
    <col min="1538" max="1538" width="8.90625" style="2592"/>
    <col min="1539" max="1541" width="12.90625" style="2592" customWidth="1"/>
    <col min="1542" max="1542" width="47.453125" style="2592" customWidth="1"/>
    <col min="1543" max="1543" width="13" style="2592" customWidth="1"/>
    <col min="1544" max="1545" width="8.90625" style="2592"/>
    <col min="1546" max="1546" width="5.7265625" style="2592" customWidth="1"/>
    <col min="1547" max="1547" width="11.7265625" style="2592" customWidth="1"/>
    <col min="1548" max="1549" width="10.7265625" style="2592" customWidth="1"/>
    <col min="1550" max="1550" width="10" style="2592" customWidth="1"/>
    <col min="1551" max="1552" width="10.453125" style="2592" bestFit="1" customWidth="1"/>
    <col min="1553" max="1553" width="10" style="2592" customWidth="1"/>
    <col min="1554" max="1554" width="10.08984375" style="2592" customWidth="1"/>
    <col min="1555" max="1555" width="10" style="2592" customWidth="1"/>
    <col min="1556" max="1556" width="26.08984375" style="2592" customWidth="1"/>
    <col min="1557" max="1792" width="8.90625" style="2592"/>
    <col min="1793" max="1793" width="9.453125" style="2592" customWidth="1"/>
    <col min="1794" max="1794" width="8.90625" style="2592"/>
    <col min="1795" max="1797" width="12.90625" style="2592" customWidth="1"/>
    <col min="1798" max="1798" width="47.453125" style="2592" customWidth="1"/>
    <col min="1799" max="1799" width="13" style="2592" customWidth="1"/>
    <col min="1800" max="1801" width="8.90625" style="2592"/>
    <col min="1802" max="1802" width="5.7265625" style="2592" customWidth="1"/>
    <col min="1803" max="1803" width="11.7265625" style="2592" customWidth="1"/>
    <col min="1804" max="1805" width="10.7265625" style="2592" customWidth="1"/>
    <col min="1806" max="1806" width="10" style="2592" customWidth="1"/>
    <col min="1807" max="1808" width="10.453125" style="2592" bestFit="1" customWidth="1"/>
    <col min="1809" max="1809" width="10" style="2592" customWidth="1"/>
    <col min="1810" max="1810" width="10.08984375" style="2592" customWidth="1"/>
    <col min="1811" max="1811" width="10" style="2592" customWidth="1"/>
    <col min="1812" max="1812" width="26.08984375" style="2592" customWidth="1"/>
    <col min="1813" max="2048" width="8.90625" style="2592"/>
    <col min="2049" max="2049" width="9.453125" style="2592" customWidth="1"/>
    <col min="2050" max="2050" width="8.90625" style="2592"/>
    <col min="2051" max="2053" width="12.90625" style="2592" customWidth="1"/>
    <col min="2054" max="2054" width="47.453125" style="2592" customWidth="1"/>
    <col min="2055" max="2055" width="13" style="2592" customWidth="1"/>
    <col min="2056" max="2057" width="8.90625" style="2592"/>
    <col min="2058" max="2058" width="5.7265625" style="2592" customWidth="1"/>
    <col min="2059" max="2059" width="11.7265625" style="2592" customWidth="1"/>
    <col min="2060" max="2061" width="10.7265625" style="2592" customWidth="1"/>
    <col min="2062" max="2062" width="10" style="2592" customWidth="1"/>
    <col min="2063" max="2064" width="10.453125" style="2592" bestFit="1" customWidth="1"/>
    <col min="2065" max="2065" width="10" style="2592" customWidth="1"/>
    <col min="2066" max="2066" width="10.08984375" style="2592" customWidth="1"/>
    <col min="2067" max="2067" width="10" style="2592" customWidth="1"/>
    <col min="2068" max="2068" width="26.08984375" style="2592" customWidth="1"/>
    <col min="2069" max="2304" width="8.90625" style="2592"/>
    <col min="2305" max="2305" width="9.453125" style="2592" customWidth="1"/>
    <col min="2306" max="2306" width="8.90625" style="2592"/>
    <col min="2307" max="2309" width="12.90625" style="2592" customWidth="1"/>
    <col min="2310" max="2310" width="47.453125" style="2592" customWidth="1"/>
    <col min="2311" max="2311" width="13" style="2592" customWidth="1"/>
    <col min="2312" max="2313" width="8.90625" style="2592"/>
    <col min="2314" max="2314" width="5.7265625" style="2592" customWidth="1"/>
    <col min="2315" max="2315" width="11.7265625" style="2592" customWidth="1"/>
    <col min="2316" max="2317" width="10.7265625" style="2592" customWidth="1"/>
    <col min="2318" max="2318" width="10" style="2592" customWidth="1"/>
    <col min="2319" max="2320" width="10.453125" style="2592" bestFit="1" customWidth="1"/>
    <col min="2321" max="2321" width="10" style="2592" customWidth="1"/>
    <col min="2322" max="2322" width="10.08984375" style="2592" customWidth="1"/>
    <col min="2323" max="2323" width="10" style="2592" customWidth="1"/>
    <col min="2324" max="2324" width="26.08984375" style="2592" customWidth="1"/>
    <col min="2325" max="2560" width="8.90625" style="2592"/>
    <col min="2561" max="2561" width="9.453125" style="2592" customWidth="1"/>
    <col min="2562" max="2562" width="8.90625" style="2592"/>
    <col min="2563" max="2565" width="12.90625" style="2592" customWidth="1"/>
    <col min="2566" max="2566" width="47.453125" style="2592" customWidth="1"/>
    <col min="2567" max="2567" width="13" style="2592" customWidth="1"/>
    <col min="2568" max="2569" width="8.90625" style="2592"/>
    <col min="2570" max="2570" width="5.7265625" style="2592" customWidth="1"/>
    <col min="2571" max="2571" width="11.7265625" style="2592" customWidth="1"/>
    <col min="2572" max="2573" width="10.7265625" style="2592" customWidth="1"/>
    <col min="2574" max="2574" width="10" style="2592" customWidth="1"/>
    <col min="2575" max="2576" width="10.453125" style="2592" bestFit="1" customWidth="1"/>
    <col min="2577" max="2577" width="10" style="2592" customWidth="1"/>
    <col min="2578" max="2578" width="10.08984375" style="2592" customWidth="1"/>
    <col min="2579" max="2579" width="10" style="2592" customWidth="1"/>
    <col min="2580" max="2580" width="26.08984375" style="2592" customWidth="1"/>
    <col min="2581" max="2816" width="8.90625" style="2592"/>
    <col min="2817" max="2817" width="9.453125" style="2592" customWidth="1"/>
    <col min="2818" max="2818" width="8.90625" style="2592"/>
    <col min="2819" max="2821" width="12.90625" style="2592" customWidth="1"/>
    <col min="2822" max="2822" width="47.453125" style="2592" customWidth="1"/>
    <col min="2823" max="2823" width="13" style="2592" customWidth="1"/>
    <col min="2824" max="2825" width="8.90625" style="2592"/>
    <col min="2826" max="2826" width="5.7265625" style="2592" customWidth="1"/>
    <col min="2827" max="2827" width="11.7265625" style="2592" customWidth="1"/>
    <col min="2828" max="2829" width="10.7265625" style="2592" customWidth="1"/>
    <col min="2830" max="2830" width="10" style="2592" customWidth="1"/>
    <col min="2831" max="2832" width="10.453125" style="2592" bestFit="1" customWidth="1"/>
    <col min="2833" max="2833" width="10" style="2592" customWidth="1"/>
    <col min="2834" max="2834" width="10.08984375" style="2592" customWidth="1"/>
    <col min="2835" max="2835" width="10" style="2592" customWidth="1"/>
    <col min="2836" max="2836" width="26.08984375" style="2592" customWidth="1"/>
    <col min="2837" max="3072" width="8.90625" style="2592"/>
    <col min="3073" max="3073" width="9.453125" style="2592" customWidth="1"/>
    <col min="3074" max="3074" width="8.90625" style="2592"/>
    <col min="3075" max="3077" width="12.90625" style="2592" customWidth="1"/>
    <col min="3078" max="3078" width="47.453125" style="2592" customWidth="1"/>
    <col min="3079" max="3079" width="13" style="2592" customWidth="1"/>
    <col min="3080" max="3081" width="8.90625" style="2592"/>
    <col min="3082" max="3082" width="5.7265625" style="2592" customWidth="1"/>
    <col min="3083" max="3083" width="11.7265625" style="2592" customWidth="1"/>
    <col min="3084" max="3085" width="10.7265625" style="2592" customWidth="1"/>
    <col min="3086" max="3086" width="10" style="2592" customWidth="1"/>
    <col min="3087" max="3088" width="10.453125" style="2592" bestFit="1" customWidth="1"/>
    <col min="3089" max="3089" width="10" style="2592" customWidth="1"/>
    <col min="3090" max="3090" width="10.08984375" style="2592" customWidth="1"/>
    <col min="3091" max="3091" width="10" style="2592" customWidth="1"/>
    <col min="3092" max="3092" width="26.08984375" style="2592" customWidth="1"/>
    <col min="3093" max="3328" width="8.90625" style="2592"/>
    <col min="3329" max="3329" width="9.453125" style="2592" customWidth="1"/>
    <col min="3330" max="3330" width="8.90625" style="2592"/>
    <col min="3331" max="3333" width="12.90625" style="2592" customWidth="1"/>
    <col min="3334" max="3334" width="47.453125" style="2592" customWidth="1"/>
    <col min="3335" max="3335" width="13" style="2592" customWidth="1"/>
    <col min="3336" max="3337" width="8.90625" style="2592"/>
    <col min="3338" max="3338" width="5.7265625" style="2592" customWidth="1"/>
    <col min="3339" max="3339" width="11.7265625" style="2592" customWidth="1"/>
    <col min="3340" max="3341" width="10.7265625" style="2592" customWidth="1"/>
    <col min="3342" max="3342" width="10" style="2592" customWidth="1"/>
    <col min="3343" max="3344" width="10.453125" style="2592" bestFit="1" customWidth="1"/>
    <col min="3345" max="3345" width="10" style="2592" customWidth="1"/>
    <col min="3346" max="3346" width="10.08984375" style="2592" customWidth="1"/>
    <col min="3347" max="3347" width="10" style="2592" customWidth="1"/>
    <col min="3348" max="3348" width="26.08984375" style="2592" customWidth="1"/>
    <col min="3349" max="3584" width="8.90625" style="2592"/>
    <col min="3585" max="3585" width="9.453125" style="2592" customWidth="1"/>
    <col min="3586" max="3586" width="8.90625" style="2592"/>
    <col min="3587" max="3589" width="12.90625" style="2592" customWidth="1"/>
    <col min="3590" max="3590" width="47.453125" style="2592" customWidth="1"/>
    <col min="3591" max="3591" width="13" style="2592" customWidth="1"/>
    <col min="3592" max="3593" width="8.90625" style="2592"/>
    <col min="3594" max="3594" width="5.7265625" style="2592" customWidth="1"/>
    <col min="3595" max="3595" width="11.7265625" style="2592" customWidth="1"/>
    <col min="3596" max="3597" width="10.7265625" style="2592" customWidth="1"/>
    <col min="3598" max="3598" width="10" style="2592" customWidth="1"/>
    <col min="3599" max="3600" width="10.453125" style="2592" bestFit="1" customWidth="1"/>
    <col min="3601" max="3601" width="10" style="2592" customWidth="1"/>
    <col min="3602" max="3602" width="10.08984375" style="2592" customWidth="1"/>
    <col min="3603" max="3603" width="10" style="2592" customWidth="1"/>
    <col min="3604" max="3604" width="26.08984375" style="2592" customWidth="1"/>
    <col min="3605" max="3840" width="8.90625" style="2592"/>
    <col min="3841" max="3841" width="9.453125" style="2592" customWidth="1"/>
    <col min="3842" max="3842" width="8.90625" style="2592"/>
    <col min="3843" max="3845" width="12.90625" style="2592" customWidth="1"/>
    <col min="3846" max="3846" width="47.453125" style="2592" customWidth="1"/>
    <col min="3847" max="3847" width="13" style="2592" customWidth="1"/>
    <col min="3848" max="3849" width="8.90625" style="2592"/>
    <col min="3850" max="3850" width="5.7265625" style="2592" customWidth="1"/>
    <col min="3851" max="3851" width="11.7265625" style="2592" customWidth="1"/>
    <col min="3852" max="3853" width="10.7265625" style="2592" customWidth="1"/>
    <col min="3854" max="3854" width="10" style="2592" customWidth="1"/>
    <col min="3855" max="3856" width="10.453125" style="2592" bestFit="1" customWidth="1"/>
    <col min="3857" max="3857" width="10" style="2592" customWidth="1"/>
    <col min="3858" max="3858" width="10.08984375" style="2592" customWidth="1"/>
    <col min="3859" max="3859" width="10" style="2592" customWidth="1"/>
    <col min="3860" max="3860" width="26.08984375" style="2592" customWidth="1"/>
    <col min="3861" max="4096" width="8.90625" style="2592"/>
    <col min="4097" max="4097" width="9.453125" style="2592" customWidth="1"/>
    <col min="4098" max="4098" width="8.90625" style="2592"/>
    <col min="4099" max="4101" width="12.90625" style="2592" customWidth="1"/>
    <col min="4102" max="4102" width="47.453125" style="2592" customWidth="1"/>
    <col min="4103" max="4103" width="13" style="2592" customWidth="1"/>
    <col min="4104" max="4105" width="8.90625" style="2592"/>
    <col min="4106" max="4106" width="5.7265625" style="2592" customWidth="1"/>
    <col min="4107" max="4107" width="11.7265625" style="2592" customWidth="1"/>
    <col min="4108" max="4109" width="10.7265625" style="2592" customWidth="1"/>
    <col min="4110" max="4110" width="10" style="2592" customWidth="1"/>
    <col min="4111" max="4112" width="10.453125" style="2592" bestFit="1" customWidth="1"/>
    <col min="4113" max="4113" width="10" style="2592" customWidth="1"/>
    <col min="4114" max="4114" width="10.08984375" style="2592" customWidth="1"/>
    <col min="4115" max="4115" width="10" style="2592" customWidth="1"/>
    <col min="4116" max="4116" width="26.08984375" style="2592" customWidth="1"/>
    <col min="4117" max="4352" width="8.90625" style="2592"/>
    <col min="4353" max="4353" width="9.453125" style="2592" customWidth="1"/>
    <col min="4354" max="4354" width="8.90625" style="2592"/>
    <col min="4355" max="4357" width="12.90625" style="2592" customWidth="1"/>
    <col min="4358" max="4358" width="47.453125" style="2592" customWidth="1"/>
    <col min="4359" max="4359" width="13" style="2592" customWidth="1"/>
    <col min="4360" max="4361" width="8.90625" style="2592"/>
    <col min="4362" max="4362" width="5.7265625" style="2592" customWidth="1"/>
    <col min="4363" max="4363" width="11.7265625" style="2592" customWidth="1"/>
    <col min="4364" max="4365" width="10.7265625" style="2592" customWidth="1"/>
    <col min="4366" max="4366" width="10" style="2592" customWidth="1"/>
    <col min="4367" max="4368" width="10.453125" style="2592" bestFit="1" customWidth="1"/>
    <col min="4369" max="4369" width="10" style="2592" customWidth="1"/>
    <col min="4370" max="4370" width="10.08984375" style="2592" customWidth="1"/>
    <col min="4371" max="4371" width="10" style="2592" customWidth="1"/>
    <col min="4372" max="4372" width="26.08984375" style="2592" customWidth="1"/>
    <col min="4373" max="4608" width="8.90625" style="2592"/>
    <col min="4609" max="4609" width="9.453125" style="2592" customWidth="1"/>
    <col min="4610" max="4610" width="8.90625" style="2592"/>
    <col min="4611" max="4613" width="12.90625" style="2592" customWidth="1"/>
    <col min="4614" max="4614" width="47.453125" style="2592" customWidth="1"/>
    <col min="4615" max="4615" width="13" style="2592" customWidth="1"/>
    <col min="4616" max="4617" width="8.90625" style="2592"/>
    <col min="4618" max="4618" width="5.7265625" style="2592" customWidth="1"/>
    <col min="4619" max="4619" width="11.7265625" style="2592" customWidth="1"/>
    <col min="4620" max="4621" width="10.7265625" style="2592" customWidth="1"/>
    <col min="4622" max="4622" width="10" style="2592" customWidth="1"/>
    <col min="4623" max="4624" width="10.453125" style="2592" bestFit="1" customWidth="1"/>
    <col min="4625" max="4625" width="10" style="2592" customWidth="1"/>
    <col min="4626" max="4626" width="10.08984375" style="2592" customWidth="1"/>
    <col min="4627" max="4627" width="10" style="2592" customWidth="1"/>
    <col min="4628" max="4628" width="26.08984375" style="2592" customWidth="1"/>
    <col min="4629" max="4864" width="8.90625" style="2592"/>
    <col min="4865" max="4865" width="9.453125" style="2592" customWidth="1"/>
    <col min="4866" max="4866" width="8.90625" style="2592"/>
    <col min="4867" max="4869" width="12.90625" style="2592" customWidth="1"/>
    <col min="4870" max="4870" width="47.453125" style="2592" customWidth="1"/>
    <col min="4871" max="4871" width="13" style="2592" customWidth="1"/>
    <col min="4872" max="4873" width="8.90625" style="2592"/>
    <col min="4874" max="4874" width="5.7265625" style="2592" customWidth="1"/>
    <col min="4875" max="4875" width="11.7265625" style="2592" customWidth="1"/>
    <col min="4876" max="4877" width="10.7265625" style="2592" customWidth="1"/>
    <col min="4878" max="4878" width="10" style="2592" customWidth="1"/>
    <col min="4879" max="4880" width="10.453125" style="2592" bestFit="1" customWidth="1"/>
    <col min="4881" max="4881" width="10" style="2592" customWidth="1"/>
    <col min="4882" max="4882" width="10.08984375" style="2592" customWidth="1"/>
    <col min="4883" max="4883" width="10" style="2592" customWidth="1"/>
    <col min="4884" max="4884" width="26.08984375" style="2592" customWidth="1"/>
    <col min="4885" max="5120" width="8.90625" style="2592"/>
    <col min="5121" max="5121" width="9.453125" style="2592" customWidth="1"/>
    <col min="5122" max="5122" width="8.90625" style="2592"/>
    <col min="5123" max="5125" width="12.90625" style="2592" customWidth="1"/>
    <col min="5126" max="5126" width="47.453125" style="2592" customWidth="1"/>
    <col min="5127" max="5127" width="13" style="2592" customWidth="1"/>
    <col min="5128" max="5129" width="8.90625" style="2592"/>
    <col min="5130" max="5130" width="5.7265625" style="2592" customWidth="1"/>
    <col min="5131" max="5131" width="11.7265625" style="2592" customWidth="1"/>
    <col min="5132" max="5133" width="10.7265625" style="2592" customWidth="1"/>
    <col min="5134" max="5134" width="10" style="2592" customWidth="1"/>
    <col min="5135" max="5136" width="10.453125" style="2592" bestFit="1" customWidth="1"/>
    <col min="5137" max="5137" width="10" style="2592" customWidth="1"/>
    <col min="5138" max="5138" width="10.08984375" style="2592" customWidth="1"/>
    <col min="5139" max="5139" width="10" style="2592" customWidth="1"/>
    <col min="5140" max="5140" width="26.08984375" style="2592" customWidth="1"/>
    <col min="5141" max="5376" width="8.90625" style="2592"/>
    <col min="5377" max="5377" width="9.453125" style="2592" customWidth="1"/>
    <col min="5378" max="5378" width="8.90625" style="2592"/>
    <col min="5379" max="5381" width="12.90625" style="2592" customWidth="1"/>
    <col min="5382" max="5382" width="47.453125" style="2592" customWidth="1"/>
    <col min="5383" max="5383" width="13" style="2592" customWidth="1"/>
    <col min="5384" max="5385" width="8.90625" style="2592"/>
    <col min="5386" max="5386" width="5.7265625" style="2592" customWidth="1"/>
    <col min="5387" max="5387" width="11.7265625" style="2592" customWidth="1"/>
    <col min="5388" max="5389" width="10.7265625" style="2592" customWidth="1"/>
    <col min="5390" max="5390" width="10" style="2592" customWidth="1"/>
    <col min="5391" max="5392" width="10.453125" style="2592" bestFit="1" customWidth="1"/>
    <col min="5393" max="5393" width="10" style="2592" customWidth="1"/>
    <col min="5394" max="5394" width="10.08984375" style="2592" customWidth="1"/>
    <col min="5395" max="5395" width="10" style="2592" customWidth="1"/>
    <col min="5396" max="5396" width="26.08984375" style="2592" customWidth="1"/>
    <col min="5397" max="5632" width="8.90625" style="2592"/>
    <col min="5633" max="5633" width="9.453125" style="2592" customWidth="1"/>
    <col min="5634" max="5634" width="8.90625" style="2592"/>
    <col min="5635" max="5637" width="12.90625" style="2592" customWidth="1"/>
    <col min="5638" max="5638" width="47.453125" style="2592" customWidth="1"/>
    <col min="5639" max="5639" width="13" style="2592" customWidth="1"/>
    <col min="5640" max="5641" width="8.90625" style="2592"/>
    <col min="5642" max="5642" width="5.7265625" style="2592" customWidth="1"/>
    <col min="5643" max="5643" width="11.7265625" style="2592" customWidth="1"/>
    <col min="5644" max="5645" width="10.7265625" style="2592" customWidth="1"/>
    <col min="5646" max="5646" width="10" style="2592" customWidth="1"/>
    <col min="5647" max="5648" width="10.453125" style="2592" bestFit="1" customWidth="1"/>
    <col min="5649" max="5649" width="10" style="2592" customWidth="1"/>
    <col min="5650" max="5650" width="10.08984375" style="2592" customWidth="1"/>
    <col min="5651" max="5651" width="10" style="2592" customWidth="1"/>
    <col min="5652" max="5652" width="26.08984375" style="2592" customWidth="1"/>
    <col min="5653" max="5888" width="8.90625" style="2592"/>
    <col min="5889" max="5889" width="9.453125" style="2592" customWidth="1"/>
    <col min="5890" max="5890" width="8.90625" style="2592"/>
    <col min="5891" max="5893" width="12.90625" style="2592" customWidth="1"/>
    <col min="5894" max="5894" width="47.453125" style="2592" customWidth="1"/>
    <col min="5895" max="5895" width="13" style="2592" customWidth="1"/>
    <col min="5896" max="5897" width="8.90625" style="2592"/>
    <col min="5898" max="5898" width="5.7265625" style="2592" customWidth="1"/>
    <col min="5899" max="5899" width="11.7265625" style="2592" customWidth="1"/>
    <col min="5900" max="5901" width="10.7265625" style="2592" customWidth="1"/>
    <col min="5902" max="5902" width="10" style="2592" customWidth="1"/>
    <col min="5903" max="5904" width="10.453125" style="2592" bestFit="1" customWidth="1"/>
    <col min="5905" max="5905" width="10" style="2592" customWidth="1"/>
    <col min="5906" max="5906" width="10.08984375" style="2592" customWidth="1"/>
    <col min="5907" max="5907" width="10" style="2592" customWidth="1"/>
    <col min="5908" max="5908" width="26.08984375" style="2592" customWidth="1"/>
    <col min="5909" max="6144" width="8.90625" style="2592"/>
    <col min="6145" max="6145" width="9.453125" style="2592" customWidth="1"/>
    <col min="6146" max="6146" width="8.90625" style="2592"/>
    <col min="6147" max="6149" width="12.90625" style="2592" customWidth="1"/>
    <col min="6150" max="6150" width="47.453125" style="2592" customWidth="1"/>
    <col min="6151" max="6151" width="13" style="2592" customWidth="1"/>
    <col min="6152" max="6153" width="8.90625" style="2592"/>
    <col min="6154" max="6154" width="5.7265625" style="2592" customWidth="1"/>
    <col min="6155" max="6155" width="11.7265625" style="2592" customWidth="1"/>
    <col min="6156" max="6157" width="10.7265625" style="2592" customWidth="1"/>
    <col min="6158" max="6158" width="10" style="2592" customWidth="1"/>
    <col min="6159" max="6160" width="10.453125" style="2592" bestFit="1" customWidth="1"/>
    <col min="6161" max="6161" width="10" style="2592" customWidth="1"/>
    <col min="6162" max="6162" width="10.08984375" style="2592" customWidth="1"/>
    <col min="6163" max="6163" width="10" style="2592" customWidth="1"/>
    <col min="6164" max="6164" width="26.08984375" style="2592" customWidth="1"/>
    <col min="6165" max="6400" width="8.90625" style="2592"/>
    <col min="6401" max="6401" width="9.453125" style="2592" customWidth="1"/>
    <col min="6402" max="6402" width="8.90625" style="2592"/>
    <col min="6403" max="6405" width="12.90625" style="2592" customWidth="1"/>
    <col min="6406" max="6406" width="47.453125" style="2592" customWidth="1"/>
    <col min="6407" max="6407" width="13" style="2592" customWidth="1"/>
    <col min="6408" max="6409" width="8.90625" style="2592"/>
    <col min="6410" max="6410" width="5.7265625" style="2592" customWidth="1"/>
    <col min="6411" max="6411" width="11.7265625" style="2592" customWidth="1"/>
    <col min="6412" max="6413" width="10.7265625" style="2592" customWidth="1"/>
    <col min="6414" max="6414" width="10" style="2592" customWidth="1"/>
    <col min="6415" max="6416" width="10.453125" style="2592" bestFit="1" customWidth="1"/>
    <col min="6417" max="6417" width="10" style="2592" customWidth="1"/>
    <col min="6418" max="6418" width="10.08984375" style="2592" customWidth="1"/>
    <col min="6419" max="6419" width="10" style="2592" customWidth="1"/>
    <col min="6420" max="6420" width="26.08984375" style="2592" customWidth="1"/>
    <col min="6421" max="6656" width="8.90625" style="2592"/>
    <col min="6657" max="6657" width="9.453125" style="2592" customWidth="1"/>
    <col min="6658" max="6658" width="8.90625" style="2592"/>
    <col min="6659" max="6661" width="12.90625" style="2592" customWidth="1"/>
    <col min="6662" max="6662" width="47.453125" style="2592" customWidth="1"/>
    <col min="6663" max="6663" width="13" style="2592" customWidth="1"/>
    <col min="6664" max="6665" width="8.90625" style="2592"/>
    <col min="6666" max="6666" width="5.7265625" style="2592" customWidth="1"/>
    <col min="6667" max="6667" width="11.7265625" style="2592" customWidth="1"/>
    <col min="6668" max="6669" width="10.7265625" style="2592" customWidth="1"/>
    <col min="6670" max="6670" width="10" style="2592" customWidth="1"/>
    <col min="6671" max="6672" width="10.453125" style="2592" bestFit="1" customWidth="1"/>
    <col min="6673" max="6673" width="10" style="2592" customWidth="1"/>
    <col min="6674" max="6674" width="10.08984375" style="2592" customWidth="1"/>
    <col min="6675" max="6675" width="10" style="2592" customWidth="1"/>
    <col min="6676" max="6676" width="26.08984375" style="2592" customWidth="1"/>
    <col min="6677" max="6912" width="8.90625" style="2592"/>
    <col min="6913" max="6913" width="9.453125" style="2592" customWidth="1"/>
    <col min="6914" max="6914" width="8.90625" style="2592"/>
    <col min="6915" max="6917" width="12.90625" style="2592" customWidth="1"/>
    <col min="6918" max="6918" width="47.453125" style="2592" customWidth="1"/>
    <col min="6919" max="6919" width="13" style="2592" customWidth="1"/>
    <col min="6920" max="6921" width="8.90625" style="2592"/>
    <col min="6922" max="6922" width="5.7265625" style="2592" customWidth="1"/>
    <col min="6923" max="6923" width="11.7265625" style="2592" customWidth="1"/>
    <col min="6924" max="6925" width="10.7265625" style="2592" customWidth="1"/>
    <col min="6926" max="6926" width="10" style="2592" customWidth="1"/>
    <col min="6927" max="6928" width="10.453125" style="2592" bestFit="1" customWidth="1"/>
    <col min="6929" max="6929" width="10" style="2592" customWidth="1"/>
    <col min="6930" max="6930" width="10.08984375" style="2592" customWidth="1"/>
    <col min="6931" max="6931" width="10" style="2592" customWidth="1"/>
    <col min="6932" max="6932" width="26.08984375" style="2592" customWidth="1"/>
    <col min="6933" max="7168" width="8.90625" style="2592"/>
    <col min="7169" max="7169" width="9.453125" style="2592" customWidth="1"/>
    <col min="7170" max="7170" width="8.90625" style="2592"/>
    <col min="7171" max="7173" width="12.90625" style="2592" customWidth="1"/>
    <col min="7174" max="7174" width="47.453125" style="2592" customWidth="1"/>
    <col min="7175" max="7175" width="13" style="2592" customWidth="1"/>
    <col min="7176" max="7177" width="8.90625" style="2592"/>
    <col min="7178" max="7178" width="5.7265625" style="2592" customWidth="1"/>
    <col min="7179" max="7179" width="11.7265625" style="2592" customWidth="1"/>
    <col min="7180" max="7181" width="10.7265625" style="2592" customWidth="1"/>
    <col min="7182" max="7182" width="10" style="2592" customWidth="1"/>
    <col min="7183" max="7184" width="10.453125" style="2592" bestFit="1" customWidth="1"/>
    <col min="7185" max="7185" width="10" style="2592" customWidth="1"/>
    <col min="7186" max="7186" width="10.08984375" style="2592" customWidth="1"/>
    <col min="7187" max="7187" width="10" style="2592" customWidth="1"/>
    <col min="7188" max="7188" width="26.08984375" style="2592" customWidth="1"/>
    <col min="7189" max="7424" width="8.90625" style="2592"/>
    <col min="7425" max="7425" width="9.453125" style="2592" customWidth="1"/>
    <col min="7426" max="7426" width="8.90625" style="2592"/>
    <col min="7427" max="7429" width="12.90625" style="2592" customWidth="1"/>
    <col min="7430" max="7430" width="47.453125" style="2592" customWidth="1"/>
    <col min="7431" max="7431" width="13" style="2592" customWidth="1"/>
    <col min="7432" max="7433" width="8.90625" style="2592"/>
    <col min="7434" max="7434" width="5.7265625" style="2592" customWidth="1"/>
    <col min="7435" max="7435" width="11.7265625" style="2592" customWidth="1"/>
    <col min="7436" max="7437" width="10.7265625" style="2592" customWidth="1"/>
    <col min="7438" max="7438" width="10" style="2592" customWidth="1"/>
    <col min="7439" max="7440" width="10.453125" style="2592" bestFit="1" customWidth="1"/>
    <col min="7441" max="7441" width="10" style="2592" customWidth="1"/>
    <col min="7442" max="7442" width="10.08984375" style="2592" customWidth="1"/>
    <col min="7443" max="7443" width="10" style="2592" customWidth="1"/>
    <col min="7444" max="7444" width="26.08984375" style="2592" customWidth="1"/>
    <col min="7445" max="7680" width="8.90625" style="2592"/>
    <col min="7681" max="7681" width="9.453125" style="2592" customWidth="1"/>
    <col min="7682" max="7682" width="8.90625" style="2592"/>
    <col min="7683" max="7685" width="12.90625" style="2592" customWidth="1"/>
    <col min="7686" max="7686" width="47.453125" style="2592" customWidth="1"/>
    <col min="7687" max="7687" width="13" style="2592" customWidth="1"/>
    <col min="7688" max="7689" width="8.90625" style="2592"/>
    <col min="7690" max="7690" width="5.7265625" style="2592" customWidth="1"/>
    <col min="7691" max="7691" width="11.7265625" style="2592" customWidth="1"/>
    <col min="7692" max="7693" width="10.7265625" style="2592" customWidth="1"/>
    <col min="7694" max="7694" width="10" style="2592" customWidth="1"/>
    <col min="7695" max="7696" width="10.453125" style="2592" bestFit="1" customWidth="1"/>
    <col min="7697" max="7697" width="10" style="2592" customWidth="1"/>
    <col min="7698" max="7698" width="10.08984375" style="2592" customWidth="1"/>
    <col min="7699" max="7699" width="10" style="2592" customWidth="1"/>
    <col min="7700" max="7700" width="26.08984375" style="2592" customWidth="1"/>
    <col min="7701" max="7936" width="8.90625" style="2592"/>
    <col min="7937" max="7937" width="9.453125" style="2592" customWidth="1"/>
    <col min="7938" max="7938" width="8.90625" style="2592"/>
    <col min="7939" max="7941" width="12.90625" style="2592" customWidth="1"/>
    <col min="7942" max="7942" width="47.453125" style="2592" customWidth="1"/>
    <col min="7943" max="7943" width="13" style="2592" customWidth="1"/>
    <col min="7944" max="7945" width="8.90625" style="2592"/>
    <col min="7946" max="7946" width="5.7265625" style="2592" customWidth="1"/>
    <col min="7947" max="7947" width="11.7265625" style="2592" customWidth="1"/>
    <col min="7948" max="7949" width="10.7265625" style="2592" customWidth="1"/>
    <col min="7950" max="7950" width="10" style="2592" customWidth="1"/>
    <col min="7951" max="7952" width="10.453125" style="2592" bestFit="1" customWidth="1"/>
    <col min="7953" max="7953" width="10" style="2592" customWidth="1"/>
    <col min="7954" max="7954" width="10.08984375" style="2592" customWidth="1"/>
    <col min="7955" max="7955" width="10" style="2592" customWidth="1"/>
    <col min="7956" max="7956" width="26.08984375" style="2592" customWidth="1"/>
    <col min="7957" max="8192" width="8.90625" style="2592"/>
    <col min="8193" max="8193" width="9.453125" style="2592" customWidth="1"/>
    <col min="8194" max="8194" width="8.90625" style="2592"/>
    <col min="8195" max="8197" width="12.90625" style="2592" customWidth="1"/>
    <col min="8198" max="8198" width="47.453125" style="2592" customWidth="1"/>
    <col min="8199" max="8199" width="13" style="2592" customWidth="1"/>
    <col min="8200" max="8201" width="8.90625" style="2592"/>
    <col min="8202" max="8202" width="5.7265625" style="2592" customWidth="1"/>
    <col min="8203" max="8203" width="11.7265625" style="2592" customWidth="1"/>
    <col min="8204" max="8205" width="10.7265625" style="2592" customWidth="1"/>
    <col min="8206" max="8206" width="10" style="2592" customWidth="1"/>
    <col min="8207" max="8208" width="10.453125" style="2592" bestFit="1" customWidth="1"/>
    <col min="8209" max="8209" width="10" style="2592" customWidth="1"/>
    <col min="8210" max="8210" width="10.08984375" style="2592" customWidth="1"/>
    <col min="8211" max="8211" width="10" style="2592" customWidth="1"/>
    <col min="8212" max="8212" width="26.08984375" style="2592" customWidth="1"/>
    <col min="8213" max="8448" width="8.90625" style="2592"/>
    <col min="8449" max="8449" width="9.453125" style="2592" customWidth="1"/>
    <col min="8450" max="8450" width="8.90625" style="2592"/>
    <col min="8451" max="8453" width="12.90625" style="2592" customWidth="1"/>
    <col min="8454" max="8454" width="47.453125" style="2592" customWidth="1"/>
    <col min="8455" max="8455" width="13" style="2592" customWidth="1"/>
    <col min="8456" max="8457" width="8.90625" style="2592"/>
    <col min="8458" max="8458" width="5.7265625" style="2592" customWidth="1"/>
    <col min="8459" max="8459" width="11.7265625" style="2592" customWidth="1"/>
    <col min="8460" max="8461" width="10.7265625" style="2592" customWidth="1"/>
    <col min="8462" max="8462" width="10" style="2592" customWidth="1"/>
    <col min="8463" max="8464" width="10.453125" style="2592" bestFit="1" customWidth="1"/>
    <col min="8465" max="8465" width="10" style="2592" customWidth="1"/>
    <col min="8466" max="8466" width="10.08984375" style="2592" customWidth="1"/>
    <col min="8467" max="8467" width="10" style="2592" customWidth="1"/>
    <col min="8468" max="8468" width="26.08984375" style="2592" customWidth="1"/>
    <col min="8469" max="8704" width="8.90625" style="2592"/>
    <col min="8705" max="8705" width="9.453125" style="2592" customWidth="1"/>
    <col min="8706" max="8706" width="8.90625" style="2592"/>
    <col min="8707" max="8709" width="12.90625" style="2592" customWidth="1"/>
    <col min="8710" max="8710" width="47.453125" style="2592" customWidth="1"/>
    <col min="8711" max="8711" width="13" style="2592" customWidth="1"/>
    <col min="8712" max="8713" width="8.90625" style="2592"/>
    <col min="8714" max="8714" width="5.7265625" style="2592" customWidth="1"/>
    <col min="8715" max="8715" width="11.7265625" style="2592" customWidth="1"/>
    <col min="8716" max="8717" width="10.7265625" style="2592" customWidth="1"/>
    <col min="8718" max="8718" width="10" style="2592" customWidth="1"/>
    <col min="8719" max="8720" width="10.453125" style="2592" bestFit="1" customWidth="1"/>
    <col min="8721" max="8721" width="10" style="2592" customWidth="1"/>
    <col min="8722" max="8722" width="10.08984375" style="2592" customWidth="1"/>
    <col min="8723" max="8723" width="10" style="2592" customWidth="1"/>
    <col min="8724" max="8724" width="26.08984375" style="2592" customWidth="1"/>
    <col min="8725" max="8960" width="8.90625" style="2592"/>
    <col min="8961" max="8961" width="9.453125" style="2592" customWidth="1"/>
    <col min="8962" max="8962" width="8.90625" style="2592"/>
    <col min="8963" max="8965" width="12.90625" style="2592" customWidth="1"/>
    <col min="8966" max="8966" width="47.453125" style="2592" customWidth="1"/>
    <col min="8967" max="8967" width="13" style="2592" customWidth="1"/>
    <col min="8968" max="8969" width="8.90625" style="2592"/>
    <col min="8970" max="8970" width="5.7265625" style="2592" customWidth="1"/>
    <col min="8971" max="8971" width="11.7265625" style="2592" customWidth="1"/>
    <col min="8972" max="8973" width="10.7265625" style="2592" customWidth="1"/>
    <col min="8974" max="8974" width="10" style="2592" customWidth="1"/>
    <col min="8975" max="8976" width="10.453125" style="2592" bestFit="1" customWidth="1"/>
    <col min="8977" max="8977" width="10" style="2592" customWidth="1"/>
    <col min="8978" max="8978" width="10.08984375" style="2592" customWidth="1"/>
    <col min="8979" max="8979" width="10" style="2592" customWidth="1"/>
    <col min="8980" max="8980" width="26.08984375" style="2592" customWidth="1"/>
    <col min="8981" max="9216" width="8.90625" style="2592"/>
    <col min="9217" max="9217" width="9.453125" style="2592" customWidth="1"/>
    <col min="9218" max="9218" width="8.90625" style="2592"/>
    <col min="9219" max="9221" width="12.90625" style="2592" customWidth="1"/>
    <col min="9222" max="9222" width="47.453125" style="2592" customWidth="1"/>
    <col min="9223" max="9223" width="13" style="2592" customWidth="1"/>
    <col min="9224" max="9225" width="8.90625" style="2592"/>
    <col min="9226" max="9226" width="5.7265625" style="2592" customWidth="1"/>
    <col min="9227" max="9227" width="11.7265625" style="2592" customWidth="1"/>
    <col min="9228" max="9229" width="10.7265625" style="2592" customWidth="1"/>
    <col min="9230" max="9230" width="10" style="2592" customWidth="1"/>
    <col min="9231" max="9232" width="10.453125" style="2592" bestFit="1" customWidth="1"/>
    <col min="9233" max="9233" width="10" style="2592" customWidth="1"/>
    <col min="9234" max="9234" width="10.08984375" style="2592" customWidth="1"/>
    <col min="9235" max="9235" width="10" style="2592" customWidth="1"/>
    <col min="9236" max="9236" width="26.08984375" style="2592" customWidth="1"/>
    <col min="9237" max="9472" width="8.90625" style="2592"/>
    <col min="9473" max="9473" width="9.453125" style="2592" customWidth="1"/>
    <col min="9474" max="9474" width="8.90625" style="2592"/>
    <col min="9475" max="9477" width="12.90625" style="2592" customWidth="1"/>
    <col min="9478" max="9478" width="47.453125" style="2592" customWidth="1"/>
    <col min="9479" max="9479" width="13" style="2592" customWidth="1"/>
    <col min="9480" max="9481" width="8.90625" style="2592"/>
    <col min="9482" max="9482" width="5.7265625" style="2592" customWidth="1"/>
    <col min="9483" max="9483" width="11.7265625" style="2592" customWidth="1"/>
    <col min="9484" max="9485" width="10.7265625" style="2592" customWidth="1"/>
    <col min="9486" max="9486" width="10" style="2592" customWidth="1"/>
    <col min="9487" max="9488" width="10.453125" style="2592" bestFit="1" customWidth="1"/>
    <col min="9489" max="9489" width="10" style="2592" customWidth="1"/>
    <col min="9490" max="9490" width="10.08984375" style="2592" customWidth="1"/>
    <col min="9491" max="9491" width="10" style="2592" customWidth="1"/>
    <col min="9492" max="9492" width="26.08984375" style="2592" customWidth="1"/>
    <col min="9493" max="9728" width="8.90625" style="2592"/>
    <col min="9729" max="9729" width="9.453125" style="2592" customWidth="1"/>
    <col min="9730" max="9730" width="8.90625" style="2592"/>
    <col min="9731" max="9733" width="12.90625" style="2592" customWidth="1"/>
    <col min="9734" max="9734" width="47.453125" style="2592" customWidth="1"/>
    <col min="9735" max="9735" width="13" style="2592" customWidth="1"/>
    <col min="9736" max="9737" width="8.90625" style="2592"/>
    <col min="9738" max="9738" width="5.7265625" style="2592" customWidth="1"/>
    <col min="9739" max="9739" width="11.7265625" style="2592" customWidth="1"/>
    <col min="9740" max="9741" width="10.7265625" style="2592" customWidth="1"/>
    <col min="9742" max="9742" width="10" style="2592" customWidth="1"/>
    <col min="9743" max="9744" width="10.453125" style="2592" bestFit="1" customWidth="1"/>
    <col min="9745" max="9745" width="10" style="2592" customWidth="1"/>
    <col min="9746" max="9746" width="10.08984375" style="2592" customWidth="1"/>
    <col min="9747" max="9747" width="10" style="2592" customWidth="1"/>
    <col min="9748" max="9748" width="26.08984375" style="2592" customWidth="1"/>
    <col min="9749" max="9984" width="8.90625" style="2592"/>
    <col min="9985" max="9985" width="9.453125" style="2592" customWidth="1"/>
    <col min="9986" max="9986" width="8.90625" style="2592"/>
    <col min="9987" max="9989" width="12.90625" style="2592" customWidth="1"/>
    <col min="9990" max="9990" width="47.453125" style="2592" customWidth="1"/>
    <col min="9991" max="9991" width="13" style="2592" customWidth="1"/>
    <col min="9992" max="9993" width="8.90625" style="2592"/>
    <col min="9994" max="9994" width="5.7265625" style="2592" customWidth="1"/>
    <col min="9995" max="9995" width="11.7265625" style="2592" customWidth="1"/>
    <col min="9996" max="9997" width="10.7265625" style="2592" customWidth="1"/>
    <col min="9998" max="9998" width="10" style="2592" customWidth="1"/>
    <col min="9999" max="10000" width="10.453125" style="2592" bestFit="1" customWidth="1"/>
    <col min="10001" max="10001" width="10" style="2592" customWidth="1"/>
    <col min="10002" max="10002" width="10.08984375" style="2592" customWidth="1"/>
    <col min="10003" max="10003" width="10" style="2592" customWidth="1"/>
    <col min="10004" max="10004" width="26.08984375" style="2592" customWidth="1"/>
    <col min="10005" max="10240" width="8.90625" style="2592"/>
    <col min="10241" max="10241" width="9.453125" style="2592" customWidth="1"/>
    <col min="10242" max="10242" width="8.90625" style="2592"/>
    <col min="10243" max="10245" width="12.90625" style="2592" customWidth="1"/>
    <col min="10246" max="10246" width="47.453125" style="2592" customWidth="1"/>
    <col min="10247" max="10247" width="13" style="2592" customWidth="1"/>
    <col min="10248" max="10249" width="8.90625" style="2592"/>
    <col min="10250" max="10250" width="5.7265625" style="2592" customWidth="1"/>
    <col min="10251" max="10251" width="11.7265625" style="2592" customWidth="1"/>
    <col min="10252" max="10253" width="10.7265625" style="2592" customWidth="1"/>
    <col min="10254" max="10254" width="10" style="2592" customWidth="1"/>
    <col min="10255" max="10256" width="10.453125" style="2592" bestFit="1" customWidth="1"/>
    <col min="10257" max="10257" width="10" style="2592" customWidth="1"/>
    <col min="10258" max="10258" width="10.08984375" style="2592" customWidth="1"/>
    <col min="10259" max="10259" width="10" style="2592" customWidth="1"/>
    <col min="10260" max="10260" width="26.08984375" style="2592" customWidth="1"/>
    <col min="10261" max="10496" width="8.90625" style="2592"/>
    <col min="10497" max="10497" width="9.453125" style="2592" customWidth="1"/>
    <col min="10498" max="10498" width="8.90625" style="2592"/>
    <col min="10499" max="10501" width="12.90625" style="2592" customWidth="1"/>
    <col min="10502" max="10502" width="47.453125" style="2592" customWidth="1"/>
    <col min="10503" max="10503" width="13" style="2592" customWidth="1"/>
    <col min="10504" max="10505" width="8.90625" style="2592"/>
    <col min="10506" max="10506" width="5.7265625" style="2592" customWidth="1"/>
    <col min="10507" max="10507" width="11.7265625" style="2592" customWidth="1"/>
    <col min="10508" max="10509" width="10.7265625" style="2592" customWidth="1"/>
    <col min="10510" max="10510" width="10" style="2592" customWidth="1"/>
    <col min="10511" max="10512" width="10.453125" style="2592" bestFit="1" customWidth="1"/>
    <col min="10513" max="10513" width="10" style="2592" customWidth="1"/>
    <col min="10514" max="10514" width="10.08984375" style="2592" customWidth="1"/>
    <col min="10515" max="10515" width="10" style="2592" customWidth="1"/>
    <col min="10516" max="10516" width="26.08984375" style="2592" customWidth="1"/>
    <col min="10517" max="10752" width="8.90625" style="2592"/>
    <col min="10753" max="10753" width="9.453125" style="2592" customWidth="1"/>
    <col min="10754" max="10754" width="8.90625" style="2592"/>
    <col min="10755" max="10757" width="12.90625" style="2592" customWidth="1"/>
    <col min="10758" max="10758" width="47.453125" style="2592" customWidth="1"/>
    <col min="10759" max="10759" width="13" style="2592" customWidth="1"/>
    <col min="10760" max="10761" width="8.90625" style="2592"/>
    <col min="10762" max="10762" width="5.7265625" style="2592" customWidth="1"/>
    <col min="10763" max="10763" width="11.7265625" style="2592" customWidth="1"/>
    <col min="10764" max="10765" width="10.7265625" style="2592" customWidth="1"/>
    <col min="10766" max="10766" width="10" style="2592" customWidth="1"/>
    <col min="10767" max="10768" width="10.453125" style="2592" bestFit="1" customWidth="1"/>
    <col min="10769" max="10769" width="10" style="2592" customWidth="1"/>
    <col min="10770" max="10770" width="10.08984375" style="2592" customWidth="1"/>
    <col min="10771" max="10771" width="10" style="2592" customWidth="1"/>
    <col min="10772" max="10772" width="26.08984375" style="2592" customWidth="1"/>
    <col min="10773" max="11008" width="8.90625" style="2592"/>
    <col min="11009" max="11009" width="9.453125" style="2592" customWidth="1"/>
    <col min="11010" max="11010" width="8.90625" style="2592"/>
    <col min="11011" max="11013" width="12.90625" style="2592" customWidth="1"/>
    <col min="11014" max="11014" width="47.453125" style="2592" customWidth="1"/>
    <col min="11015" max="11015" width="13" style="2592" customWidth="1"/>
    <col min="11016" max="11017" width="8.90625" style="2592"/>
    <col min="11018" max="11018" width="5.7265625" style="2592" customWidth="1"/>
    <col min="11019" max="11019" width="11.7265625" style="2592" customWidth="1"/>
    <col min="11020" max="11021" width="10.7265625" style="2592" customWidth="1"/>
    <col min="11022" max="11022" width="10" style="2592" customWidth="1"/>
    <col min="11023" max="11024" width="10.453125" style="2592" bestFit="1" customWidth="1"/>
    <col min="11025" max="11025" width="10" style="2592" customWidth="1"/>
    <col min="11026" max="11026" width="10.08984375" style="2592" customWidth="1"/>
    <col min="11027" max="11027" width="10" style="2592" customWidth="1"/>
    <col min="11028" max="11028" width="26.08984375" style="2592" customWidth="1"/>
    <col min="11029" max="11264" width="8.90625" style="2592"/>
    <col min="11265" max="11265" width="9.453125" style="2592" customWidth="1"/>
    <col min="11266" max="11266" width="8.90625" style="2592"/>
    <col min="11267" max="11269" width="12.90625" style="2592" customWidth="1"/>
    <col min="11270" max="11270" width="47.453125" style="2592" customWidth="1"/>
    <col min="11271" max="11271" width="13" style="2592" customWidth="1"/>
    <col min="11272" max="11273" width="8.90625" style="2592"/>
    <col min="11274" max="11274" width="5.7265625" style="2592" customWidth="1"/>
    <col min="11275" max="11275" width="11.7265625" style="2592" customWidth="1"/>
    <col min="11276" max="11277" width="10.7265625" style="2592" customWidth="1"/>
    <col min="11278" max="11278" width="10" style="2592" customWidth="1"/>
    <col min="11279" max="11280" width="10.453125" style="2592" bestFit="1" customWidth="1"/>
    <col min="11281" max="11281" width="10" style="2592" customWidth="1"/>
    <col min="11282" max="11282" width="10.08984375" style="2592" customWidth="1"/>
    <col min="11283" max="11283" width="10" style="2592" customWidth="1"/>
    <col min="11284" max="11284" width="26.08984375" style="2592" customWidth="1"/>
    <col min="11285" max="11520" width="8.90625" style="2592"/>
    <col min="11521" max="11521" width="9.453125" style="2592" customWidth="1"/>
    <col min="11522" max="11522" width="8.90625" style="2592"/>
    <col min="11523" max="11525" width="12.90625" style="2592" customWidth="1"/>
    <col min="11526" max="11526" width="47.453125" style="2592" customWidth="1"/>
    <col min="11527" max="11527" width="13" style="2592" customWidth="1"/>
    <col min="11528" max="11529" width="8.90625" style="2592"/>
    <col min="11530" max="11530" width="5.7265625" style="2592" customWidth="1"/>
    <col min="11531" max="11531" width="11.7265625" style="2592" customWidth="1"/>
    <col min="11532" max="11533" width="10.7265625" style="2592" customWidth="1"/>
    <col min="11534" max="11534" width="10" style="2592" customWidth="1"/>
    <col min="11535" max="11536" width="10.453125" style="2592" bestFit="1" customWidth="1"/>
    <col min="11537" max="11537" width="10" style="2592" customWidth="1"/>
    <col min="11538" max="11538" width="10.08984375" style="2592" customWidth="1"/>
    <col min="11539" max="11539" width="10" style="2592" customWidth="1"/>
    <col min="11540" max="11540" width="26.08984375" style="2592" customWidth="1"/>
    <col min="11541" max="11776" width="8.90625" style="2592"/>
    <col min="11777" max="11777" width="9.453125" style="2592" customWidth="1"/>
    <col min="11778" max="11778" width="8.90625" style="2592"/>
    <col min="11779" max="11781" width="12.90625" style="2592" customWidth="1"/>
    <col min="11782" max="11782" width="47.453125" style="2592" customWidth="1"/>
    <col min="11783" max="11783" width="13" style="2592" customWidth="1"/>
    <col min="11784" max="11785" width="8.90625" style="2592"/>
    <col min="11786" max="11786" width="5.7265625" style="2592" customWidth="1"/>
    <col min="11787" max="11787" width="11.7265625" style="2592" customWidth="1"/>
    <col min="11788" max="11789" width="10.7265625" style="2592" customWidth="1"/>
    <col min="11790" max="11790" width="10" style="2592" customWidth="1"/>
    <col min="11791" max="11792" width="10.453125" style="2592" bestFit="1" customWidth="1"/>
    <col min="11793" max="11793" width="10" style="2592" customWidth="1"/>
    <col min="11794" max="11794" width="10.08984375" style="2592" customWidth="1"/>
    <col min="11795" max="11795" width="10" style="2592" customWidth="1"/>
    <col min="11796" max="11796" width="26.08984375" style="2592" customWidth="1"/>
    <col min="11797" max="12032" width="8.90625" style="2592"/>
    <col min="12033" max="12033" width="9.453125" style="2592" customWidth="1"/>
    <col min="12034" max="12034" width="8.90625" style="2592"/>
    <col min="12035" max="12037" width="12.90625" style="2592" customWidth="1"/>
    <col min="12038" max="12038" width="47.453125" style="2592" customWidth="1"/>
    <col min="12039" max="12039" width="13" style="2592" customWidth="1"/>
    <col min="12040" max="12041" width="8.90625" style="2592"/>
    <col min="12042" max="12042" width="5.7265625" style="2592" customWidth="1"/>
    <col min="12043" max="12043" width="11.7265625" style="2592" customWidth="1"/>
    <col min="12044" max="12045" width="10.7265625" style="2592" customWidth="1"/>
    <col min="12046" max="12046" width="10" style="2592" customWidth="1"/>
    <col min="12047" max="12048" width="10.453125" style="2592" bestFit="1" customWidth="1"/>
    <col min="12049" max="12049" width="10" style="2592" customWidth="1"/>
    <col min="12050" max="12050" width="10.08984375" style="2592" customWidth="1"/>
    <col min="12051" max="12051" width="10" style="2592" customWidth="1"/>
    <col min="12052" max="12052" width="26.08984375" style="2592" customWidth="1"/>
    <col min="12053" max="12288" width="8.90625" style="2592"/>
    <col min="12289" max="12289" width="9.453125" style="2592" customWidth="1"/>
    <col min="12290" max="12290" width="8.90625" style="2592"/>
    <col min="12291" max="12293" width="12.90625" style="2592" customWidth="1"/>
    <col min="12294" max="12294" width="47.453125" style="2592" customWidth="1"/>
    <col min="12295" max="12295" width="13" style="2592" customWidth="1"/>
    <col min="12296" max="12297" width="8.90625" style="2592"/>
    <col min="12298" max="12298" width="5.7265625" style="2592" customWidth="1"/>
    <col min="12299" max="12299" width="11.7265625" style="2592" customWidth="1"/>
    <col min="12300" max="12301" width="10.7265625" style="2592" customWidth="1"/>
    <col min="12302" max="12302" width="10" style="2592" customWidth="1"/>
    <col min="12303" max="12304" width="10.453125" style="2592" bestFit="1" customWidth="1"/>
    <col min="12305" max="12305" width="10" style="2592" customWidth="1"/>
    <col min="12306" max="12306" width="10.08984375" style="2592" customWidth="1"/>
    <col min="12307" max="12307" width="10" style="2592" customWidth="1"/>
    <col min="12308" max="12308" width="26.08984375" style="2592" customWidth="1"/>
    <col min="12309" max="12544" width="8.90625" style="2592"/>
    <col min="12545" max="12545" width="9.453125" style="2592" customWidth="1"/>
    <col min="12546" max="12546" width="8.90625" style="2592"/>
    <col min="12547" max="12549" width="12.90625" style="2592" customWidth="1"/>
    <col min="12550" max="12550" width="47.453125" style="2592" customWidth="1"/>
    <col min="12551" max="12551" width="13" style="2592" customWidth="1"/>
    <col min="12552" max="12553" width="8.90625" style="2592"/>
    <col min="12554" max="12554" width="5.7265625" style="2592" customWidth="1"/>
    <col min="12555" max="12555" width="11.7265625" style="2592" customWidth="1"/>
    <col min="12556" max="12557" width="10.7265625" style="2592" customWidth="1"/>
    <col min="12558" max="12558" width="10" style="2592" customWidth="1"/>
    <col min="12559" max="12560" width="10.453125" style="2592" bestFit="1" customWidth="1"/>
    <col min="12561" max="12561" width="10" style="2592" customWidth="1"/>
    <col min="12562" max="12562" width="10.08984375" style="2592" customWidth="1"/>
    <col min="12563" max="12563" width="10" style="2592" customWidth="1"/>
    <col min="12564" max="12564" width="26.08984375" style="2592" customWidth="1"/>
    <col min="12565" max="12800" width="8.90625" style="2592"/>
    <col min="12801" max="12801" width="9.453125" style="2592" customWidth="1"/>
    <col min="12802" max="12802" width="8.90625" style="2592"/>
    <col min="12803" max="12805" width="12.90625" style="2592" customWidth="1"/>
    <col min="12806" max="12806" width="47.453125" style="2592" customWidth="1"/>
    <col min="12807" max="12807" width="13" style="2592" customWidth="1"/>
    <col min="12808" max="12809" width="8.90625" style="2592"/>
    <col min="12810" max="12810" width="5.7265625" style="2592" customWidth="1"/>
    <col min="12811" max="12811" width="11.7265625" style="2592" customWidth="1"/>
    <col min="12812" max="12813" width="10.7265625" style="2592" customWidth="1"/>
    <col min="12814" max="12814" width="10" style="2592" customWidth="1"/>
    <col min="12815" max="12816" width="10.453125" style="2592" bestFit="1" customWidth="1"/>
    <col min="12817" max="12817" width="10" style="2592" customWidth="1"/>
    <col min="12818" max="12818" width="10.08984375" style="2592" customWidth="1"/>
    <col min="12819" max="12819" width="10" style="2592" customWidth="1"/>
    <col min="12820" max="12820" width="26.08984375" style="2592" customWidth="1"/>
    <col min="12821" max="13056" width="8.90625" style="2592"/>
    <col min="13057" max="13057" width="9.453125" style="2592" customWidth="1"/>
    <col min="13058" max="13058" width="8.90625" style="2592"/>
    <col min="13059" max="13061" width="12.90625" style="2592" customWidth="1"/>
    <col min="13062" max="13062" width="47.453125" style="2592" customWidth="1"/>
    <col min="13063" max="13063" width="13" style="2592" customWidth="1"/>
    <col min="13064" max="13065" width="8.90625" style="2592"/>
    <col min="13066" max="13066" width="5.7265625" style="2592" customWidth="1"/>
    <col min="13067" max="13067" width="11.7265625" style="2592" customWidth="1"/>
    <col min="13068" max="13069" width="10.7265625" style="2592" customWidth="1"/>
    <col min="13070" max="13070" width="10" style="2592" customWidth="1"/>
    <col min="13071" max="13072" width="10.453125" style="2592" bestFit="1" customWidth="1"/>
    <col min="13073" max="13073" width="10" style="2592" customWidth="1"/>
    <col min="13074" max="13074" width="10.08984375" style="2592" customWidth="1"/>
    <col min="13075" max="13075" width="10" style="2592" customWidth="1"/>
    <col min="13076" max="13076" width="26.08984375" style="2592" customWidth="1"/>
    <col min="13077" max="13312" width="8.90625" style="2592"/>
    <col min="13313" max="13313" width="9.453125" style="2592" customWidth="1"/>
    <col min="13314" max="13314" width="8.90625" style="2592"/>
    <col min="13315" max="13317" width="12.90625" style="2592" customWidth="1"/>
    <col min="13318" max="13318" width="47.453125" style="2592" customWidth="1"/>
    <col min="13319" max="13319" width="13" style="2592" customWidth="1"/>
    <col min="13320" max="13321" width="8.90625" style="2592"/>
    <col min="13322" max="13322" width="5.7265625" style="2592" customWidth="1"/>
    <col min="13323" max="13323" width="11.7265625" style="2592" customWidth="1"/>
    <col min="13324" max="13325" width="10.7265625" style="2592" customWidth="1"/>
    <col min="13326" max="13326" width="10" style="2592" customWidth="1"/>
    <col min="13327" max="13328" width="10.453125" style="2592" bestFit="1" customWidth="1"/>
    <col min="13329" max="13329" width="10" style="2592" customWidth="1"/>
    <col min="13330" max="13330" width="10.08984375" style="2592" customWidth="1"/>
    <col min="13331" max="13331" width="10" style="2592" customWidth="1"/>
    <col min="13332" max="13332" width="26.08984375" style="2592" customWidth="1"/>
    <col min="13333" max="13568" width="8.90625" style="2592"/>
    <col min="13569" max="13569" width="9.453125" style="2592" customWidth="1"/>
    <col min="13570" max="13570" width="8.90625" style="2592"/>
    <col min="13571" max="13573" width="12.90625" style="2592" customWidth="1"/>
    <col min="13574" max="13574" width="47.453125" style="2592" customWidth="1"/>
    <col min="13575" max="13575" width="13" style="2592" customWidth="1"/>
    <col min="13576" max="13577" width="8.90625" style="2592"/>
    <col min="13578" max="13578" width="5.7265625" style="2592" customWidth="1"/>
    <col min="13579" max="13579" width="11.7265625" style="2592" customWidth="1"/>
    <col min="13580" max="13581" width="10.7265625" style="2592" customWidth="1"/>
    <col min="13582" max="13582" width="10" style="2592" customWidth="1"/>
    <col min="13583" max="13584" width="10.453125" style="2592" bestFit="1" customWidth="1"/>
    <col min="13585" max="13585" width="10" style="2592" customWidth="1"/>
    <col min="13586" max="13586" width="10.08984375" style="2592" customWidth="1"/>
    <col min="13587" max="13587" width="10" style="2592" customWidth="1"/>
    <col min="13588" max="13588" width="26.08984375" style="2592" customWidth="1"/>
    <col min="13589" max="13824" width="8.90625" style="2592"/>
    <col min="13825" max="13825" width="9.453125" style="2592" customWidth="1"/>
    <col min="13826" max="13826" width="8.90625" style="2592"/>
    <col min="13827" max="13829" width="12.90625" style="2592" customWidth="1"/>
    <col min="13830" max="13830" width="47.453125" style="2592" customWidth="1"/>
    <col min="13831" max="13831" width="13" style="2592" customWidth="1"/>
    <col min="13832" max="13833" width="8.90625" style="2592"/>
    <col min="13834" max="13834" width="5.7265625" style="2592" customWidth="1"/>
    <col min="13835" max="13835" width="11.7265625" style="2592" customWidth="1"/>
    <col min="13836" max="13837" width="10.7265625" style="2592" customWidth="1"/>
    <col min="13838" max="13838" width="10" style="2592" customWidth="1"/>
    <col min="13839" max="13840" width="10.453125" style="2592" bestFit="1" customWidth="1"/>
    <col min="13841" max="13841" width="10" style="2592" customWidth="1"/>
    <col min="13842" max="13842" width="10.08984375" style="2592" customWidth="1"/>
    <col min="13843" max="13843" width="10" style="2592" customWidth="1"/>
    <col min="13844" max="13844" width="26.08984375" style="2592" customWidth="1"/>
    <col min="13845" max="14080" width="8.90625" style="2592"/>
    <col min="14081" max="14081" width="9.453125" style="2592" customWidth="1"/>
    <col min="14082" max="14082" width="8.90625" style="2592"/>
    <col min="14083" max="14085" width="12.90625" style="2592" customWidth="1"/>
    <col min="14086" max="14086" width="47.453125" style="2592" customWidth="1"/>
    <col min="14087" max="14087" width="13" style="2592" customWidth="1"/>
    <col min="14088" max="14089" width="8.90625" style="2592"/>
    <col min="14090" max="14090" width="5.7265625" style="2592" customWidth="1"/>
    <col min="14091" max="14091" width="11.7265625" style="2592" customWidth="1"/>
    <col min="14092" max="14093" width="10.7265625" style="2592" customWidth="1"/>
    <col min="14094" max="14094" width="10" style="2592" customWidth="1"/>
    <col min="14095" max="14096" width="10.453125" style="2592" bestFit="1" customWidth="1"/>
    <col min="14097" max="14097" width="10" style="2592" customWidth="1"/>
    <col min="14098" max="14098" width="10.08984375" style="2592" customWidth="1"/>
    <col min="14099" max="14099" width="10" style="2592" customWidth="1"/>
    <col min="14100" max="14100" width="26.08984375" style="2592" customWidth="1"/>
    <col min="14101" max="14336" width="8.90625" style="2592"/>
    <col min="14337" max="14337" width="9.453125" style="2592" customWidth="1"/>
    <col min="14338" max="14338" width="8.90625" style="2592"/>
    <col min="14339" max="14341" width="12.90625" style="2592" customWidth="1"/>
    <col min="14342" max="14342" width="47.453125" style="2592" customWidth="1"/>
    <col min="14343" max="14343" width="13" style="2592" customWidth="1"/>
    <col min="14344" max="14345" width="8.90625" style="2592"/>
    <col min="14346" max="14346" width="5.7265625" style="2592" customWidth="1"/>
    <col min="14347" max="14347" width="11.7265625" style="2592" customWidth="1"/>
    <col min="14348" max="14349" width="10.7265625" style="2592" customWidth="1"/>
    <col min="14350" max="14350" width="10" style="2592" customWidth="1"/>
    <col min="14351" max="14352" width="10.453125" style="2592" bestFit="1" customWidth="1"/>
    <col min="14353" max="14353" width="10" style="2592" customWidth="1"/>
    <col min="14354" max="14354" width="10.08984375" style="2592" customWidth="1"/>
    <col min="14355" max="14355" width="10" style="2592" customWidth="1"/>
    <col min="14356" max="14356" width="26.08984375" style="2592" customWidth="1"/>
    <col min="14357" max="14592" width="8.90625" style="2592"/>
    <col min="14593" max="14593" width="9.453125" style="2592" customWidth="1"/>
    <col min="14594" max="14594" width="8.90625" style="2592"/>
    <col min="14595" max="14597" width="12.90625" style="2592" customWidth="1"/>
    <col min="14598" max="14598" width="47.453125" style="2592" customWidth="1"/>
    <col min="14599" max="14599" width="13" style="2592" customWidth="1"/>
    <col min="14600" max="14601" width="8.90625" style="2592"/>
    <col min="14602" max="14602" width="5.7265625" style="2592" customWidth="1"/>
    <col min="14603" max="14603" width="11.7265625" style="2592" customWidth="1"/>
    <col min="14604" max="14605" width="10.7265625" style="2592" customWidth="1"/>
    <col min="14606" max="14606" width="10" style="2592" customWidth="1"/>
    <col min="14607" max="14608" width="10.453125" style="2592" bestFit="1" customWidth="1"/>
    <col min="14609" max="14609" width="10" style="2592" customWidth="1"/>
    <col min="14610" max="14610" width="10.08984375" style="2592" customWidth="1"/>
    <col min="14611" max="14611" width="10" style="2592" customWidth="1"/>
    <col min="14612" max="14612" width="26.08984375" style="2592" customWidth="1"/>
    <col min="14613" max="14848" width="8.90625" style="2592"/>
    <col min="14849" max="14849" width="9.453125" style="2592" customWidth="1"/>
    <col min="14850" max="14850" width="8.90625" style="2592"/>
    <col min="14851" max="14853" width="12.90625" style="2592" customWidth="1"/>
    <col min="14854" max="14854" width="47.453125" style="2592" customWidth="1"/>
    <col min="14855" max="14855" width="13" style="2592" customWidth="1"/>
    <col min="14856" max="14857" width="8.90625" style="2592"/>
    <col min="14858" max="14858" width="5.7265625" style="2592" customWidth="1"/>
    <col min="14859" max="14859" width="11.7265625" style="2592" customWidth="1"/>
    <col min="14860" max="14861" width="10.7265625" style="2592" customWidth="1"/>
    <col min="14862" max="14862" width="10" style="2592" customWidth="1"/>
    <col min="14863" max="14864" width="10.453125" style="2592" bestFit="1" customWidth="1"/>
    <col min="14865" max="14865" width="10" style="2592" customWidth="1"/>
    <col min="14866" max="14866" width="10.08984375" style="2592" customWidth="1"/>
    <col min="14867" max="14867" width="10" style="2592" customWidth="1"/>
    <col min="14868" max="14868" width="26.08984375" style="2592" customWidth="1"/>
    <col min="14869" max="15104" width="8.90625" style="2592"/>
    <col min="15105" max="15105" width="9.453125" style="2592" customWidth="1"/>
    <col min="15106" max="15106" width="8.90625" style="2592"/>
    <col min="15107" max="15109" width="12.90625" style="2592" customWidth="1"/>
    <col min="15110" max="15110" width="47.453125" style="2592" customWidth="1"/>
    <col min="15111" max="15111" width="13" style="2592" customWidth="1"/>
    <col min="15112" max="15113" width="8.90625" style="2592"/>
    <col min="15114" max="15114" width="5.7265625" style="2592" customWidth="1"/>
    <col min="15115" max="15115" width="11.7265625" style="2592" customWidth="1"/>
    <col min="15116" max="15117" width="10.7265625" style="2592" customWidth="1"/>
    <col min="15118" max="15118" width="10" style="2592" customWidth="1"/>
    <col min="15119" max="15120" width="10.453125" style="2592" bestFit="1" customWidth="1"/>
    <col min="15121" max="15121" width="10" style="2592" customWidth="1"/>
    <col min="15122" max="15122" width="10.08984375" style="2592" customWidth="1"/>
    <col min="15123" max="15123" width="10" style="2592" customWidth="1"/>
    <col min="15124" max="15124" width="26.08984375" style="2592" customWidth="1"/>
    <col min="15125" max="15360" width="8.90625" style="2592"/>
    <col min="15361" max="15361" width="9.453125" style="2592" customWidth="1"/>
    <col min="15362" max="15362" width="8.90625" style="2592"/>
    <col min="15363" max="15365" width="12.90625" style="2592" customWidth="1"/>
    <col min="15366" max="15366" width="47.453125" style="2592" customWidth="1"/>
    <col min="15367" max="15367" width="13" style="2592" customWidth="1"/>
    <col min="15368" max="15369" width="8.90625" style="2592"/>
    <col min="15370" max="15370" width="5.7265625" style="2592" customWidth="1"/>
    <col min="15371" max="15371" width="11.7265625" style="2592" customWidth="1"/>
    <col min="15372" max="15373" width="10.7265625" style="2592" customWidth="1"/>
    <col min="15374" max="15374" width="10" style="2592" customWidth="1"/>
    <col min="15375" max="15376" width="10.453125" style="2592" bestFit="1" customWidth="1"/>
    <col min="15377" max="15377" width="10" style="2592" customWidth="1"/>
    <col min="15378" max="15378" width="10.08984375" style="2592" customWidth="1"/>
    <col min="15379" max="15379" width="10" style="2592" customWidth="1"/>
    <col min="15380" max="15380" width="26.08984375" style="2592" customWidth="1"/>
    <col min="15381" max="15616" width="8.90625" style="2592"/>
    <col min="15617" max="15617" width="9.453125" style="2592" customWidth="1"/>
    <col min="15618" max="15618" width="8.90625" style="2592"/>
    <col min="15619" max="15621" width="12.90625" style="2592" customWidth="1"/>
    <col min="15622" max="15622" width="47.453125" style="2592" customWidth="1"/>
    <col min="15623" max="15623" width="13" style="2592" customWidth="1"/>
    <col min="15624" max="15625" width="8.90625" style="2592"/>
    <col min="15626" max="15626" width="5.7265625" style="2592" customWidth="1"/>
    <col min="15627" max="15627" width="11.7265625" style="2592" customWidth="1"/>
    <col min="15628" max="15629" width="10.7265625" style="2592" customWidth="1"/>
    <col min="15630" max="15630" width="10" style="2592" customWidth="1"/>
    <col min="15631" max="15632" width="10.453125" style="2592" bestFit="1" customWidth="1"/>
    <col min="15633" max="15633" width="10" style="2592" customWidth="1"/>
    <col min="15634" max="15634" width="10.08984375" style="2592" customWidth="1"/>
    <col min="15635" max="15635" width="10" style="2592" customWidth="1"/>
    <col min="15636" max="15636" width="26.08984375" style="2592" customWidth="1"/>
    <col min="15637" max="15872" width="8.90625" style="2592"/>
    <col min="15873" max="15873" width="9.453125" style="2592" customWidth="1"/>
    <col min="15874" max="15874" width="8.90625" style="2592"/>
    <col min="15875" max="15877" width="12.90625" style="2592" customWidth="1"/>
    <col min="15878" max="15878" width="47.453125" style="2592" customWidth="1"/>
    <col min="15879" max="15879" width="13" style="2592" customWidth="1"/>
    <col min="15880" max="15881" width="8.90625" style="2592"/>
    <col min="15882" max="15882" width="5.7265625" style="2592" customWidth="1"/>
    <col min="15883" max="15883" width="11.7265625" style="2592" customWidth="1"/>
    <col min="15884" max="15885" width="10.7265625" style="2592" customWidth="1"/>
    <col min="15886" max="15886" width="10" style="2592" customWidth="1"/>
    <col min="15887" max="15888" width="10.453125" style="2592" bestFit="1" customWidth="1"/>
    <col min="15889" max="15889" width="10" style="2592" customWidth="1"/>
    <col min="15890" max="15890" width="10.08984375" style="2592" customWidth="1"/>
    <col min="15891" max="15891" width="10" style="2592" customWidth="1"/>
    <col min="15892" max="15892" width="26.08984375" style="2592" customWidth="1"/>
    <col min="15893" max="16128" width="8.90625" style="2592"/>
    <col min="16129" max="16129" width="9.453125" style="2592" customWidth="1"/>
    <col min="16130" max="16130" width="8.90625" style="2592"/>
    <col min="16131" max="16133" width="12.90625" style="2592" customWidth="1"/>
    <col min="16134" max="16134" width="47.453125" style="2592" customWidth="1"/>
    <col min="16135" max="16135" width="13" style="2592" customWidth="1"/>
    <col min="16136" max="16137" width="8.90625" style="2592"/>
    <col min="16138" max="16138" width="5.7265625" style="2592" customWidth="1"/>
    <col min="16139" max="16139" width="11.7265625" style="2592" customWidth="1"/>
    <col min="16140" max="16141" width="10.7265625" style="2592" customWidth="1"/>
    <col min="16142" max="16142" width="10" style="2592" customWidth="1"/>
    <col min="16143" max="16144" width="10.453125" style="2592" bestFit="1" customWidth="1"/>
    <col min="16145" max="16145" width="10" style="2592" customWidth="1"/>
    <col min="16146" max="16146" width="10.08984375" style="2592" customWidth="1"/>
    <col min="16147" max="16147" width="10" style="2592" customWidth="1"/>
    <col min="16148" max="16148" width="26.08984375" style="2592" customWidth="1"/>
    <col min="16149" max="16384" width="8.9062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15" customHeight="1">
      <c r="A2" s="1293" t="s">
        <v>2315</v>
      </c>
      <c r="B2" s="2593" t="e">
        <f>IF(D2="——",C40,C40+E2)</f>
        <v>#DIV/0!</v>
      </c>
      <c r="C2" s="2594" t="s">
        <v>2316</v>
      </c>
      <c r="D2" s="3137" t="s">
        <v>3357</v>
      </c>
      <c r="E2" s="3138"/>
      <c r="F2" s="2596"/>
      <c r="G2" s="2597"/>
      <c r="H2" s="2598"/>
      <c r="I2" s="2599"/>
      <c r="J2" s="3419" t="s">
        <v>2317</v>
      </c>
      <c r="K2" s="3420"/>
      <c r="L2" s="2600" t="s">
        <v>2318</v>
      </c>
      <c r="M2" s="2600" t="s">
        <v>2319</v>
      </c>
      <c r="N2" s="2600" t="s">
        <v>2320</v>
      </c>
      <c r="O2" s="2600" t="s">
        <v>2321</v>
      </c>
      <c r="P2" s="2600" t="s">
        <v>2322</v>
      </c>
      <c r="Q2" s="2601" t="s">
        <v>2323</v>
      </c>
      <c r="R2" s="2602" t="s">
        <v>2324</v>
      </c>
      <c r="S2" s="2591"/>
      <c r="T2" s="2591"/>
      <c r="U2" s="2591"/>
      <c r="V2" s="2599"/>
    </row>
    <row r="3" spans="1:22" s="2603" customFormat="1" ht="13.15" customHeight="1">
      <c r="A3" s="2604" t="s">
        <v>2325</v>
      </c>
      <c r="B3" s="2605" t="e">
        <f>ROUND(B2*10000/B4,0)</f>
        <v>#DIV/0!</v>
      </c>
      <c r="C3" s="2594" t="s">
        <v>2326</v>
      </c>
      <c r="D3" s="2594"/>
      <c r="E3" s="2595"/>
      <c r="F3" s="2596"/>
      <c r="G3" s="2597"/>
      <c r="H3" s="2598"/>
      <c r="I3" s="2599"/>
      <c r="J3" s="3421" t="s">
        <v>2327</v>
      </c>
      <c r="K3" s="3422"/>
      <c r="L3" s="2606"/>
      <c r="M3" s="2606"/>
      <c r="N3" s="2606"/>
      <c r="O3" s="2606"/>
      <c r="P3" s="2606"/>
      <c r="Q3" s="2607"/>
      <c r="R3" s="2608">
        <f>SUM(L3:Q3)</f>
        <v>0</v>
      </c>
      <c r="S3" s="2591"/>
      <c r="T3" s="2591"/>
      <c r="U3" s="2591"/>
      <c r="V3" s="2599"/>
    </row>
    <row r="4" spans="1:22" s="2603" customFormat="1" ht="13.15" customHeight="1">
      <c r="A4" s="2609" t="s">
        <v>2328</v>
      </c>
      <c r="B4" s="2610"/>
      <c r="C4" s="2594"/>
      <c r="D4" s="2594"/>
      <c r="E4" s="2595"/>
      <c r="F4" s="2596"/>
      <c r="G4" s="2597"/>
      <c r="H4" s="2598"/>
      <c r="I4" s="2599"/>
      <c r="J4" s="3421" t="s">
        <v>2329</v>
      </c>
      <c r="K4" s="3422"/>
      <c r="L4" s="2611"/>
      <c r="M4" s="2611"/>
      <c r="N4" s="2611"/>
      <c r="O4" s="2611"/>
      <c r="P4" s="2611"/>
      <c r="Q4" s="2612"/>
      <c r="R4" s="2613">
        <f>SUM(L4:Q4)</f>
        <v>0</v>
      </c>
      <c r="S4" s="2591"/>
      <c r="T4" s="2591"/>
      <c r="U4" s="2591"/>
      <c r="V4" s="2599"/>
    </row>
    <row r="5" spans="1:22" s="2603" customFormat="1" ht="13.15"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15" customHeight="1" thickBot="1">
      <c r="A6" s="3423" t="s">
        <v>2333</v>
      </c>
      <c r="B6" s="3424"/>
      <c r="C6" s="3425"/>
      <c r="D6" s="2620"/>
      <c r="E6" s="2621"/>
      <c r="F6" s="2622"/>
      <c r="G6" s="2623"/>
      <c r="H6" s="2598"/>
      <c r="I6" s="2599"/>
      <c r="J6" s="3426">
        <v>1</v>
      </c>
      <c r="K6" s="3427"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15" customHeight="1">
      <c r="A7" s="2626" t="s">
        <v>2343</v>
      </c>
      <c r="B7" s="2627"/>
      <c r="C7" s="2628"/>
      <c r="D7" s="2629">
        <f>SUM(D9,D10,D11,D17,0)</f>
        <v>0</v>
      </c>
      <c r="E7" s="2630" t="e">
        <f>E9+E10+E11+E17</f>
        <v>#DIV/0!</v>
      </c>
      <c r="F7" s="2631"/>
      <c r="G7" s="2632"/>
      <c r="H7" s="2598"/>
      <c r="I7" s="2599"/>
      <c r="J7" s="3426"/>
      <c r="K7" s="3428"/>
      <c r="L7" s="2633" t="s">
        <v>2344</v>
      </c>
      <c r="M7" s="2634"/>
      <c r="N7" s="2610"/>
      <c r="O7" s="2635"/>
      <c r="P7" s="2635"/>
      <c r="Q7" s="2636">
        <v>365</v>
      </c>
      <c r="R7" s="2637">
        <f>ROUND(M7*N7*O7*P7*Q7/10000,0)</f>
        <v>0</v>
      </c>
      <c r="S7" s="2591"/>
      <c r="T7" s="2591" t="s">
        <v>2345</v>
      </c>
      <c r="U7" s="2591"/>
      <c r="V7" s="2599"/>
    </row>
    <row r="8" spans="1:22" s="2603" customFormat="1" ht="13.15" customHeight="1">
      <c r="A8" s="2638" t="s">
        <v>2346</v>
      </c>
      <c r="B8" s="3430" t="s">
        <v>2347</v>
      </c>
      <c r="C8" s="3431"/>
      <c r="D8" s="2639" t="s">
        <v>2348</v>
      </c>
      <c r="E8" s="2640" t="s">
        <v>2349</v>
      </c>
      <c r="F8" s="2641" t="s">
        <v>2350</v>
      </c>
      <c r="G8" s="2642"/>
      <c r="H8" s="2598"/>
      <c r="I8" s="2599"/>
      <c r="J8" s="3426"/>
      <c r="K8" s="3428"/>
      <c r="L8" s="2633" t="s">
        <v>2351</v>
      </c>
      <c r="M8" s="2634"/>
      <c r="N8" s="2610"/>
      <c r="O8" s="2635"/>
      <c r="P8" s="2635"/>
      <c r="Q8" s="2636">
        <v>365</v>
      </c>
      <c r="R8" s="2637">
        <f t="shared" ref="R8:R13" si="0">ROUND(M8*N8*O8*P8*Q8/10000,0)</f>
        <v>0</v>
      </c>
      <c r="S8" s="2591"/>
      <c r="T8" s="2591" t="s">
        <v>2352</v>
      </c>
      <c r="U8" s="2591"/>
      <c r="V8" s="2599"/>
    </row>
    <row r="9" spans="1:22" s="2603" customFormat="1" ht="13.15" customHeight="1">
      <c r="A9" s="2638">
        <v>1</v>
      </c>
      <c r="B9" s="3430" t="s">
        <v>2353</v>
      </c>
      <c r="C9" s="3431"/>
      <c r="D9" s="2639">
        <f>ROUND(D6*E9,0)</f>
        <v>0</v>
      </c>
      <c r="E9" s="2643"/>
      <c r="F9" s="2644" t="s">
        <v>2354</v>
      </c>
      <c r="G9" s="2623"/>
      <c r="H9" s="2598"/>
      <c r="I9" s="2599"/>
      <c r="J9" s="3426"/>
      <c r="K9" s="3428"/>
      <c r="L9" s="2633" t="s">
        <v>2355</v>
      </c>
      <c r="M9" s="2634"/>
      <c r="N9" s="2610"/>
      <c r="O9" s="2635"/>
      <c r="P9" s="2635"/>
      <c r="Q9" s="2636">
        <v>365</v>
      </c>
      <c r="R9" s="2637">
        <f t="shared" si="0"/>
        <v>0</v>
      </c>
      <c r="S9" s="2591"/>
      <c r="T9" s="2591"/>
      <c r="U9" s="2591"/>
      <c r="V9" s="2599"/>
    </row>
    <row r="10" spans="1:22" s="2603" customFormat="1" ht="13.15" customHeight="1">
      <c r="A10" s="2638">
        <v>2</v>
      </c>
      <c r="B10" s="3430" t="s">
        <v>2356</v>
      </c>
      <c r="C10" s="3431"/>
      <c r="D10" s="2639">
        <f>ROUND(D6*E10,0)</f>
        <v>0</v>
      </c>
      <c r="E10" s="2643"/>
      <c r="F10" s="2644" t="s">
        <v>2357</v>
      </c>
      <c r="G10" s="2623"/>
      <c r="H10" s="2598"/>
      <c r="I10" s="2599"/>
      <c r="J10" s="3426"/>
      <c r="K10" s="3428"/>
      <c r="L10" s="2633" t="s">
        <v>2358</v>
      </c>
      <c r="M10" s="2634"/>
      <c r="N10" s="2610"/>
      <c r="O10" s="2635"/>
      <c r="P10" s="2635"/>
      <c r="Q10" s="2636">
        <v>365</v>
      </c>
      <c r="R10" s="2637">
        <f t="shared" si="0"/>
        <v>0</v>
      </c>
      <c r="S10" s="2591"/>
      <c r="T10" s="2591"/>
      <c r="U10" s="2591"/>
      <c r="V10" s="2599"/>
    </row>
    <row r="11" spans="1:22" s="2603" customFormat="1" ht="13.15" customHeight="1">
      <c r="A11" s="2638">
        <v>3</v>
      </c>
      <c r="B11" s="3430" t="s">
        <v>2359</v>
      </c>
      <c r="C11" s="3431"/>
      <c r="D11" s="2639">
        <f>D12+D14+D15+D16</f>
        <v>0</v>
      </c>
      <c r="E11" s="2645" t="e">
        <f>D11/D6</f>
        <v>#DIV/0!</v>
      </c>
      <c r="F11" s="2641"/>
      <c r="G11" s="2642"/>
      <c r="H11" s="2598"/>
      <c r="I11" s="2599"/>
      <c r="J11" s="3426"/>
      <c r="K11" s="3428"/>
      <c r="L11" s="2633" t="s">
        <v>2360</v>
      </c>
      <c r="M11" s="2634"/>
      <c r="N11" s="2610"/>
      <c r="O11" s="2635"/>
      <c r="P11" s="2635"/>
      <c r="Q11" s="2636">
        <v>365</v>
      </c>
      <c r="R11" s="2637">
        <f t="shared" si="0"/>
        <v>0</v>
      </c>
      <c r="S11" s="2591"/>
      <c r="T11" s="2591"/>
      <c r="U11" s="2591"/>
      <c r="V11" s="2599"/>
    </row>
    <row r="12" spans="1:22" s="2603" customFormat="1" ht="13.15" customHeight="1">
      <c r="A12" s="2646" t="s">
        <v>2361</v>
      </c>
      <c r="B12" s="3432" t="s">
        <v>2362</v>
      </c>
      <c r="C12" s="3433"/>
      <c r="D12" s="2647">
        <f>ROUND(D13*1.2%*(1-30%),0)</f>
        <v>0</v>
      </c>
      <c r="E12" s="2648">
        <v>1.2E-2</v>
      </c>
      <c r="F12" s="2641" t="s">
        <v>2363</v>
      </c>
      <c r="G12" s="2642"/>
      <c r="H12" s="2598"/>
      <c r="I12" s="2599"/>
      <c r="J12" s="3426"/>
      <c r="K12" s="3428"/>
      <c r="L12" s="2633" t="s">
        <v>2364</v>
      </c>
      <c r="M12" s="2634"/>
      <c r="N12" s="2610"/>
      <c r="O12" s="2635"/>
      <c r="P12" s="2635"/>
      <c r="Q12" s="2636">
        <v>365</v>
      </c>
      <c r="R12" s="2637">
        <f t="shared" si="0"/>
        <v>0</v>
      </c>
      <c r="S12" s="2591"/>
      <c r="T12" s="2591"/>
      <c r="U12" s="2591"/>
      <c r="V12" s="2599"/>
    </row>
    <row r="13" spans="1:22" s="2603" customFormat="1" ht="13.15" customHeight="1">
      <c r="A13" s="2646"/>
      <c r="B13" s="2649"/>
      <c r="C13" s="2650" t="s">
        <v>2365</v>
      </c>
      <c r="D13" s="2651"/>
      <c r="E13" s="2652"/>
      <c r="F13" s="2641"/>
      <c r="G13" s="2642"/>
      <c r="H13" s="2598"/>
      <c r="I13" s="2599"/>
      <c r="J13" s="3426"/>
      <c r="K13" s="3428"/>
      <c r="L13" s="2633" t="s">
        <v>2366</v>
      </c>
      <c r="M13" s="2634"/>
      <c r="N13" s="2610"/>
      <c r="O13" s="2635"/>
      <c r="P13" s="2635"/>
      <c r="Q13" s="2636">
        <v>365</v>
      </c>
      <c r="R13" s="2637">
        <f t="shared" si="0"/>
        <v>0</v>
      </c>
      <c r="S13" s="2591"/>
      <c r="T13" s="2591"/>
      <c r="U13" s="2591"/>
      <c r="V13" s="2599"/>
    </row>
    <row r="14" spans="1:22" s="2603" customFormat="1" ht="13.15" customHeight="1">
      <c r="A14" s="2646" t="s">
        <v>2367</v>
      </c>
      <c r="B14" s="3432" t="s">
        <v>2368</v>
      </c>
      <c r="C14" s="3433"/>
      <c r="D14" s="2647">
        <f>ROUND(E14*B5/10000,0)</f>
        <v>0</v>
      </c>
      <c r="E14" s="2636"/>
      <c r="F14" s="2641" t="s">
        <v>2369</v>
      </c>
      <c r="G14" s="2642"/>
      <c r="H14" s="2598"/>
      <c r="I14" s="2599"/>
      <c r="J14" s="3426"/>
      <c r="K14" s="3429"/>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15" customHeight="1">
      <c r="A15" s="2646" t="s">
        <v>2371</v>
      </c>
      <c r="B15" s="3432" t="s">
        <v>2372</v>
      </c>
      <c r="C15" s="3433"/>
      <c r="D15" s="2647">
        <f>ROUND(D6*E15,0)</f>
        <v>0</v>
      </c>
      <c r="E15" s="2648">
        <v>5.5E-2</v>
      </c>
      <c r="F15" s="2641" t="s">
        <v>2373</v>
      </c>
      <c r="G15" s="2623"/>
      <c r="H15" s="2598"/>
      <c r="I15" s="2599"/>
      <c r="J15" s="3426">
        <v>2</v>
      </c>
      <c r="K15" s="3427"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15" customHeight="1">
      <c r="A16" s="2646" t="s">
        <v>2380</v>
      </c>
      <c r="B16" s="3432" t="s">
        <v>2381</v>
      </c>
      <c r="C16" s="3433"/>
      <c r="D16" s="2658">
        <f>D6*E16</f>
        <v>0</v>
      </c>
      <c r="E16" s="2659"/>
      <c r="F16" s="2644" t="s">
        <v>2382</v>
      </c>
      <c r="G16" s="2623"/>
      <c r="H16" s="2598"/>
      <c r="I16" s="2599"/>
      <c r="J16" s="3426"/>
      <c r="K16" s="3428"/>
      <c r="L16" s="2633" t="s">
        <v>2383</v>
      </c>
      <c r="M16" s="2634"/>
      <c r="N16" s="2634"/>
      <c r="O16" s="2635"/>
      <c r="P16" s="2636">
        <v>365</v>
      </c>
      <c r="Q16" s="2610"/>
      <c r="R16" s="2657">
        <f>ROUND(M16*N16*O16*P16/10000,0)</f>
        <v>0</v>
      </c>
      <c r="S16" s="2591"/>
      <c r="T16" s="2591"/>
      <c r="U16" s="2591"/>
      <c r="V16" s="2599"/>
    </row>
    <row r="17" spans="1:22" s="2603" customFormat="1" ht="13.15" customHeight="1" thickBot="1">
      <c r="A17" s="2660">
        <v>4</v>
      </c>
      <c r="B17" s="3434" t="s">
        <v>2384</v>
      </c>
      <c r="C17" s="3435"/>
      <c r="D17" s="2661">
        <f>ROUND(D6*E17,0)</f>
        <v>0</v>
      </c>
      <c r="E17" s="2662"/>
      <c r="F17" s="2663" t="s">
        <v>2385</v>
      </c>
      <c r="G17" s="2623"/>
      <c r="H17" s="2598"/>
      <c r="I17" s="2599"/>
      <c r="J17" s="3426"/>
      <c r="K17" s="3428"/>
      <c r="L17" s="2633" t="s">
        <v>2386</v>
      </c>
      <c r="M17" s="2634"/>
      <c r="N17" s="2634"/>
      <c r="O17" s="2635"/>
      <c r="P17" s="2636">
        <v>365</v>
      </c>
      <c r="Q17" s="2610"/>
      <c r="R17" s="2657">
        <f>ROUND(M17*N17*O17*P17/10000,0)</f>
        <v>0</v>
      </c>
      <c r="S17" s="2591"/>
      <c r="T17" s="2591"/>
      <c r="U17" s="2591"/>
      <c r="V17" s="2599"/>
    </row>
    <row r="18" spans="1:22" s="2603" customFormat="1" ht="13.15" customHeight="1" thickBot="1">
      <c r="A18" s="2626" t="s">
        <v>2387</v>
      </c>
      <c r="B18" s="2627"/>
      <c r="C18" s="2627"/>
      <c r="D18" s="2664">
        <f>ROUND(D6*E18,0)</f>
        <v>0</v>
      </c>
      <c r="E18" s="2665"/>
      <c r="F18" s="2666" t="s">
        <v>2388</v>
      </c>
      <c r="G18" s="2623"/>
      <c r="H18" s="2598"/>
      <c r="I18" s="2599"/>
      <c r="J18" s="3426"/>
      <c r="K18" s="3428"/>
      <c r="L18" s="2633" t="s">
        <v>2389</v>
      </c>
      <c r="M18" s="2634"/>
      <c r="N18" s="2634"/>
      <c r="O18" s="2635"/>
      <c r="P18" s="2636">
        <v>365</v>
      </c>
      <c r="Q18" s="2610"/>
      <c r="R18" s="2657">
        <f>ROUND(M18*N18*O18*P18/10000,0)</f>
        <v>0</v>
      </c>
      <c r="S18" s="2591"/>
      <c r="T18" s="2591"/>
      <c r="U18" s="2591"/>
      <c r="V18" s="2599"/>
    </row>
    <row r="19" spans="1:22" s="2603" customFormat="1" ht="13.15" customHeight="1" thickBot="1">
      <c r="A19" s="2667" t="s">
        <v>2390</v>
      </c>
      <c r="B19" s="2621"/>
      <c r="C19" s="2621"/>
      <c r="D19" s="2621"/>
      <c r="E19" s="2621"/>
      <c r="F19" s="2622"/>
      <c r="G19" s="2642"/>
      <c r="H19" s="2598"/>
      <c r="I19" s="2599"/>
      <c r="J19" s="3426"/>
      <c r="K19" s="3429"/>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15" customHeight="1">
      <c r="A20" s="2626"/>
      <c r="B20" s="2627"/>
      <c r="C20" s="2627"/>
      <c r="D20" s="2627"/>
      <c r="E20" s="2627"/>
      <c r="F20" s="2670"/>
      <c r="G20" s="2642"/>
      <c r="H20" s="2598"/>
      <c r="I20" s="2599"/>
      <c r="J20" s="3426">
        <v>3</v>
      </c>
      <c r="K20" s="3427"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15" customHeight="1">
      <c r="A21" s="2626"/>
      <c r="B21" s="2627"/>
      <c r="C21" s="2672" t="s">
        <v>2399</v>
      </c>
      <c r="D21" s="2673" t="s">
        <v>2400</v>
      </c>
      <c r="E21" s="2674" t="s">
        <v>2401</v>
      </c>
      <c r="F21" s="2670"/>
      <c r="G21" s="2642"/>
      <c r="H21" s="2598"/>
      <c r="I21" s="2599"/>
      <c r="J21" s="3426"/>
      <c r="K21" s="3428"/>
      <c r="L21" s="2633" t="s">
        <v>2402</v>
      </c>
      <c r="M21" s="2634"/>
      <c r="N21" s="2634"/>
      <c r="O21" s="2635"/>
      <c r="P21" s="2636">
        <v>365</v>
      </c>
      <c r="Q21" s="2610"/>
      <c r="R21" s="2675">
        <f>ROUND(M21*N21*O21*P21/10000,0)</f>
        <v>0</v>
      </c>
      <c r="S21" s="2591"/>
      <c r="T21" s="2591"/>
      <c r="U21" s="2591"/>
      <c r="V21" s="2599"/>
    </row>
    <row r="22" spans="1:22" s="2603" customFormat="1" ht="13.15" customHeight="1">
      <c r="A22" s="2626"/>
      <c r="B22" s="2627"/>
      <c r="C22" s="2676" t="s">
        <v>2403</v>
      </c>
      <c r="D22" s="2677" t="s">
        <v>2404</v>
      </c>
      <c r="E22" s="2678" t="s">
        <v>2405</v>
      </c>
      <c r="F22" s="2670"/>
      <c r="G22" s="2591"/>
      <c r="H22" s="2598"/>
      <c r="I22" s="2599"/>
      <c r="J22" s="3426"/>
      <c r="K22" s="3428"/>
      <c r="L22" s="2633" t="s">
        <v>2406</v>
      </c>
      <c r="M22" s="2634"/>
      <c r="N22" s="2634"/>
      <c r="O22" s="2635"/>
      <c r="P22" s="2636">
        <v>365</v>
      </c>
      <c r="Q22" s="2610"/>
      <c r="R22" s="2675">
        <f>ROUND(M22*N22*O22*P22/10000,0)</f>
        <v>0</v>
      </c>
      <c r="S22" s="2591"/>
      <c r="T22" s="2591"/>
      <c r="U22" s="2591"/>
      <c r="V22" s="2599"/>
    </row>
    <row r="23" spans="1:22" s="2603" customFormat="1" ht="13.15" customHeight="1">
      <c r="A23" s="2679">
        <v>1</v>
      </c>
      <c r="B23" s="2680" t="s">
        <v>2407</v>
      </c>
      <c r="C23" s="2681">
        <f>D6</f>
        <v>0</v>
      </c>
      <c r="D23" s="2682">
        <f>C23*(1+D24)</f>
        <v>0</v>
      </c>
      <c r="E23" s="2683">
        <f>D23*(1+E24)</f>
        <v>0</v>
      </c>
      <c r="F23" s="2684"/>
      <c r="G23" s="2685"/>
      <c r="H23" s="2598"/>
      <c r="I23" s="2599"/>
      <c r="J23" s="3426"/>
      <c r="K23" s="3428"/>
      <c r="L23" s="2633" t="s">
        <v>2408</v>
      </c>
      <c r="M23" s="2634"/>
      <c r="N23" s="2634"/>
      <c r="O23" s="2635"/>
      <c r="P23" s="2636">
        <v>365</v>
      </c>
      <c r="Q23" s="2610"/>
      <c r="R23" s="2675">
        <f>ROUND(M23*N23*O23*P23/10000,0)</f>
        <v>0</v>
      </c>
      <c r="S23" s="2591"/>
      <c r="T23" s="2591"/>
      <c r="U23" s="2591"/>
      <c r="V23" s="2599"/>
    </row>
    <row r="24" spans="1:22" s="2603" customFormat="1" ht="13.15" customHeight="1">
      <c r="A24" s="2686"/>
      <c r="B24" s="2687" t="s">
        <v>2409</v>
      </c>
      <c r="C24" s="2688"/>
      <c r="D24" s="2689"/>
      <c r="E24" s="2690"/>
      <c r="F24" s="2691"/>
      <c r="G24" s="2685"/>
      <c r="H24" s="2598"/>
      <c r="I24" s="2599"/>
      <c r="J24" s="3426"/>
      <c r="K24" s="3429"/>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15"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15" customHeight="1">
      <c r="A26" s="2679">
        <v>2</v>
      </c>
      <c r="B26" s="2680" t="s">
        <v>2411</v>
      </c>
      <c r="C26" s="2681">
        <f>D7</f>
        <v>0</v>
      </c>
      <c r="D26" s="2682">
        <f>D23*D27</f>
        <v>0</v>
      </c>
      <c r="E26" s="2683">
        <f>E23*E27</f>
        <v>0</v>
      </c>
      <c r="F26" s="2684"/>
      <c r="G26" s="2685"/>
      <c r="H26" s="2598"/>
      <c r="I26" s="2599"/>
      <c r="J26" s="3436">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15" customHeight="1">
      <c r="A27" s="2686"/>
      <c r="B27" s="2687" t="s">
        <v>2417</v>
      </c>
      <c r="C27" s="2704" t="e">
        <f>E7</f>
        <v>#DIV/0!</v>
      </c>
      <c r="D27" s="2689"/>
      <c r="E27" s="2690"/>
      <c r="F27" s="2691"/>
      <c r="G27" s="2685"/>
      <c r="H27" s="2705"/>
      <c r="I27" s="2697"/>
      <c r="J27" s="3437"/>
      <c r="K27" s="2706"/>
      <c r="L27" s="2707"/>
      <c r="M27" s="2708"/>
      <c r="N27" s="2709"/>
      <c r="O27" s="2709"/>
      <c r="P27" s="2709"/>
      <c r="Q27" s="2710"/>
      <c r="R27" s="2669">
        <f>ROUND(O27*N27*P27*(1-Q27)/10000,0)</f>
        <v>0</v>
      </c>
      <c r="S27" s="2591"/>
      <c r="T27" s="2591"/>
      <c r="U27" s="2591"/>
      <c r="V27" s="2599"/>
    </row>
    <row r="28" spans="1:22" s="2698" customFormat="1" ht="13.15"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15"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15"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15"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15" customHeight="1">
      <c r="A32" s="2679">
        <v>4</v>
      </c>
      <c r="B32" s="2680" t="s">
        <v>2425</v>
      </c>
      <c r="C32" s="2681">
        <f>C23-C26-C29</f>
        <v>0</v>
      </c>
      <c r="D32" s="2682">
        <f>D23-D26-D29</f>
        <v>0</v>
      </c>
      <c r="E32" s="2683">
        <f>E23-E26-E29</f>
        <v>0</v>
      </c>
      <c r="F32" s="2684"/>
      <c r="G32" s="2591"/>
      <c r="H32" s="2598"/>
      <c r="I32" s="2599"/>
      <c r="J32" s="3419" t="s">
        <v>2317</v>
      </c>
      <c r="K32" s="3420"/>
      <c r="L32" s="2600" t="s">
        <v>2318</v>
      </c>
      <c r="M32" s="2600" t="s">
        <v>2319</v>
      </c>
      <c r="N32" s="2600" t="s">
        <v>2320</v>
      </c>
      <c r="O32" s="2600" t="s">
        <v>2321</v>
      </c>
      <c r="P32" s="2600" t="s">
        <v>2322</v>
      </c>
      <c r="Q32" s="2601" t="s">
        <v>2323</v>
      </c>
      <c r="R32" s="2720" t="s">
        <v>2324</v>
      </c>
      <c r="S32" s="2591"/>
      <c r="T32" s="2591"/>
      <c r="U32" s="2591"/>
      <c r="V32" s="2697"/>
    </row>
    <row r="33" spans="1:23" s="2603" customFormat="1" ht="13.15" customHeight="1">
      <c r="A33" s="2679"/>
      <c r="B33" s="2680"/>
      <c r="C33" s="2681"/>
      <c r="D33" s="2721"/>
      <c r="E33" s="2722"/>
      <c r="F33" s="2684"/>
      <c r="G33" s="2591"/>
      <c r="H33" s="2705"/>
      <c r="I33" s="2697"/>
      <c r="J33" s="3421" t="s">
        <v>2327</v>
      </c>
      <c r="K33" s="3422"/>
      <c r="L33" s="2606"/>
      <c r="M33" s="2606"/>
      <c r="N33" s="2606"/>
      <c r="O33" s="2606"/>
      <c r="P33" s="2606"/>
      <c r="Q33" s="2607"/>
      <c r="R33" s="2723">
        <f>SUM(L33:Q33)</f>
        <v>0</v>
      </c>
      <c r="S33" s="2591"/>
      <c r="T33" s="2591"/>
      <c r="U33" s="2591"/>
      <c r="V33" s="2599"/>
    </row>
    <row r="34" spans="1:23" s="2603" customFormat="1" ht="13.15" customHeight="1">
      <c r="A34" s="2679">
        <v>5</v>
      </c>
      <c r="B34" s="2680" t="s">
        <v>2426</v>
      </c>
      <c r="C34" s="2724"/>
      <c r="D34" s="2725"/>
      <c r="E34" s="2726"/>
      <c r="F34" s="2684"/>
      <c r="G34" s="2591"/>
      <c r="H34" s="2705"/>
      <c r="I34" s="2697"/>
      <c r="J34" s="3421" t="s">
        <v>2329</v>
      </c>
      <c r="K34" s="3422"/>
      <c r="L34" s="2611"/>
      <c r="M34" s="2611"/>
      <c r="N34" s="2611"/>
      <c r="O34" s="2611"/>
      <c r="P34" s="2611"/>
      <c r="Q34" s="2612"/>
      <c r="R34" s="2727">
        <f>SUM(L34:Q34)</f>
        <v>0</v>
      </c>
      <c r="S34" s="2591"/>
      <c r="T34" s="2591"/>
      <c r="U34" s="2591" t="e">
        <f>ROUND(R35*10000/365/R33,1)</f>
        <v>#DIV/0!</v>
      </c>
      <c r="V34" s="2599"/>
    </row>
    <row r="35" spans="1:23" s="2603" customFormat="1" ht="13.15"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15" customHeight="1" thickBot="1">
      <c r="A36" s="2679">
        <v>7</v>
      </c>
      <c r="B36" s="2733" t="s">
        <v>2428</v>
      </c>
      <c r="C36" s="2734"/>
      <c r="D36" s="2735"/>
      <c r="E36" s="2736"/>
      <c r="F36" s="2737">
        <f>C36+D36+E36</f>
        <v>0</v>
      </c>
      <c r="G36" s="2591"/>
      <c r="H36" s="2598"/>
      <c r="I36" s="2599"/>
      <c r="J36" s="3426">
        <v>1</v>
      </c>
      <c r="K36" s="3427" t="s">
        <v>2429</v>
      </c>
      <c r="L36" s="2624"/>
      <c r="M36" s="2625"/>
      <c r="N36" s="2625"/>
      <c r="O36" s="2625"/>
      <c r="P36" s="2625"/>
      <c r="Q36" s="2625"/>
      <c r="R36" s="2608" t="s">
        <v>2341</v>
      </c>
      <c r="S36" s="2591"/>
      <c r="T36" s="2591" t="s">
        <v>2342</v>
      </c>
      <c r="U36" s="2591"/>
      <c r="V36" s="2599"/>
    </row>
    <row r="37" spans="1:23" s="2603" customFormat="1" ht="13.15" customHeight="1">
      <c r="A37" s="2679"/>
      <c r="B37" s="2680"/>
      <c r="C37" s="2680"/>
      <c r="D37" s="2680"/>
      <c r="E37" s="2680"/>
      <c r="F37" s="2684"/>
      <c r="G37" s="2591"/>
      <c r="H37" s="2598"/>
      <c r="I37" s="2599"/>
      <c r="J37" s="3426"/>
      <c r="K37" s="3428"/>
      <c r="L37" s="2633"/>
      <c r="M37" s="2634"/>
      <c r="N37" s="2610"/>
      <c r="O37" s="2635"/>
      <c r="P37" s="2635"/>
      <c r="Q37" s="2636"/>
      <c r="R37" s="2637"/>
      <c r="S37" s="2591"/>
      <c r="T37" s="2591" t="s">
        <v>2345</v>
      </c>
      <c r="U37" s="2591"/>
      <c r="V37" s="2599"/>
    </row>
    <row r="38" spans="1:23" s="2603" customFormat="1" ht="13.15" customHeight="1">
      <c r="A38" s="2679">
        <v>8</v>
      </c>
      <c r="B38" s="2680"/>
      <c r="C38" s="2639" t="e">
        <f>ROUND(C32*(1-((1+C35)/(1+C34))^C36)/(C34-C35),0)</f>
        <v>#DIV/0!</v>
      </c>
      <c r="D38" s="2639">
        <f>IF(D23=0,0,ROUND(D32*(1-((1+D35)/(1+D34))^D36)/(D34-D35),0))</f>
        <v>0</v>
      </c>
      <c r="E38" s="2639">
        <f>IF(E23=0,0,ROUND(E32*(1-((1+E35)/(1+E34))^E36)/(E34-E35),0))</f>
        <v>0</v>
      </c>
      <c r="F38" s="2684"/>
      <c r="G38" s="2591"/>
      <c r="H38" s="2598"/>
      <c r="I38" s="2599"/>
      <c r="J38" s="3426"/>
      <c r="K38" s="3428"/>
      <c r="L38" s="2633"/>
      <c r="M38" s="2634"/>
      <c r="N38" s="2610"/>
      <c r="O38" s="2635"/>
      <c r="P38" s="2635"/>
      <c r="Q38" s="2636"/>
      <c r="R38" s="2637"/>
      <c r="S38" s="2591"/>
      <c r="T38" s="2591" t="s">
        <v>2352</v>
      </c>
      <c r="U38" s="2591"/>
      <c r="V38" s="2599"/>
    </row>
    <row r="39" spans="1:23" s="2603" customFormat="1" ht="13.15" customHeight="1">
      <c r="A39" s="2679">
        <v>9</v>
      </c>
      <c r="B39" s="2680" t="s">
        <v>2430</v>
      </c>
      <c r="C39" s="2647" t="e">
        <f>C38</f>
        <v>#DIV/0!</v>
      </c>
      <c r="D39" s="2680">
        <f>D38/(1+D34)^C36</f>
        <v>0</v>
      </c>
      <c r="E39" s="2680">
        <f>E38/(1+E34)^(C36+D36)</f>
        <v>0</v>
      </c>
      <c r="F39" s="2684"/>
      <c r="G39" s="2599"/>
      <c r="H39" s="2598"/>
      <c r="I39" s="2599"/>
      <c r="J39" s="3426"/>
      <c r="K39" s="3428"/>
      <c r="L39" s="2633"/>
      <c r="M39" s="2634"/>
      <c r="N39" s="2610"/>
      <c r="O39" s="2635"/>
      <c r="P39" s="2635"/>
      <c r="Q39" s="2636"/>
      <c r="R39" s="2637"/>
      <c r="S39" s="2591"/>
      <c r="T39" s="2591"/>
      <c r="U39" s="2591"/>
      <c r="V39" s="2599"/>
    </row>
    <row r="40" spans="1:23" s="2603" customFormat="1" ht="13.15" customHeight="1">
      <c r="A40" s="2738">
        <v>10</v>
      </c>
      <c r="B40" s="2680" t="s">
        <v>2431</v>
      </c>
      <c r="C40" s="2739" t="e">
        <f>C39+D39+E39</f>
        <v>#DIV/0!</v>
      </c>
      <c r="D40" s="2740"/>
      <c r="E40" s="2740"/>
      <c r="F40" s="2741"/>
      <c r="G40" s="2591"/>
      <c r="H40" s="2598"/>
      <c r="I40" s="2599"/>
      <c r="J40" s="3426"/>
      <c r="K40" s="3429"/>
      <c r="L40" s="2653" t="s">
        <v>2370</v>
      </c>
      <c r="M40" s="2654"/>
      <c r="N40" s="2654"/>
      <c r="O40" s="2655"/>
      <c r="P40" s="2655"/>
      <c r="Q40" s="2656"/>
      <c r="R40" s="2602">
        <f>SUM(R37:R39)</f>
        <v>0</v>
      </c>
      <c r="S40" s="2591"/>
      <c r="T40" s="2591"/>
      <c r="U40" s="2591"/>
      <c r="V40" s="2599"/>
    </row>
    <row r="41" spans="1:23" s="2603" customFormat="1" ht="13.15"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15" customHeight="1">
      <c r="G42" s="2598"/>
      <c r="H42" s="2598"/>
      <c r="I42" s="2599"/>
      <c r="J42" s="3436">
        <v>3</v>
      </c>
      <c r="K42" s="2699" t="s">
        <v>2412</v>
      </c>
      <c r="L42" s="2700"/>
      <c r="M42" s="2701"/>
      <c r="N42" s="2702" t="s">
        <v>2413</v>
      </c>
      <c r="O42" s="2702" t="s">
        <v>2414</v>
      </c>
      <c r="P42" s="2703" t="s">
        <v>2415</v>
      </c>
      <c r="Q42" s="2703" t="s">
        <v>2416</v>
      </c>
      <c r="R42" s="2608" t="s">
        <v>2341</v>
      </c>
      <c r="S42" s="2642"/>
      <c r="T42" s="2642"/>
      <c r="U42" s="2591"/>
      <c r="V42" s="2599"/>
    </row>
    <row r="43" spans="1:23" ht="13.15" customHeight="1">
      <c r="A43" s="2603"/>
      <c r="B43" s="2603"/>
      <c r="C43" s="2603"/>
      <c r="D43" s="2603"/>
      <c r="E43" s="2603"/>
      <c r="F43" s="2603"/>
      <c r="I43" s="2586"/>
      <c r="J43" s="3437"/>
      <c r="K43" s="2706"/>
      <c r="L43" s="2707"/>
      <c r="M43" s="2708"/>
      <c r="N43" s="2634"/>
      <c r="O43" s="2634"/>
      <c r="P43" s="2634"/>
      <c r="Q43" s="2696"/>
      <c r="R43" s="2669">
        <f>ROUND(O43*N43*P43*(1-Q43)/10000,0)</f>
        <v>0</v>
      </c>
      <c r="S43" s="2591"/>
      <c r="T43" s="2591"/>
      <c r="V43" s="2746"/>
      <c r="W43" s="2747"/>
    </row>
    <row r="44" spans="1:23" ht="13.15"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39" sqref="F39:F48"/>
    </sheetView>
  </sheetViews>
  <sheetFormatPr defaultColWidth="9" defaultRowHeight="14"/>
  <cols>
    <col min="1" max="1" width="23.6328125" style="642" customWidth="1"/>
    <col min="2" max="2" width="12" style="642" customWidth="1"/>
    <col min="3" max="3" width="9" style="642"/>
    <col min="4" max="4" width="14.08984375" style="642" customWidth="1"/>
    <col min="5" max="5" width="9" style="642"/>
    <col min="6" max="6" width="12.90625" style="642" customWidth="1"/>
    <col min="7" max="16384" width="9" style="642"/>
  </cols>
  <sheetData>
    <row r="1" spans="1:22" ht="21">
      <c r="A1" s="1725" t="s">
        <v>1658</v>
      </c>
      <c r="B1" s="1726"/>
      <c r="C1" s="1726"/>
      <c r="D1" s="1726"/>
      <c r="E1" s="1727"/>
      <c r="F1" s="2478"/>
      <c r="G1" s="459"/>
      <c r="H1" s="459"/>
      <c r="I1" s="459"/>
      <c r="J1" s="459"/>
      <c r="K1" s="459"/>
      <c r="L1" s="459"/>
      <c r="M1" s="459"/>
      <c r="N1" s="459"/>
      <c r="O1" s="459"/>
      <c r="P1" s="459"/>
      <c r="Q1" s="459"/>
      <c r="R1" s="459"/>
      <c r="S1" s="459"/>
    </row>
    <row r="2" spans="1:22" ht="15.5">
      <c r="A2" s="1728" t="s">
        <v>1462</v>
      </c>
      <c r="B2" s="811">
        <f ca="1">SUMIF(B6:B13,"&lt;&gt;#ref!",B6:B13)</f>
        <v>93.608199999999997</v>
      </c>
      <c r="C2" s="1729" t="s">
        <v>1651</v>
      </c>
      <c r="D2" s="1730" t="s">
        <v>1652</v>
      </c>
      <c r="E2" s="2392">
        <f>SUM(E6:E13)</f>
        <v>55.89</v>
      </c>
      <c r="F2" s="2478"/>
      <c r="G2" s="459"/>
      <c r="H2" s="459"/>
      <c r="I2" s="459"/>
      <c r="J2" s="459"/>
      <c r="K2" s="459"/>
      <c r="L2" s="459"/>
      <c r="M2" s="459"/>
      <c r="N2" s="459"/>
      <c r="O2" s="459"/>
      <c r="P2" s="459"/>
      <c r="Q2" s="459"/>
      <c r="R2" s="459"/>
      <c r="S2" s="459"/>
    </row>
    <row r="3" spans="1:22" ht="15.5">
      <c r="A3" s="1728" t="s">
        <v>686</v>
      </c>
      <c r="B3" s="2386">
        <f ca="1">ROUND(B2*10000/E2,0)</f>
        <v>16749</v>
      </c>
      <c r="C3" s="1729" t="s">
        <v>1659</v>
      </c>
      <c r="D3" s="2478"/>
      <c r="E3" s="2481"/>
      <c r="F3" s="2478"/>
      <c r="G3" s="459"/>
      <c r="H3" s="459"/>
      <c r="I3" s="459"/>
      <c r="J3" s="459"/>
      <c r="K3" s="459"/>
      <c r="L3" s="459"/>
      <c r="M3" s="459"/>
      <c r="N3" s="459"/>
      <c r="O3" s="459"/>
      <c r="P3" s="459"/>
      <c r="Q3" s="459"/>
      <c r="R3" s="459"/>
      <c r="S3" s="459"/>
    </row>
    <row r="4" spans="1:22" ht="15.5">
      <c r="A4" s="2482"/>
      <c r="B4" s="2478"/>
      <c r="C4" s="2478"/>
      <c r="D4" s="2478"/>
      <c r="E4" s="2481"/>
      <c r="F4" s="2478"/>
      <c r="G4" s="459"/>
      <c r="H4" s="459"/>
      <c r="I4" s="459"/>
      <c r="J4" s="459"/>
      <c r="K4" s="459"/>
      <c r="L4" s="459"/>
      <c r="M4" s="459"/>
      <c r="N4" s="459"/>
      <c r="O4" s="459"/>
      <c r="P4" s="459"/>
      <c r="Q4" s="459"/>
      <c r="R4" s="459"/>
      <c r="S4" s="459"/>
    </row>
    <row r="5" spans="1:22">
      <c r="A5" s="2388" t="s">
        <v>1653</v>
      </c>
      <c r="B5" s="3438" t="s">
        <v>1654</v>
      </c>
      <c r="C5" s="3439"/>
      <c r="D5" s="2479"/>
      <c r="E5" s="1731" t="s">
        <v>1655</v>
      </c>
      <c r="F5" s="129" t="s">
        <v>1656</v>
      </c>
      <c r="G5" s="459"/>
      <c r="H5" s="459"/>
      <c r="I5" s="459"/>
      <c r="J5" s="459"/>
      <c r="K5" s="459"/>
      <c r="L5" s="459"/>
      <c r="M5" s="459"/>
      <c r="N5" s="459"/>
      <c r="O5" s="459"/>
      <c r="P5" s="459"/>
      <c r="Q5" s="459"/>
      <c r="R5" s="459"/>
      <c r="S5" s="459"/>
    </row>
    <row r="6" spans="1:22">
      <c r="A6" s="2389" t="str">
        <f>'数据-取费表'!AN6</f>
        <v>收益法 (元)</v>
      </c>
      <c r="B6" s="2387">
        <f ca="1">IF(F6="是",'数据-取费表'!AO6,0)</f>
        <v>93.608199999999997</v>
      </c>
      <c r="C6" s="1729" t="s">
        <v>1651</v>
      </c>
      <c r="D6" s="2478"/>
      <c r="E6" s="2391">
        <f>IF(OR(A6=0,F6="否"),0,'数据-取费表'!K6+'数据-取费表'!S6)</f>
        <v>55.89</v>
      </c>
      <c r="F6" s="1732" t="s">
        <v>1657</v>
      </c>
      <c r="G6" s="459"/>
      <c r="H6" s="459"/>
      <c r="I6" s="459"/>
      <c r="J6" s="459"/>
      <c r="K6" s="459"/>
      <c r="L6" s="459"/>
      <c r="M6" s="459"/>
      <c r="N6" s="459"/>
      <c r="O6" s="459"/>
      <c r="P6" s="459"/>
      <c r="Q6" s="459"/>
      <c r="R6" s="459"/>
      <c r="S6" s="459"/>
    </row>
    <row r="7" spans="1:22">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4.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F39" sqref="F39:F48"/>
    </sheetView>
  </sheetViews>
  <sheetFormatPr defaultColWidth="9" defaultRowHeight="14"/>
  <cols>
    <col min="1" max="1" width="10.453125" style="347" customWidth="1"/>
    <col min="2" max="3" width="15.7265625" style="347" customWidth="1"/>
    <col min="4" max="4" width="12.26953125" style="347" customWidth="1"/>
    <col min="5" max="5" width="17.08984375" style="347" customWidth="1"/>
    <col min="6" max="6" width="12.26953125" style="347" customWidth="1"/>
    <col min="7" max="7" width="16.453125" style="347" customWidth="1"/>
    <col min="8" max="8" width="12.26953125" style="347" customWidth="1"/>
    <col min="9" max="9" width="15.6328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55.89</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c r="A4" s="345" t="s">
        <v>1666</v>
      </c>
      <c r="B4" s="346"/>
      <c r="C4" s="3390" t="s">
        <v>1667</v>
      </c>
      <c r="D4" s="3391"/>
      <c r="E4" s="3392" t="s">
        <v>1668</v>
      </c>
      <c r="F4" s="3393"/>
      <c r="G4" s="3390" t="s">
        <v>1669</v>
      </c>
      <c r="H4" s="3391"/>
      <c r="I4" s="3390" t="s">
        <v>1670</v>
      </c>
      <c r="J4" s="3391"/>
      <c r="K4" s="1744" t="s">
        <v>1671</v>
      </c>
      <c r="L4" s="2485"/>
      <c r="M4" s="2486"/>
      <c r="N4" s="2486"/>
      <c r="O4" s="2486"/>
      <c r="P4" s="3447" t="s">
        <v>1672</v>
      </c>
      <c r="Q4" s="3448"/>
      <c r="R4" s="3441" t="s">
        <v>1668</v>
      </c>
      <c r="S4" s="3442"/>
      <c r="T4" s="3441" t="s">
        <v>1669</v>
      </c>
      <c r="U4" s="3442"/>
      <c r="V4" s="3403" t="s">
        <v>1670</v>
      </c>
      <c r="W4" s="3403"/>
      <c r="X4" s="1265"/>
      <c r="Y4" s="3441" t="s">
        <v>1672</v>
      </c>
      <c r="Z4" s="3442"/>
      <c r="AA4" s="3440" t="s">
        <v>1668</v>
      </c>
      <c r="AB4" s="3440" t="s">
        <v>1669</v>
      </c>
      <c r="AC4" s="3440" t="s">
        <v>1670</v>
      </c>
    </row>
    <row r="5" spans="1:29">
      <c r="A5" s="348"/>
      <c r="B5" s="349"/>
      <c r="C5" s="3445" t="s">
        <v>1673</v>
      </c>
      <c r="D5" s="3446"/>
      <c r="E5" s="3443" t="s">
        <v>1674</v>
      </c>
      <c r="F5" s="3444"/>
      <c r="G5" s="3445" t="s">
        <v>1675</v>
      </c>
      <c r="H5" s="3446"/>
      <c r="I5" s="3445" t="s">
        <v>1676</v>
      </c>
      <c r="J5" s="3446"/>
      <c r="K5" s="1745"/>
      <c r="L5" s="2485"/>
      <c r="M5" s="2486"/>
      <c r="N5" s="2486"/>
      <c r="O5" s="2486"/>
      <c r="P5" s="3449"/>
      <c r="Q5" s="3397"/>
      <c r="R5" s="3378"/>
      <c r="S5" s="3379"/>
      <c r="T5" s="3378"/>
      <c r="U5" s="3379"/>
      <c r="V5" s="3403"/>
      <c r="W5" s="3403"/>
      <c r="X5" s="1265"/>
      <c r="Y5" s="3378"/>
      <c r="Z5" s="3379"/>
      <c r="AA5" s="3372"/>
      <c r="AB5" s="3372"/>
      <c r="AC5" s="3372"/>
    </row>
    <row r="6" spans="1:29" ht="15" thickBot="1">
      <c r="A6" s="350"/>
      <c r="B6" s="351"/>
      <c r="C6" s="3382" t="s">
        <v>1677</v>
      </c>
      <c r="D6" s="3383"/>
      <c r="E6" s="3384" t="s">
        <v>1677</v>
      </c>
      <c r="F6" s="3385"/>
      <c r="G6" s="3382" t="s">
        <v>1677</v>
      </c>
      <c r="H6" s="3383"/>
      <c r="I6" s="3382" t="s">
        <v>1677</v>
      </c>
      <c r="J6" s="3383"/>
      <c r="K6" s="1745" t="s">
        <v>1678</v>
      </c>
      <c r="L6" s="2485"/>
      <c r="M6" s="2486"/>
      <c r="N6" s="2486"/>
      <c r="O6" s="2486"/>
      <c r="P6" s="3450"/>
      <c r="Q6" s="3399"/>
      <c r="R6" s="3378"/>
      <c r="S6" s="3379"/>
      <c r="T6" s="3400"/>
      <c r="U6" s="3401"/>
      <c r="V6" s="3403"/>
      <c r="W6" s="3403"/>
      <c r="X6" s="1265"/>
      <c r="Y6" s="3400"/>
      <c r="Z6" s="3401"/>
      <c r="AA6" s="3373"/>
      <c r="AB6" s="3373"/>
      <c r="AC6" s="3373"/>
    </row>
    <row r="7" spans="1:29" s="102" customFormat="1" ht="14.5" thickBot="1">
      <c r="A7" s="352" t="s">
        <v>1679</v>
      </c>
      <c r="B7" s="353"/>
      <c r="C7" s="354">
        <f>'数据-取费表'!B2</f>
        <v>45950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74" t="s">
        <v>1680</v>
      </c>
      <c r="Q7" s="3405"/>
      <c r="R7" s="664" t="s">
        <v>20</v>
      </c>
      <c r="S7" s="665">
        <f t="shared" ref="S7:S15" si="0">F7</f>
        <v>0</v>
      </c>
      <c r="T7" s="664" t="s">
        <v>20</v>
      </c>
      <c r="U7" s="665">
        <f t="shared" ref="U7:U15" si="1">H7</f>
        <v>0</v>
      </c>
      <c r="V7" s="664" t="s">
        <v>20</v>
      </c>
      <c r="W7" s="665">
        <f t="shared" ref="W7:W15" si="2">J7</f>
        <v>0</v>
      </c>
      <c r="X7" s="666"/>
      <c r="Y7" s="3374" t="s">
        <v>1680</v>
      </c>
      <c r="Z7" s="3375"/>
      <c r="AA7" s="50" t="e">
        <f>D7/F7</f>
        <v>#DIV/0!</v>
      </c>
      <c r="AB7" s="50" t="e">
        <f>D7/H7</f>
        <v>#DIV/0!</v>
      </c>
      <c r="AC7" s="50" t="e">
        <f>D7/J7</f>
        <v>#DIV/0!</v>
      </c>
    </row>
    <row r="8" spans="1:29" s="102" customFormat="1" ht="14.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74" t="s">
        <v>1683</v>
      </c>
      <c r="Q8" s="3375"/>
      <c r="R8" s="664" t="s">
        <v>20</v>
      </c>
      <c r="S8" s="665">
        <f t="shared" si="0"/>
        <v>100</v>
      </c>
      <c r="T8" s="664" t="s">
        <v>20</v>
      </c>
      <c r="U8" s="665">
        <f t="shared" si="1"/>
        <v>100</v>
      </c>
      <c r="V8" s="664" t="s">
        <v>20</v>
      </c>
      <c r="W8" s="665">
        <f t="shared" si="2"/>
        <v>100</v>
      </c>
      <c r="X8" s="666"/>
      <c r="Y8" s="3374" t="s">
        <v>1683</v>
      </c>
      <c r="Z8" s="3375"/>
      <c r="AA8" s="50">
        <f t="shared" ref="AA8:AA19" si="3">D8/F8</f>
        <v>1</v>
      </c>
      <c r="AB8" s="50">
        <f t="shared" ref="AB8:AB19" si="4">D8/H8</f>
        <v>1</v>
      </c>
      <c r="AC8" s="50">
        <f t="shared" ref="AC8:AC19" si="5">D8/J8</f>
        <v>1</v>
      </c>
    </row>
    <row r="9" spans="1:29" s="102" customFormat="1">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86"/>
      <c r="Q11" s="530" t="str">
        <f t="shared" si="6"/>
        <v>容积率</v>
      </c>
      <c r="R11" s="664" t="s">
        <v>18</v>
      </c>
      <c r="S11" s="665" t="e">
        <f t="shared" si="0"/>
        <v>#N/A</v>
      </c>
      <c r="T11" s="664" t="s">
        <v>18</v>
      </c>
      <c r="U11" s="665" t="e">
        <f t="shared" si="1"/>
        <v>#N/A</v>
      </c>
      <c r="V11" s="664" t="s">
        <v>18</v>
      </c>
      <c r="W11" s="665" t="e">
        <f t="shared" si="2"/>
        <v>#N/A</v>
      </c>
      <c r="X11" s="666"/>
      <c r="Y11" s="3339"/>
      <c r="Z11" s="50" t="str">
        <f t="shared" si="7"/>
        <v>容积率</v>
      </c>
      <c r="AA11" s="50" t="e">
        <f t="shared" si="3"/>
        <v>#N/A</v>
      </c>
      <c r="AB11" s="50" t="e">
        <f t="shared" si="4"/>
        <v>#N/A</v>
      </c>
      <c r="AC11" s="50" t="e">
        <f t="shared" si="5"/>
        <v>#N/A</v>
      </c>
    </row>
    <row r="12" spans="1:29" s="102" customFormat="1" ht="15.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86"/>
      <c r="Q12" s="530">
        <f t="shared" si="6"/>
        <v>111</v>
      </c>
      <c r="R12" s="664" t="s">
        <v>18</v>
      </c>
      <c r="S12" s="665">
        <f t="shared" si="0"/>
        <v>100</v>
      </c>
      <c r="T12" s="664" t="s">
        <v>18</v>
      </c>
      <c r="U12" s="665">
        <f t="shared" si="1"/>
        <v>100</v>
      </c>
      <c r="V12" s="664" t="s">
        <v>18</v>
      </c>
      <c r="W12" s="665">
        <f t="shared" si="2"/>
        <v>100</v>
      </c>
      <c r="X12" s="666"/>
      <c r="Y12" s="3339"/>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86"/>
      <c r="Q13" s="530">
        <f t="shared" si="6"/>
        <v>111</v>
      </c>
      <c r="R13" s="664" t="s">
        <v>18</v>
      </c>
      <c r="S13" s="665">
        <f t="shared" si="0"/>
        <v>100</v>
      </c>
      <c r="T13" s="664" t="s">
        <v>18</v>
      </c>
      <c r="U13" s="665">
        <f t="shared" si="1"/>
        <v>100</v>
      </c>
      <c r="V13" s="664" t="s">
        <v>18</v>
      </c>
      <c r="W13" s="665">
        <f t="shared" si="2"/>
        <v>100</v>
      </c>
      <c r="X13" s="666"/>
      <c r="Y13" s="3339"/>
      <c r="Z13" s="50">
        <f t="shared" si="7"/>
        <v>111</v>
      </c>
      <c r="AA13" s="50">
        <f t="shared" si="3"/>
        <v>1</v>
      </c>
      <c r="AB13" s="50">
        <f t="shared" si="4"/>
        <v>1</v>
      </c>
      <c r="AC13" s="50">
        <f t="shared" si="5"/>
        <v>1</v>
      </c>
    </row>
    <row r="14" spans="1:29" ht="1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86"/>
      <c r="Q14" s="530">
        <f t="shared" si="6"/>
        <v>111</v>
      </c>
      <c r="R14" s="664" t="s">
        <v>18</v>
      </c>
      <c r="S14" s="665">
        <f t="shared" si="0"/>
        <v>100</v>
      </c>
      <c r="T14" s="664" t="s">
        <v>18</v>
      </c>
      <c r="U14" s="665">
        <f t="shared" si="1"/>
        <v>100</v>
      </c>
      <c r="V14" s="664" t="s">
        <v>18</v>
      </c>
      <c r="W14" s="665">
        <f t="shared" si="2"/>
        <v>100</v>
      </c>
      <c r="X14" s="666"/>
      <c r="Y14" s="3339"/>
      <c r="Z14" s="50">
        <f t="shared" si="7"/>
        <v>111</v>
      </c>
      <c r="AA14" s="50">
        <f t="shared" si="3"/>
        <v>1</v>
      </c>
      <c r="AB14" s="50">
        <f t="shared" si="4"/>
        <v>1</v>
      </c>
      <c r="AC14" s="50">
        <f t="shared" si="5"/>
        <v>1</v>
      </c>
    </row>
    <row r="15" spans="1:29" ht="98">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406" t="s">
        <v>1691</v>
      </c>
      <c r="Q15" s="1263" t="str">
        <f t="shared" si="6"/>
        <v>居住社区成熟度</v>
      </c>
      <c r="R15" s="667" t="s">
        <v>18</v>
      </c>
      <c r="S15" s="668">
        <f t="shared" si="0"/>
        <v>100</v>
      </c>
      <c r="T15" s="667" t="s">
        <v>18</v>
      </c>
      <c r="U15" s="668">
        <f t="shared" si="1"/>
        <v>100</v>
      </c>
      <c r="V15" s="667" t="s">
        <v>18</v>
      </c>
      <c r="W15" s="668">
        <f t="shared" si="2"/>
        <v>100</v>
      </c>
      <c r="X15" s="1265"/>
      <c r="Y15" s="3408" t="s">
        <v>1691</v>
      </c>
      <c r="Z15" s="1264" t="str">
        <f t="shared" si="7"/>
        <v>居住社区成熟度</v>
      </c>
      <c r="AA15" s="1264">
        <f t="shared" si="3"/>
        <v>1</v>
      </c>
      <c r="AB15" s="1264">
        <f t="shared" si="4"/>
        <v>1</v>
      </c>
      <c r="AC15" s="1264">
        <f t="shared" si="5"/>
        <v>1</v>
      </c>
    </row>
    <row r="16" spans="1:29" ht="15.5">
      <c r="A16" s="367"/>
      <c r="B16" s="385"/>
      <c r="C16" s="386"/>
      <c r="D16" s="387"/>
      <c r="E16" s="1751"/>
      <c r="F16" s="387"/>
      <c r="G16" s="1752"/>
      <c r="H16" s="389"/>
      <c r="I16" s="1752"/>
      <c r="J16" s="387"/>
      <c r="K16" s="1753"/>
      <c r="L16" s="2491"/>
      <c r="M16" s="2486"/>
      <c r="N16" s="2486"/>
      <c r="O16" s="2486"/>
      <c r="P16" s="3407"/>
      <c r="Q16" s="1263"/>
      <c r="R16" s="667"/>
      <c r="S16" s="668"/>
      <c r="T16" s="667"/>
      <c r="U16" s="668"/>
      <c r="V16" s="667"/>
      <c r="W16" s="668"/>
      <c r="X16" s="1265"/>
      <c r="Y16" s="3409"/>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407"/>
      <c r="Q17" s="1263" t="str">
        <f>B17</f>
        <v>交通便捷度</v>
      </c>
      <c r="R17" s="667" t="s">
        <v>18</v>
      </c>
      <c r="S17" s="668">
        <f>F17</f>
        <v>100</v>
      </c>
      <c r="T17" s="667" t="s">
        <v>18</v>
      </c>
      <c r="U17" s="668">
        <f>H17</f>
        <v>100</v>
      </c>
      <c r="V17" s="667" t="s">
        <v>18</v>
      </c>
      <c r="W17" s="668">
        <f>J17</f>
        <v>100</v>
      </c>
      <c r="X17" s="1265"/>
      <c r="Y17" s="3409"/>
      <c r="Z17" s="1264" t="str">
        <f>Q17</f>
        <v>交通便捷度</v>
      </c>
      <c r="AA17" s="1264">
        <f t="shared" si="3"/>
        <v>1</v>
      </c>
      <c r="AB17" s="1264">
        <f t="shared" si="4"/>
        <v>1</v>
      </c>
      <c r="AC17" s="1264">
        <f t="shared" si="5"/>
        <v>1</v>
      </c>
    </row>
    <row r="18" spans="1:29" ht="15.5">
      <c r="A18" s="367"/>
      <c r="B18" s="395"/>
      <c r="C18" s="1755"/>
      <c r="D18" s="389"/>
      <c r="E18" s="1756"/>
      <c r="F18" s="389"/>
      <c r="G18" s="1757"/>
      <c r="H18" s="387"/>
      <c r="I18" s="1757"/>
      <c r="J18" s="387"/>
      <c r="K18" s="1753"/>
      <c r="L18" s="2491"/>
      <c r="M18" s="2486"/>
      <c r="N18" s="2486"/>
      <c r="O18" s="2486"/>
      <c r="P18" s="3407"/>
      <c r="Q18" s="1263"/>
      <c r="R18" s="667"/>
      <c r="S18" s="668"/>
      <c r="T18" s="667"/>
      <c r="U18" s="668"/>
      <c r="V18" s="667"/>
      <c r="W18" s="668"/>
      <c r="X18" s="1265"/>
      <c r="Y18" s="3409"/>
      <c r="Z18" s="1264"/>
      <c r="AA18" s="1264">
        <v>1</v>
      </c>
      <c r="AB18" s="1264">
        <v>1</v>
      </c>
      <c r="AC18" s="1264">
        <v>1</v>
      </c>
    </row>
    <row r="19" spans="1:29" ht="42">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407"/>
      <c r="Q19" s="1263" t="str">
        <f>B19</f>
        <v>公共配套设施</v>
      </c>
      <c r="R19" s="667" t="s">
        <v>18</v>
      </c>
      <c r="S19" s="668">
        <f>F19</f>
        <v>100</v>
      </c>
      <c r="T19" s="667" t="s">
        <v>18</v>
      </c>
      <c r="U19" s="668">
        <f>H19</f>
        <v>100</v>
      </c>
      <c r="V19" s="667" t="s">
        <v>18</v>
      </c>
      <c r="W19" s="668">
        <f>J19</f>
        <v>100</v>
      </c>
      <c r="X19" s="1265"/>
      <c r="Y19" s="3409"/>
      <c r="Z19" s="1264" t="str">
        <f>Q19</f>
        <v>公共配套设施</v>
      </c>
      <c r="AA19" s="1264">
        <f t="shared" si="3"/>
        <v>1</v>
      </c>
      <c r="AB19" s="1264">
        <f t="shared" si="4"/>
        <v>1</v>
      </c>
      <c r="AC19" s="1264">
        <f t="shared" si="5"/>
        <v>1</v>
      </c>
    </row>
    <row r="20" spans="1:29" ht="15.5">
      <c r="A20" s="367"/>
      <c r="B20" s="395"/>
      <c r="C20" s="386"/>
      <c r="D20" s="387"/>
      <c r="E20" s="1751"/>
      <c r="F20" s="387"/>
      <c r="G20" s="1752"/>
      <c r="H20" s="387"/>
      <c r="I20" s="1752"/>
      <c r="J20" s="387"/>
      <c r="K20" s="1753"/>
      <c r="L20" s="2491"/>
      <c r="M20" s="2486"/>
      <c r="N20" s="2486"/>
      <c r="O20" s="2486"/>
      <c r="P20" s="3407"/>
      <c r="Q20" s="1263"/>
      <c r="R20" s="667"/>
      <c r="S20" s="668"/>
      <c r="T20" s="667"/>
      <c r="U20" s="668"/>
      <c r="V20" s="667"/>
      <c r="W20" s="668"/>
      <c r="X20" s="1265"/>
      <c r="Y20" s="3409"/>
      <c r="Z20" s="1264"/>
      <c r="AA20" s="1264">
        <v>1</v>
      </c>
      <c r="AB20" s="1264">
        <v>1</v>
      </c>
      <c r="AC20" s="1264">
        <v>1</v>
      </c>
    </row>
    <row r="21" spans="1:29" ht="28">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7"/>
      <c r="G22" s="1758"/>
      <c r="H22" s="387"/>
      <c r="I22" s="386"/>
      <c r="J22" s="387"/>
      <c r="K22" s="1759"/>
      <c r="L22" s="2491"/>
      <c r="M22" s="2486"/>
      <c r="N22" s="2486"/>
      <c r="O22" s="2486"/>
      <c r="P22" s="3407"/>
      <c r="Q22" s="1263"/>
      <c r="R22" s="667"/>
      <c r="S22" s="668"/>
      <c r="T22" s="667"/>
      <c r="U22" s="668"/>
      <c r="V22" s="667"/>
      <c r="W22" s="668"/>
      <c r="X22" s="1265"/>
      <c r="Y22" s="3409"/>
      <c r="Z22" s="1264"/>
      <c r="AA22" s="1264">
        <v>1</v>
      </c>
      <c r="AB22" s="1264">
        <v>1</v>
      </c>
      <c r="AC22" s="1264">
        <v>1</v>
      </c>
    </row>
    <row r="23" spans="1:29" ht="56">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407"/>
      <c r="Q23" s="1263" t="str">
        <f>B23</f>
        <v>自然及人文环境</v>
      </c>
      <c r="R23" s="667" t="s">
        <v>18</v>
      </c>
      <c r="S23" s="668">
        <f>F23</f>
        <v>100</v>
      </c>
      <c r="T23" s="667" t="s">
        <v>18</v>
      </c>
      <c r="U23" s="668">
        <f>H23</f>
        <v>100</v>
      </c>
      <c r="V23" s="667" t="s">
        <v>18</v>
      </c>
      <c r="W23" s="668">
        <f>J23</f>
        <v>100</v>
      </c>
      <c r="X23" s="1265"/>
      <c r="Y23" s="3409"/>
      <c r="Z23" s="1264" t="str">
        <f>Q23</f>
        <v>自然及人文环境</v>
      </c>
      <c r="AA23" s="1264">
        <f>D23/F23</f>
        <v>1</v>
      </c>
      <c r="AB23" s="1264">
        <f>D23/H23</f>
        <v>1</v>
      </c>
      <c r="AC23" s="1264">
        <f>D23/J23</f>
        <v>1</v>
      </c>
    </row>
    <row r="24" spans="1:29" ht="15.5">
      <c r="A24" s="367"/>
      <c r="B24" s="395"/>
      <c r="C24" s="386"/>
      <c r="D24" s="387"/>
      <c r="E24" s="1751"/>
      <c r="F24" s="387"/>
      <c r="G24" s="1752"/>
      <c r="H24" s="387"/>
      <c r="I24" s="1752"/>
      <c r="J24" s="387"/>
      <c r="K24" s="1753"/>
      <c r="L24" s="2491"/>
      <c r="M24" s="2486"/>
      <c r="N24" s="2486"/>
      <c r="O24" s="2486"/>
      <c r="P24" s="3407"/>
      <c r="Q24" s="1263"/>
      <c r="R24" s="667"/>
      <c r="S24" s="668"/>
      <c r="T24" s="667"/>
      <c r="U24" s="668"/>
      <c r="V24" s="667"/>
      <c r="W24" s="668"/>
      <c r="X24" s="1265"/>
      <c r="Y24" s="3409"/>
      <c r="Z24" s="1264"/>
      <c r="AA24" s="1264">
        <v>1</v>
      </c>
      <c r="AB24" s="1264">
        <v>1</v>
      </c>
      <c r="AC24" s="1264">
        <v>1</v>
      </c>
    </row>
    <row r="25" spans="1:29" ht="15.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407"/>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409"/>
      <c r="Z25" s="1264" t="str">
        <f>Q25</f>
        <v>楼层-1</v>
      </c>
      <c r="AA25" s="1264">
        <f t="shared" ref="AA25:AA46" si="15">D25/F25</f>
        <v>1</v>
      </c>
      <c r="AB25" s="1264">
        <f t="shared" ref="AB25:AB46" si="16">D25/H25</f>
        <v>1</v>
      </c>
      <c r="AC25" s="1264">
        <f t="shared" ref="AC25:AC46" si="17">D25/J25</f>
        <v>1</v>
      </c>
    </row>
    <row r="26" spans="1:29" ht="15.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407"/>
      <c r="Q26" s="1263" t="str">
        <f t="shared" si="11"/>
        <v>朝向</v>
      </c>
      <c r="R26" s="667" t="s">
        <v>18</v>
      </c>
      <c r="S26" s="668">
        <f t="shared" si="12"/>
        <v>100</v>
      </c>
      <c r="T26" s="667" t="s">
        <v>18</v>
      </c>
      <c r="U26" s="668">
        <f t="shared" si="13"/>
        <v>100</v>
      </c>
      <c r="V26" s="667" t="s">
        <v>18</v>
      </c>
      <c r="W26" s="668">
        <f t="shared" si="14"/>
        <v>100</v>
      </c>
      <c r="X26" s="1265"/>
      <c r="Y26" s="3409"/>
      <c r="Z26" s="1264" t="str">
        <f>Q26</f>
        <v>朝向</v>
      </c>
      <c r="AA26" s="1264">
        <f t="shared" si="15"/>
        <v>1</v>
      </c>
      <c r="AB26" s="1264">
        <f t="shared" si="16"/>
        <v>1</v>
      </c>
      <c r="AC26" s="1264">
        <f t="shared" si="17"/>
        <v>1</v>
      </c>
    </row>
    <row r="27" spans="1:29" s="102" customFormat="1" ht="15.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407"/>
      <c r="Q27" s="530">
        <f t="shared" si="11"/>
        <v>111</v>
      </c>
      <c r="R27" s="664" t="s">
        <v>18</v>
      </c>
      <c r="S27" s="665">
        <f t="shared" si="12"/>
        <v>100</v>
      </c>
      <c r="T27" s="664" t="s">
        <v>18</v>
      </c>
      <c r="U27" s="665">
        <f t="shared" si="13"/>
        <v>100</v>
      </c>
      <c r="V27" s="664" t="s">
        <v>18</v>
      </c>
      <c r="W27" s="665">
        <f t="shared" si="14"/>
        <v>100</v>
      </c>
      <c r="X27" s="666"/>
      <c r="Y27" s="3409"/>
      <c r="Z27" s="50">
        <f>Q27</f>
        <v>111</v>
      </c>
      <c r="AA27" s="1264">
        <f t="shared" si="15"/>
        <v>1</v>
      </c>
      <c r="AB27" s="1264">
        <f t="shared" si="16"/>
        <v>1</v>
      </c>
      <c r="AC27" s="1264">
        <f t="shared" si="17"/>
        <v>1</v>
      </c>
    </row>
    <row r="28" spans="1:29" ht="15.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407"/>
      <c r="Q28" s="1263">
        <f t="shared" si="11"/>
        <v>111</v>
      </c>
      <c r="R28" s="667" t="s">
        <v>18</v>
      </c>
      <c r="S28" s="668">
        <f t="shared" si="12"/>
        <v>100</v>
      </c>
      <c r="T28" s="667" t="s">
        <v>18</v>
      </c>
      <c r="U28" s="668">
        <f t="shared" si="13"/>
        <v>100</v>
      </c>
      <c r="V28" s="667" t="s">
        <v>18</v>
      </c>
      <c r="W28" s="668">
        <f t="shared" si="14"/>
        <v>100</v>
      </c>
      <c r="X28" s="1265"/>
      <c r="Y28" s="3409"/>
      <c r="Z28" s="1264">
        <f t="shared" ref="Z28:Z46" si="18">Q28</f>
        <v>111</v>
      </c>
      <c r="AA28" s="1264">
        <f t="shared" si="15"/>
        <v>1</v>
      </c>
      <c r="AB28" s="1264">
        <f t="shared" si="16"/>
        <v>1</v>
      </c>
      <c r="AC28" s="1264">
        <f t="shared" si="17"/>
        <v>1</v>
      </c>
    </row>
    <row r="29" spans="1:29" ht="15.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407"/>
      <c r="Q29" s="1263">
        <f t="shared" si="11"/>
        <v>111</v>
      </c>
      <c r="R29" s="667" t="s">
        <v>18</v>
      </c>
      <c r="S29" s="668">
        <f t="shared" si="12"/>
        <v>100</v>
      </c>
      <c r="T29" s="667" t="s">
        <v>18</v>
      </c>
      <c r="U29" s="668">
        <f t="shared" si="13"/>
        <v>100</v>
      </c>
      <c r="V29" s="667" t="s">
        <v>18</v>
      </c>
      <c r="W29" s="668">
        <f t="shared" si="14"/>
        <v>100</v>
      </c>
      <c r="X29" s="1265"/>
      <c r="Y29" s="3409"/>
      <c r="Z29" s="1264">
        <f t="shared" si="18"/>
        <v>111</v>
      </c>
      <c r="AA29" s="1264">
        <f t="shared" si="15"/>
        <v>1</v>
      </c>
      <c r="AB29" s="1264">
        <f t="shared" si="16"/>
        <v>1</v>
      </c>
      <c r="AC29" s="1264">
        <f t="shared" si="17"/>
        <v>1</v>
      </c>
    </row>
    <row r="30" spans="1:29" ht="15.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407"/>
      <c r="Q30" s="1263">
        <f t="shared" si="11"/>
        <v>111</v>
      </c>
      <c r="R30" s="667" t="s">
        <v>18</v>
      </c>
      <c r="S30" s="668">
        <f t="shared" si="12"/>
        <v>100</v>
      </c>
      <c r="T30" s="667" t="s">
        <v>18</v>
      </c>
      <c r="U30" s="668">
        <f t="shared" si="13"/>
        <v>100</v>
      </c>
      <c r="V30" s="667" t="s">
        <v>18</v>
      </c>
      <c r="W30" s="668">
        <f t="shared" si="14"/>
        <v>100</v>
      </c>
      <c r="X30" s="1265"/>
      <c r="Y30" s="3409"/>
      <c r="Z30" s="1264">
        <f t="shared" si="18"/>
        <v>111</v>
      </c>
      <c r="AA30" s="1264">
        <f t="shared" si="15"/>
        <v>1</v>
      </c>
      <c r="AB30" s="1264">
        <f t="shared" si="16"/>
        <v>1</v>
      </c>
      <c r="AC30" s="1264">
        <f t="shared" si="17"/>
        <v>1</v>
      </c>
    </row>
    <row r="31" spans="1:29" ht="1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407"/>
      <c r="Q31" s="1263">
        <f t="shared" si="11"/>
        <v>111</v>
      </c>
      <c r="R31" s="667" t="s">
        <v>18</v>
      </c>
      <c r="S31" s="668">
        <f t="shared" si="12"/>
        <v>100</v>
      </c>
      <c r="T31" s="667" t="s">
        <v>18</v>
      </c>
      <c r="U31" s="668">
        <f t="shared" si="13"/>
        <v>100</v>
      </c>
      <c r="V31" s="667" t="s">
        <v>18</v>
      </c>
      <c r="W31" s="668">
        <f t="shared" si="14"/>
        <v>100</v>
      </c>
      <c r="X31" s="1265"/>
      <c r="Y31" s="3409"/>
      <c r="Z31" s="1264">
        <f t="shared" si="18"/>
        <v>111</v>
      </c>
      <c r="AA31" s="1264">
        <f t="shared" si="15"/>
        <v>1</v>
      </c>
      <c r="AB31" s="1264">
        <f t="shared" si="16"/>
        <v>1</v>
      </c>
      <c r="AC31" s="1264">
        <f t="shared" si="17"/>
        <v>1</v>
      </c>
    </row>
    <row r="32" spans="1:29" ht="15.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410" t="s">
        <v>1696</v>
      </c>
      <c r="Q32" s="1263" t="str">
        <f t="shared" si="11"/>
        <v>建筑类型</v>
      </c>
      <c r="R32" s="667" t="s">
        <v>18</v>
      </c>
      <c r="S32" s="668">
        <f t="shared" si="12"/>
        <v>100</v>
      </c>
      <c r="T32" s="667" t="s">
        <v>18</v>
      </c>
      <c r="U32" s="668">
        <f t="shared" si="13"/>
        <v>100</v>
      </c>
      <c r="V32" s="667" t="s">
        <v>18</v>
      </c>
      <c r="W32" s="668">
        <f t="shared" si="14"/>
        <v>100</v>
      </c>
      <c r="X32" s="1265"/>
      <c r="Y32" s="3413" t="s">
        <v>1696</v>
      </c>
      <c r="Z32" s="1264" t="str">
        <f t="shared" si="18"/>
        <v>建筑类型</v>
      </c>
      <c r="AA32" s="1264">
        <f t="shared" si="15"/>
        <v>1</v>
      </c>
      <c r="AB32" s="1264">
        <f t="shared" si="16"/>
        <v>1</v>
      </c>
      <c r="AC32" s="1264">
        <f t="shared" si="17"/>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411"/>
      <c r="Q33" s="531" t="str">
        <f t="shared" si="11"/>
        <v>项目建筑规模</v>
      </c>
      <c r="R33" s="669" t="s">
        <v>18</v>
      </c>
      <c r="S33" s="670" t="e">
        <f t="shared" si="12"/>
        <v>#N/A</v>
      </c>
      <c r="T33" s="669" t="s">
        <v>18</v>
      </c>
      <c r="U33" s="670" t="e">
        <f t="shared" si="13"/>
        <v>#N/A</v>
      </c>
      <c r="V33" s="669" t="s">
        <v>18</v>
      </c>
      <c r="W33" s="670" t="e">
        <f t="shared" si="14"/>
        <v>#N/A</v>
      </c>
      <c r="X33" s="671"/>
      <c r="Y33" s="3413"/>
      <c r="Z33" s="672" t="str">
        <f t="shared" si="18"/>
        <v>项目建筑规模</v>
      </c>
      <c r="AA33" s="1264" t="e">
        <f t="shared" si="15"/>
        <v>#N/A</v>
      </c>
      <c r="AB33" s="1264" t="e">
        <f t="shared" si="16"/>
        <v>#N/A</v>
      </c>
      <c r="AC33" s="1264" t="e">
        <f t="shared" si="17"/>
        <v>#N/A</v>
      </c>
    </row>
    <row r="34" spans="1:29" ht="15.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411"/>
      <c r="Q34" s="1263" t="str">
        <f t="shared" si="11"/>
        <v>建筑结构</v>
      </c>
      <c r="R34" s="667" t="s">
        <v>18</v>
      </c>
      <c r="S34" s="668">
        <f t="shared" si="12"/>
        <v>100</v>
      </c>
      <c r="T34" s="667" t="s">
        <v>18</v>
      </c>
      <c r="U34" s="668">
        <f t="shared" si="13"/>
        <v>100</v>
      </c>
      <c r="V34" s="667" t="s">
        <v>18</v>
      </c>
      <c r="W34" s="668">
        <f t="shared" si="14"/>
        <v>100</v>
      </c>
      <c r="X34" s="1265"/>
      <c r="Y34" s="3413"/>
      <c r="Z34" s="1264" t="str">
        <f t="shared" si="18"/>
        <v>建筑结构</v>
      </c>
      <c r="AA34" s="1264">
        <f t="shared" si="15"/>
        <v>1</v>
      </c>
      <c r="AB34" s="1264">
        <f t="shared" si="16"/>
        <v>1</v>
      </c>
      <c r="AC34" s="1264">
        <f t="shared" si="17"/>
        <v>1</v>
      </c>
    </row>
    <row r="35" spans="1:29" ht="15.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411"/>
      <c r="Q35" s="1263" t="str">
        <f t="shared" si="11"/>
        <v>建筑品质</v>
      </c>
      <c r="R35" s="667" t="s">
        <v>18</v>
      </c>
      <c r="S35" s="668">
        <f t="shared" si="12"/>
        <v>100</v>
      </c>
      <c r="T35" s="667" t="s">
        <v>18</v>
      </c>
      <c r="U35" s="668">
        <f t="shared" si="13"/>
        <v>100</v>
      </c>
      <c r="V35" s="667" t="s">
        <v>18</v>
      </c>
      <c r="W35" s="668">
        <f t="shared" si="14"/>
        <v>100</v>
      </c>
      <c r="X35" s="1265"/>
      <c r="Y35" s="3413"/>
      <c r="Z35" s="1264" t="str">
        <f t="shared" si="18"/>
        <v>建筑品质</v>
      </c>
      <c r="AA35" s="1264">
        <f t="shared" si="15"/>
        <v>1</v>
      </c>
      <c r="AB35" s="1264">
        <f t="shared" si="16"/>
        <v>1</v>
      </c>
      <c r="AC35" s="1264">
        <f t="shared" si="17"/>
        <v>1</v>
      </c>
    </row>
    <row r="36" spans="1:29" ht="15.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411"/>
      <c r="Q36" s="1263" t="str">
        <f t="shared" si="11"/>
        <v>公共部分装修</v>
      </c>
      <c r="R36" s="667" t="s">
        <v>18</v>
      </c>
      <c r="S36" s="668">
        <f t="shared" si="12"/>
        <v>100</v>
      </c>
      <c r="T36" s="667" t="s">
        <v>18</v>
      </c>
      <c r="U36" s="668">
        <f t="shared" si="13"/>
        <v>100</v>
      </c>
      <c r="V36" s="667" t="s">
        <v>18</v>
      </c>
      <c r="W36" s="668">
        <f t="shared" si="14"/>
        <v>100</v>
      </c>
      <c r="X36" s="1265"/>
      <c r="Y36" s="3413"/>
      <c r="Z36" s="1264" t="str">
        <f t="shared" si="18"/>
        <v>公共部分装修</v>
      </c>
      <c r="AA36" s="1264">
        <f t="shared" si="15"/>
        <v>1</v>
      </c>
      <c r="AB36" s="1264">
        <f t="shared" si="16"/>
        <v>1</v>
      </c>
      <c r="AC36" s="1264">
        <f t="shared" si="17"/>
        <v>1</v>
      </c>
    </row>
    <row r="37" spans="1:29" s="102" customFormat="1" ht="15.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411"/>
      <c r="Q37" s="530" t="str">
        <f t="shared" si="11"/>
        <v>成新度</v>
      </c>
      <c r="R37" s="664" t="s">
        <v>18</v>
      </c>
      <c r="S37" s="665" t="e">
        <f t="shared" si="12"/>
        <v>#N/A</v>
      </c>
      <c r="T37" s="664" t="s">
        <v>18</v>
      </c>
      <c r="U37" s="665" t="e">
        <f t="shared" si="13"/>
        <v>#N/A</v>
      </c>
      <c r="V37" s="664" t="s">
        <v>18</v>
      </c>
      <c r="W37" s="665" t="e">
        <f t="shared" si="14"/>
        <v>#N/A</v>
      </c>
      <c r="X37" s="666"/>
      <c r="Y37" s="3413"/>
      <c r="Z37" s="50" t="str">
        <f t="shared" si="18"/>
        <v>成新度</v>
      </c>
      <c r="AA37" s="50" t="e">
        <f t="shared" si="15"/>
        <v>#N/A</v>
      </c>
      <c r="AB37" s="50" t="e">
        <f t="shared" si="16"/>
        <v>#N/A</v>
      </c>
      <c r="AC37" s="50" t="e">
        <f t="shared" si="17"/>
        <v>#N/A</v>
      </c>
    </row>
    <row r="38" spans="1:29" ht="15.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411" t="s">
        <v>1696</v>
      </c>
      <c r="Q38" s="1263" t="str">
        <f t="shared" si="11"/>
        <v>物业管理</v>
      </c>
      <c r="R38" s="667" t="s">
        <v>18</v>
      </c>
      <c r="S38" s="668">
        <f t="shared" si="12"/>
        <v>100</v>
      </c>
      <c r="T38" s="667" t="s">
        <v>18</v>
      </c>
      <c r="U38" s="668">
        <f t="shared" si="13"/>
        <v>100</v>
      </c>
      <c r="V38" s="667" t="s">
        <v>18</v>
      </c>
      <c r="W38" s="668">
        <f t="shared" si="14"/>
        <v>100</v>
      </c>
      <c r="X38" s="1265"/>
      <c r="Y38" s="3413" t="s">
        <v>1696</v>
      </c>
      <c r="Z38" s="1264" t="str">
        <f t="shared" si="18"/>
        <v>物业管理</v>
      </c>
      <c r="AA38" s="1264">
        <f t="shared" si="15"/>
        <v>1</v>
      </c>
      <c r="AB38" s="1264">
        <f t="shared" si="16"/>
        <v>1</v>
      </c>
      <c r="AC38" s="1264">
        <f t="shared" si="17"/>
        <v>1</v>
      </c>
    </row>
    <row r="39" spans="1:29" ht="15.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411"/>
      <c r="Q39" s="1263" t="str">
        <f t="shared" si="11"/>
        <v>市政基础设施</v>
      </c>
      <c r="R39" s="667" t="s">
        <v>18</v>
      </c>
      <c r="S39" s="668">
        <f t="shared" si="12"/>
        <v>100</v>
      </c>
      <c r="T39" s="667" t="s">
        <v>18</v>
      </c>
      <c r="U39" s="668">
        <f t="shared" si="13"/>
        <v>100</v>
      </c>
      <c r="V39" s="667" t="s">
        <v>18</v>
      </c>
      <c r="W39" s="668">
        <f t="shared" si="14"/>
        <v>100</v>
      </c>
      <c r="X39" s="1265"/>
      <c r="Y39" s="3413"/>
      <c r="Z39" s="1264" t="str">
        <f t="shared" si="18"/>
        <v>市政基础设施</v>
      </c>
      <c r="AA39" s="1264">
        <f t="shared" si="15"/>
        <v>1</v>
      </c>
      <c r="AB39" s="1264">
        <f t="shared" si="16"/>
        <v>1</v>
      </c>
      <c r="AC39" s="1264">
        <f t="shared" si="17"/>
        <v>1</v>
      </c>
    </row>
    <row r="40" spans="1:29" ht="15.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411"/>
      <c r="Q40" s="1263" t="str">
        <f t="shared" si="11"/>
        <v>房型</v>
      </c>
      <c r="R40" s="667" t="s">
        <v>18</v>
      </c>
      <c r="S40" s="668">
        <f t="shared" si="12"/>
        <v>100</v>
      </c>
      <c r="T40" s="667" t="s">
        <v>18</v>
      </c>
      <c r="U40" s="668">
        <f t="shared" si="13"/>
        <v>100</v>
      </c>
      <c r="V40" s="667" t="s">
        <v>18</v>
      </c>
      <c r="W40" s="668">
        <f t="shared" si="14"/>
        <v>100</v>
      </c>
      <c r="X40" s="1265"/>
      <c r="Y40" s="3413"/>
      <c r="Z40" s="1264" t="str">
        <f t="shared" si="18"/>
        <v>房型</v>
      </c>
      <c r="AA40" s="1264">
        <f t="shared" si="15"/>
        <v>1</v>
      </c>
      <c r="AB40" s="1264">
        <f t="shared" si="16"/>
        <v>1</v>
      </c>
      <c r="AC40" s="1264">
        <f t="shared" si="17"/>
        <v>1</v>
      </c>
    </row>
    <row r="41" spans="1:29" s="408" customFormat="1" ht="28.5">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411"/>
      <c r="Q41" s="531" t="str">
        <f t="shared" si="11"/>
        <v>单套/主力户型建筑面积</v>
      </c>
      <c r="R41" s="669" t="s">
        <v>18</v>
      </c>
      <c r="S41" s="670">
        <f t="shared" si="12"/>
        <v>100</v>
      </c>
      <c r="T41" s="669" t="s">
        <v>18</v>
      </c>
      <c r="U41" s="670">
        <f t="shared" si="13"/>
        <v>100</v>
      </c>
      <c r="V41" s="669" t="s">
        <v>18</v>
      </c>
      <c r="W41" s="670">
        <f t="shared" si="14"/>
        <v>100</v>
      </c>
      <c r="X41" s="671"/>
      <c r="Y41" s="3413"/>
      <c r="Z41" s="672" t="str">
        <f t="shared" si="18"/>
        <v>单套/主力户型建筑面积</v>
      </c>
      <c r="AA41" s="1264">
        <f t="shared" si="15"/>
        <v>1</v>
      </c>
      <c r="AB41" s="1264">
        <f t="shared" si="16"/>
        <v>1</v>
      </c>
      <c r="AC41" s="1264">
        <f t="shared" si="17"/>
        <v>1</v>
      </c>
    </row>
    <row r="42" spans="1:29" ht="15.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411"/>
      <c r="Q42" s="1263" t="str">
        <f t="shared" si="11"/>
        <v>内部装修</v>
      </c>
      <c r="R42" s="667" t="s">
        <v>18</v>
      </c>
      <c r="S42" s="668">
        <f t="shared" si="12"/>
        <v>100</v>
      </c>
      <c r="T42" s="667" t="s">
        <v>18</v>
      </c>
      <c r="U42" s="668">
        <f t="shared" si="13"/>
        <v>100</v>
      </c>
      <c r="V42" s="667" t="s">
        <v>18</v>
      </c>
      <c r="W42" s="668">
        <f t="shared" si="14"/>
        <v>100</v>
      </c>
      <c r="X42" s="1265"/>
      <c r="Y42" s="3413"/>
      <c r="Z42" s="1264" t="str">
        <f t="shared" si="18"/>
        <v>内部装修</v>
      </c>
      <c r="AA42" s="1264">
        <f t="shared" si="15"/>
        <v>1</v>
      </c>
      <c r="AB42" s="1264">
        <f t="shared" si="16"/>
        <v>1</v>
      </c>
      <c r="AC42" s="1264">
        <f t="shared" si="17"/>
        <v>1</v>
      </c>
    </row>
    <row r="43" spans="1:29" ht="2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411"/>
      <c r="Q43" s="1263" t="str">
        <f t="shared" si="11"/>
        <v>内部装修维护情况</v>
      </c>
      <c r="R43" s="667" t="s">
        <v>18</v>
      </c>
      <c r="S43" s="668">
        <f t="shared" si="12"/>
        <v>100</v>
      </c>
      <c r="T43" s="667" t="s">
        <v>18</v>
      </c>
      <c r="U43" s="668">
        <f t="shared" si="13"/>
        <v>100</v>
      </c>
      <c r="V43" s="667" t="s">
        <v>18</v>
      </c>
      <c r="W43" s="668">
        <f t="shared" si="14"/>
        <v>100</v>
      </c>
      <c r="X43" s="1265"/>
      <c r="Y43" s="3413"/>
      <c r="Z43" s="1264" t="str">
        <f t="shared" si="18"/>
        <v>内部装修维护情况</v>
      </c>
      <c r="AA43" s="1264">
        <f t="shared" si="15"/>
        <v>1</v>
      </c>
      <c r="AB43" s="1264">
        <f t="shared" si="16"/>
        <v>1</v>
      </c>
      <c r="AC43" s="1264">
        <f t="shared" si="17"/>
        <v>1</v>
      </c>
    </row>
    <row r="44" spans="1:29" s="102" customFormat="1" ht="15.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411"/>
      <c r="Q44" s="530">
        <f t="shared" si="11"/>
        <v>111</v>
      </c>
      <c r="R44" s="664" t="s">
        <v>18</v>
      </c>
      <c r="S44" s="665">
        <f t="shared" si="12"/>
        <v>100</v>
      </c>
      <c r="T44" s="664" t="s">
        <v>18</v>
      </c>
      <c r="U44" s="665">
        <f t="shared" si="13"/>
        <v>100</v>
      </c>
      <c r="V44" s="664" t="s">
        <v>18</v>
      </c>
      <c r="W44" s="665">
        <f t="shared" si="14"/>
        <v>100</v>
      </c>
      <c r="X44" s="666"/>
      <c r="Y44" s="3413"/>
      <c r="Z44" s="50">
        <f t="shared" si="18"/>
        <v>111</v>
      </c>
      <c r="AA44" s="50">
        <f t="shared" si="15"/>
        <v>1</v>
      </c>
      <c r="AB44" s="50">
        <f t="shared" si="16"/>
        <v>1</v>
      </c>
      <c r="AC44" s="50">
        <f t="shared" si="17"/>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411"/>
      <c r="Q45" s="1263">
        <f t="shared" si="11"/>
        <v>111</v>
      </c>
      <c r="R45" s="667" t="s">
        <v>18</v>
      </c>
      <c r="S45" s="668">
        <f t="shared" si="12"/>
        <v>100</v>
      </c>
      <c r="T45" s="667" t="s">
        <v>18</v>
      </c>
      <c r="U45" s="668">
        <f t="shared" si="13"/>
        <v>100</v>
      </c>
      <c r="V45" s="667" t="s">
        <v>18</v>
      </c>
      <c r="W45" s="668">
        <f t="shared" si="14"/>
        <v>100</v>
      </c>
      <c r="X45" s="1265"/>
      <c r="Y45" s="3413"/>
      <c r="Z45" s="1264">
        <f t="shared" si="18"/>
        <v>111</v>
      </c>
      <c r="AA45" s="1264">
        <f t="shared" si="15"/>
        <v>1</v>
      </c>
      <c r="AB45" s="1264">
        <f t="shared" si="16"/>
        <v>1</v>
      </c>
      <c r="AC45" s="1264">
        <f t="shared" si="17"/>
        <v>1</v>
      </c>
    </row>
    <row r="46" spans="1:29" ht="1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412"/>
      <c r="Q46" s="1263">
        <f t="shared" si="11"/>
        <v>111</v>
      </c>
      <c r="R46" s="667" t="s">
        <v>17</v>
      </c>
      <c r="S46" s="668">
        <f t="shared" si="12"/>
        <v>100</v>
      </c>
      <c r="T46" s="667" t="s">
        <v>17</v>
      </c>
      <c r="U46" s="668">
        <f t="shared" si="13"/>
        <v>100</v>
      </c>
      <c r="V46" s="667" t="s">
        <v>17</v>
      </c>
      <c r="W46" s="668">
        <f t="shared" si="14"/>
        <v>100</v>
      </c>
      <c r="X46" s="1265"/>
      <c r="Y46" s="3414"/>
      <c r="Z46" s="1264">
        <f t="shared" si="18"/>
        <v>111</v>
      </c>
      <c r="AA46" s="1264">
        <f t="shared" si="15"/>
        <v>1</v>
      </c>
      <c r="AB46" s="1264">
        <f t="shared" si="16"/>
        <v>1</v>
      </c>
      <c r="AC46" s="1264">
        <f t="shared" si="17"/>
        <v>1</v>
      </c>
    </row>
    <row r="47" spans="1:29">
      <c r="A47" s="416" t="s">
        <v>1708</v>
      </c>
      <c r="B47" s="417"/>
      <c r="C47" s="1081" t="s">
        <v>16</v>
      </c>
      <c r="D47" s="418"/>
      <c r="E47" s="419"/>
      <c r="F47" s="420"/>
      <c r="G47" s="421"/>
      <c r="H47" s="422"/>
      <c r="I47" s="419"/>
      <c r="J47" s="422"/>
      <c r="K47" s="1767"/>
      <c r="L47" s="2493"/>
      <c r="M47" s="2486"/>
      <c r="N47" s="2486"/>
      <c r="O47" s="2486"/>
      <c r="P47" s="3415" t="str">
        <f>A47</f>
        <v>成交单价（元/平方米）</v>
      </c>
      <c r="Q47" s="3415"/>
      <c r="R47" s="3403">
        <f>E47</f>
        <v>0</v>
      </c>
      <c r="S47" s="3403"/>
      <c r="T47" s="3403">
        <f>G47</f>
        <v>0</v>
      </c>
      <c r="U47" s="3403"/>
      <c r="V47" s="3403">
        <f>I47</f>
        <v>0</v>
      </c>
      <c r="W47" s="3403"/>
      <c r="X47" s="385"/>
      <c r="Y47" s="673"/>
      <c r="Z47" s="385"/>
      <c r="AA47" s="385"/>
      <c r="AB47" s="385"/>
      <c r="AC47" s="385"/>
    </row>
    <row r="48" spans="1:29" ht="14.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415" t="str">
        <f>A48</f>
        <v>比较价值（元/平方米）</v>
      </c>
      <c r="Q48" s="3415"/>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4.5" thickBot="1">
      <c r="A49" s="427" t="s">
        <v>1710</v>
      </c>
      <c r="B49" s="428"/>
      <c r="C49" s="1084" t="e">
        <f>R49</f>
        <v>#DIV/0!</v>
      </c>
      <c r="D49" s="351"/>
      <c r="E49" s="351"/>
      <c r="F49" s="351"/>
      <c r="G49" s="351"/>
      <c r="H49" s="351"/>
      <c r="I49" s="351"/>
      <c r="J49" s="351"/>
      <c r="K49" s="1768"/>
      <c r="L49" s="2493"/>
      <c r="M49" s="2486"/>
      <c r="N49" s="2486"/>
      <c r="O49" s="2486"/>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1.5" thickBot="1">
      <c r="A57" s="658" t="s">
        <v>1714</v>
      </c>
      <c r="B57" s="385"/>
      <c r="C57" s="659"/>
      <c r="D57" s="659"/>
      <c r="E57" s="659"/>
      <c r="F57" s="660"/>
      <c r="G57" s="660"/>
      <c r="H57" s="659"/>
      <c r="I57" s="659"/>
      <c r="J57" s="659"/>
      <c r="K57" s="887"/>
      <c r="L57" s="888"/>
      <c r="M57" s="886"/>
      <c r="N57" s="886"/>
      <c r="O57" s="886"/>
      <c r="P57" s="1771"/>
      <c r="Q57" s="439"/>
    </row>
    <row r="58" spans="1:29" s="442" customFormat="1">
      <c r="A58" s="440" t="s">
        <v>1715</v>
      </c>
      <c r="B58" s="441"/>
      <c r="C58" s="1105" t="str">
        <f>YEAR(C7)&amp;"-"&amp;MONTH(C7)</f>
        <v>2025-10</v>
      </c>
      <c r="D58" s="1104">
        <f>EDATE(C58,-1)</f>
        <v>45901</v>
      </c>
      <c r="E58" s="1104">
        <f>EDATE(D58,-1)</f>
        <v>45870</v>
      </c>
      <c r="F58" s="1104">
        <f t="shared" ref="F58:O58" si="19">EDATE(E58,-1)</f>
        <v>45839</v>
      </c>
      <c r="G58" s="1104">
        <f t="shared" si="19"/>
        <v>45809</v>
      </c>
      <c r="H58" s="1104">
        <f t="shared" si="19"/>
        <v>45778</v>
      </c>
      <c r="I58" s="1104">
        <f t="shared" si="19"/>
        <v>45748</v>
      </c>
      <c r="J58" s="1104">
        <f t="shared" si="19"/>
        <v>45717</v>
      </c>
      <c r="K58" s="1104">
        <f t="shared" si="19"/>
        <v>45689</v>
      </c>
      <c r="L58" s="1104">
        <f t="shared" si="19"/>
        <v>45658</v>
      </c>
      <c r="M58" s="1104">
        <f t="shared" si="19"/>
        <v>45627</v>
      </c>
      <c r="N58" s="1104">
        <f t="shared" si="19"/>
        <v>45597</v>
      </c>
      <c r="O58" s="1104">
        <f t="shared" si="19"/>
        <v>45566</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4.5" thickBot="1">
      <c r="A60" s="449" t="s">
        <v>1716</v>
      </c>
      <c r="B60" s="450"/>
      <c r="C60" s="451"/>
      <c r="D60" s="452"/>
      <c r="E60" s="452"/>
      <c r="F60" s="452"/>
      <c r="G60" s="452"/>
      <c r="H60" s="452"/>
      <c r="I60" s="452"/>
      <c r="J60" s="452"/>
      <c r="K60" s="452"/>
      <c r="L60" s="452"/>
      <c r="M60" s="453"/>
      <c r="N60" s="452"/>
      <c r="O60" s="453"/>
      <c r="P60" s="1773"/>
      <c r="Q60" s="439"/>
    </row>
    <row r="61" spans="1:29" s="102" customFormat="1">
      <c r="A61" s="455" t="s">
        <v>1717</v>
      </c>
      <c r="B61" s="444"/>
      <c r="C61" s="456" t="s">
        <v>1718</v>
      </c>
      <c r="D61" s="31"/>
      <c r="E61" s="31"/>
      <c r="F61" s="31"/>
      <c r="G61" s="31"/>
      <c r="H61" s="31"/>
      <c r="I61" s="31"/>
      <c r="J61" s="31"/>
      <c r="K61" s="31"/>
      <c r="L61" s="457"/>
      <c r="M61" s="458"/>
      <c r="N61" s="878"/>
      <c r="O61" s="878"/>
      <c r="P61" s="1774"/>
      <c r="Q61" s="439"/>
    </row>
    <row r="62" spans="1:29" s="102" customFormat="1" ht="14.5" thickBot="1">
      <c r="A62" s="455"/>
      <c r="B62" s="444"/>
      <c r="C62" s="445">
        <v>100</v>
      </c>
      <c r="D62" s="446"/>
      <c r="E62" s="446"/>
      <c r="F62" s="446"/>
      <c r="G62" s="446"/>
      <c r="H62" s="446"/>
      <c r="I62" s="446"/>
      <c r="J62" s="446"/>
      <c r="K62" s="446"/>
      <c r="L62" s="446"/>
      <c r="M62" s="448"/>
      <c r="N62" s="878"/>
      <c r="O62" s="878"/>
      <c r="P62" s="1773"/>
      <c r="Q62" s="439"/>
    </row>
    <row r="63" spans="1:29">
      <c r="A63" s="379" t="s">
        <v>1719</v>
      </c>
      <c r="B63" s="460" t="s">
        <v>1685</v>
      </c>
      <c r="C63" s="461">
        <f>C9</f>
        <v>0</v>
      </c>
      <c r="D63" s="462"/>
      <c r="E63" s="462"/>
      <c r="F63" s="462"/>
      <c r="G63" s="462"/>
      <c r="H63" s="462"/>
      <c r="I63" s="462"/>
      <c r="J63" s="462"/>
      <c r="K63" s="463"/>
      <c r="L63" s="464"/>
      <c r="M63" s="465"/>
      <c r="N63" s="879"/>
      <c r="O63" s="879"/>
      <c r="P63" s="1775"/>
      <c r="Q63" s="439"/>
    </row>
    <row r="64" spans="1:29" ht="14.5" thickBot="1">
      <c r="A64" s="367"/>
      <c r="B64" s="466"/>
      <c r="C64" s="467">
        <v>100</v>
      </c>
      <c r="D64" s="467"/>
      <c r="E64" s="467"/>
      <c r="F64" s="467"/>
      <c r="G64" s="467"/>
      <c r="H64" s="467"/>
      <c r="I64" s="467"/>
      <c r="J64" s="467"/>
      <c r="K64" s="467"/>
      <c r="L64" s="467"/>
      <c r="M64" s="468"/>
      <c r="N64" s="880"/>
      <c r="O64" s="880"/>
      <c r="P64" s="1775"/>
      <c r="Q64" s="439"/>
    </row>
    <row r="65" spans="1:17" ht="28.5" thickTop="1">
      <c r="A65" s="367"/>
      <c r="B65" s="469" t="s">
        <v>1688</v>
      </c>
      <c r="C65" s="513"/>
      <c r="D65" s="513"/>
      <c r="E65" s="513"/>
      <c r="F65" s="513"/>
      <c r="G65" s="513"/>
      <c r="H65" s="513"/>
      <c r="I65" s="513"/>
      <c r="J65" s="513"/>
      <c r="K65" s="513"/>
      <c r="L65" s="513"/>
      <c r="M65" s="513"/>
      <c r="N65" s="880"/>
      <c r="O65" s="880"/>
      <c r="P65" s="1775"/>
      <c r="Q65" s="439"/>
    </row>
    <row r="66" spans="1:17" ht="14.5" thickBot="1">
      <c r="A66" s="367"/>
      <c r="B66" s="474"/>
      <c r="C66" s="467"/>
      <c r="D66" s="467"/>
      <c r="E66" s="467"/>
      <c r="F66" s="467"/>
      <c r="G66" s="467"/>
      <c r="H66" s="467"/>
      <c r="I66" s="467"/>
      <c r="J66" s="467"/>
      <c r="K66" s="467"/>
      <c r="L66" s="467"/>
      <c r="M66" s="468"/>
      <c r="N66" s="880"/>
      <c r="O66" s="880"/>
      <c r="P66" s="1775"/>
      <c r="Q66" s="439"/>
    </row>
    <row r="67" spans="1:17" ht="14.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5"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5" thickTop="1">
      <c r="A70" s="484"/>
      <c r="B70" s="469">
        <f>B12</f>
        <v>111</v>
      </c>
      <c r="C70" s="485"/>
      <c r="D70" s="485"/>
      <c r="E70" s="485"/>
      <c r="F70" s="485"/>
      <c r="G70" s="485"/>
      <c r="H70" s="486"/>
      <c r="I70" s="486"/>
      <c r="J70" s="486"/>
      <c r="K70" s="486"/>
      <c r="L70" s="487"/>
      <c r="M70" s="488"/>
      <c r="N70" s="881"/>
      <c r="O70" s="881"/>
      <c r="P70" s="1776"/>
      <c r="Q70" s="490"/>
    </row>
    <row r="71" spans="1:17" s="408" customFormat="1" ht="14.5" thickBot="1">
      <c r="A71" s="484"/>
      <c r="B71" s="474"/>
      <c r="C71" s="491"/>
      <c r="D71" s="467"/>
      <c r="E71" s="467"/>
      <c r="F71" s="467"/>
      <c r="G71" s="467"/>
      <c r="H71" s="467"/>
      <c r="I71" s="467"/>
      <c r="J71" s="467"/>
      <c r="K71" s="467"/>
      <c r="L71" s="467"/>
      <c r="M71" s="468"/>
      <c r="N71" s="880"/>
      <c r="O71" s="880"/>
      <c r="P71" s="1776"/>
      <c r="Q71" s="490"/>
    </row>
    <row r="72" spans="1:17" s="408" customFormat="1" ht="14.5" thickTop="1">
      <c r="A72" s="484"/>
      <c r="B72" s="469">
        <f>B13</f>
        <v>111</v>
      </c>
      <c r="C72" s="485"/>
      <c r="D72" s="485"/>
      <c r="E72" s="485"/>
      <c r="F72" s="485"/>
      <c r="G72" s="485"/>
      <c r="H72" s="486"/>
      <c r="I72" s="486"/>
      <c r="J72" s="486"/>
      <c r="K72" s="486"/>
      <c r="L72" s="487"/>
      <c r="M72" s="488"/>
      <c r="N72" s="881"/>
      <c r="O72" s="881"/>
      <c r="P72" s="1777"/>
      <c r="Q72" s="492"/>
    </row>
    <row r="73" spans="1:17" s="408" customFormat="1" ht="14.5" thickBot="1">
      <c r="A73" s="484"/>
      <c r="B73" s="474"/>
      <c r="C73" s="491"/>
      <c r="D73" s="491"/>
      <c r="E73" s="491"/>
      <c r="F73" s="491"/>
      <c r="G73" s="491"/>
      <c r="H73" s="493"/>
      <c r="I73" s="493"/>
      <c r="J73" s="493"/>
      <c r="K73" s="493"/>
      <c r="L73" s="493"/>
      <c r="M73" s="494"/>
      <c r="N73" s="881"/>
      <c r="O73" s="881"/>
      <c r="P73" s="1776"/>
      <c r="Q73" s="490"/>
    </row>
    <row r="74" spans="1:17" s="408" customFormat="1" ht="14.5" thickTop="1">
      <c r="A74" s="484"/>
      <c r="B74" s="477">
        <f>B14</f>
        <v>111</v>
      </c>
      <c r="C74" s="485"/>
      <c r="D74" s="485"/>
      <c r="E74" s="485"/>
      <c r="F74" s="485"/>
      <c r="G74" s="31"/>
      <c r="H74" s="495"/>
      <c r="I74" s="495"/>
      <c r="J74" s="495"/>
      <c r="K74" s="495"/>
      <c r="L74" s="496"/>
      <c r="M74" s="497"/>
      <c r="N74" s="881"/>
      <c r="O74" s="881"/>
      <c r="P74" s="1778"/>
      <c r="Q74" s="490"/>
    </row>
    <row r="75" spans="1:17" s="408" customFormat="1" ht="14.5" thickBot="1">
      <c r="A75" s="499"/>
      <c r="B75" s="500"/>
      <c r="C75" s="501"/>
      <c r="D75" s="501"/>
      <c r="E75" s="501"/>
      <c r="F75" s="501"/>
      <c r="G75" s="501"/>
      <c r="H75" s="502"/>
      <c r="I75" s="502"/>
      <c r="J75" s="502"/>
      <c r="K75" s="502"/>
      <c r="L75" s="502"/>
      <c r="M75" s="503"/>
      <c r="N75" s="881"/>
      <c r="O75" s="881"/>
      <c r="P75" s="1776"/>
      <c r="Q75" s="490"/>
    </row>
    <row r="76" spans="1:17">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5"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4.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5"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4.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5"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4.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5"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4.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5"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5"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4.5" thickTop="1">
      <c r="A88" s="370"/>
      <c r="B88" s="469" t="s">
        <v>1735</v>
      </c>
      <c r="C88" s="485"/>
      <c r="D88" s="485"/>
      <c r="E88" s="485"/>
      <c r="F88" s="1780"/>
      <c r="G88" s="485"/>
      <c r="H88" s="485"/>
      <c r="I88" s="485"/>
      <c r="J88" s="485"/>
      <c r="K88" s="485"/>
      <c r="L88" s="485"/>
      <c r="M88" s="511"/>
      <c r="N88" s="878"/>
      <c r="O88" s="878"/>
      <c r="P88" s="1775"/>
      <c r="Q88" s="439"/>
    </row>
    <row r="89" spans="1:17" s="102" customFormat="1" ht="14.5"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5" thickTop="1">
      <c r="A90" s="484"/>
      <c r="B90" s="469">
        <f>B27</f>
        <v>111</v>
      </c>
      <c r="C90" s="485"/>
      <c r="D90" s="485"/>
      <c r="E90" s="485"/>
      <c r="F90" s="485"/>
      <c r="G90" s="485"/>
      <c r="H90" s="486"/>
      <c r="I90" s="486"/>
      <c r="J90" s="486"/>
      <c r="K90" s="486"/>
      <c r="L90" s="487"/>
      <c r="M90" s="488"/>
      <c r="N90" s="881"/>
      <c r="O90" s="881"/>
      <c r="P90" s="1776"/>
      <c r="Q90" s="490"/>
    </row>
    <row r="91" spans="1:17" s="408" customFormat="1" ht="14.5" thickBot="1">
      <c r="A91" s="484"/>
      <c r="B91" s="474"/>
      <c r="C91" s="491"/>
      <c r="D91" s="491"/>
      <c r="E91" s="491"/>
      <c r="F91" s="491"/>
      <c r="G91" s="491"/>
      <c r="H91" s="493"/>
      <c r="I91" s="493"/>
      <c r="J91" s="493"/>
      <c r="K91" s="493"/>
      <c r="L91" s="493"/>
      <c r="M91" s="494"/>
      <c r="N91" s="881"/>
      <c r="O91" s="881"/>
      <c r="P91" s="1776"/>
      <c r="Q91" s="490"/>
    </row>
    <row r="92" spans="1:17" ht="14.5" thickTop="1">
      <c r="A92" s="367"/>
      <c r="B92" s="469">
        <f>B28</f>
        <v>111</v>
      </c>
      <c r="C92" s="485"/>
      <c r="D92" s="485"/>
      <c r="E92" s="485"/>
      <c r="F92" s="485"/>
      <c r="G92" s="513"/>
      <c r="H92" s="513"/>
      <c r="I92" s="513"/>
      <c r="J92" s="513"/>
      <c r="K92" s="514"/>
      <c r="L92" s="515"/>
      <c r="M92" s="516"/>
      <c r="N92" s="879"/>
      <c r="O92" s="879"/>
      <c r="P92" s="1775"/>
      <c r="Q92" s="439"/>
    </row>
    <row r="93" spans="1:17" ht="14.5" thickBot="1">
      <c r="A93" s="367"/>
      <c r="B93" s="474"/>
      <c r="C93" s="491"/>
      <c r="D93" s="467"/>
      <c r="E93" s="467"/>
      <c r="F93" s="467"/>
      <c r="G93" s="467"/>
      <c r="H93" s="467"/>
      <c r="I93" s="467"/>
      <c r="J93" s="467"/>
      <c r="K93" s="467"/>
      <c r="L93" s="467"/>
      <c r="M93" s="468"/>
      <c r="N93" s="880"/>
      <c r="O93" s="880"/>
      <c r="P93" s="1775"/>
      <c r="Q93" s="439"/>
    </row>
    <row r="94" spans="1:17" ht="14.5" thickTop="1">
      <c r="A94" s="367"/>
      <c r="B94" s="469">
        <f>B29</f>
        <v>111</v>
      </c>
      <c r="C94" s="485"/>
      <c r="D94" s="485"/>
      <c r="E94" s="485"/>
      <c r="F94" s="485"/>
      <c r="G94" s="513"/>
      <c r="H94" s="513"/>
      <c r="I94" s="513"/>
      <c r="J94" s="513"/>
      <c r="K94" s="514"/>
      <c r="L94" s="515"/>
      <c r="M94" s="516"/>
      <c r="N94" s="879"/>
      <c r="O94" s="879"/>
      <c r="P94" s="1775"/>
      <c r="Q94" s="439"/>
    </row>
    <row r="95" spans="1:17" ht="14.5" thickBot="1">
      <c r="A95" s="367"/>
      <c r="B95" s="474"/>
      <c r="C95" s="491"/>
      <c r="D95" s="491"/>
      <c r="E95" s="491"/>
      <c r="F95" s="491"/>
      <c r="G95" s="467"/>
      <c r="H95" s="467"/>
      <c r="I95" s="467"/>
      <c r="J95" s="467"/>
      <c r="K95" s="467"/>
      <c r="L95" s="467"/>
      <c r="M95" s="468"/>
      <c r="N95" s="880"/>
      <c r="O95" s="880"/>
      <c r="P95" s="1775"/>
      <c r="Q95" s="439"/>
    </row>
    <row r="96" spans="1:17" ht="14.5" thickTop="1">
      <c r="A96" s="367"/>
      <c r="B96" s="469">
        <f>B30</f>
        <v>111</v>
      </c>
      <c r="C96" s="485"/>
      <c r="D96" s="485"/>
      <c r="E96" s="485"/>
      <c r="F96" s="485"/>
      <c r="G96" s="513"/>
      <c r="H96" s="513"/>
      <c r="I96" s="513"/>
      <c r="J96" s="513"/>
      <c r="K96" s="514"/>
      <c r="L96" s="515"/>
      <c r="M96" s="516"/>
      <c r="N96" s="879"/>
      <c r="O96" s="879"/>
      <c r="P96" s="1775"/>
      <c r="Q96" s="439"/>
    </row>
    <row r="97" spans="1:17" ht="14.5" thickBot="1">
      <c r="A97" s="367"/>
      <c r="B97" s="474"/>
      <c r="C97" s="501"/>
      <c r="D97" s="501"/>
      <c r="E97" s="501"/>
      <c r="F97" s="501"/>
      <c r="G97" s="467"/>
      <c r="H97" s="467"/>
      <c r="I97" s="467"/>
      <c r="J97" s="467"/>
      <c r="K97" s="467"/>
      <c r="L97" s="467"/>
      <c r="M97" s="468"/>
      <c r="N97" s="880"/>
      <c r="O97" s="880"/>
      <c r="P97" s="1775"/>
      <c r="Q97" s="439"/>
    </row>
    <row r="98" spans="1:17" ht="14.5" thickTop="1">
      <c r="A98" s="367"/>
      <c r="B98" s="477">
        <f>B31</f>
        <v>111</v>
      </c>
      <c r="C98" s="517"/>
      <c r="D98" s="517"/>
      <c r="E98" s="517"/>
      <c r="F98" s="517"/>
      <c r="G98" s="517"/>
      <c r="H98" s="517"/>
      <c r="I98" s="517"/>
      <c r="J98" s="517"/>
      <c r="K98" s="518"/>
      <c r="L98" s="519"/>
      <c r="M98" s="520"/>
      <c r="N98" s="879"/>
      <c r="O98" s="879"/>
      <c r="P98" s="1775"/>
      <c r="Q98" s="439"/>
    </row>
    <row r="99" spans="1:17" ht="14.5" thickBot="1">
      <c r="A99" s="375"/>
      <c r="B99" s="500"/>
      <c r="C99" s="521"/>
      <c r="D99" s="521"/>
      <c r="E99" s="521"/>
      <c r="F99" s="521"/>
      <c r="G99" s="521"/>
      <c r="H99" s="521"/>
      <c r="I99" s="521"/>
      <c r="J99" s="521"/>
      <c r="K99" s="521"/>
      <c r="L99" s="521"/>
      <c r="M99" s="522"/>
      <c r="N99" s="880"/>
      <c r="O99" s="880"/>
      <c r="P99" s="1775"/>
      <c r="Q99" s="439"/>
    </row>
    <row r="100" spans="1:17">
      <c r="A100" s="379" t="s">
        <v>1694</v>
      </c>
      <c r="B100" s="460" t="s">
        <v>1736</v>
      </c>
      <c r="C100" s="462"/>
      <c r="D100" s="462"/>
      <c r="E100" s="462"/>
      <c r="F100" s="462"/>
      <c r="G100" s="462"/>
      <c r="H100" s="462"/>
      <c r="I100" s="462"/>
      <c r="J100" s="462"/>
      <c r="K100" s="463"/>
      <c r="L100" s="464"/>
      <c r="M100" s="465"/>
      <c r="N100" s="879"/>
      <c r="O100" s="879"/>
      <c r="P100" s="1775"/>
      <c r="Q100" s="439"/>
    </row>
    <row r="101" spans="1:17" ht="14.5"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4.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5" thickBot="1">
      <c r="A104" s="484"/>
      <c r="B104" s="474"/>
      <c r="C104" s="491"/>
      <c r="D104" s="467"/>
      <c r="E104" s="467"/>
      <c r="F104" s="467"/>
      <c r="G104" s="467"/>
      <c r="H104" s="467"/>
      <c r="I104" s="467"/>
      <c r="J104" s="467"/>
      <c r="K104" s="467"/>
      <c r="L104" s="467"/>
      <c r="M104" s="467"/>
      <c r="N104" s="880"/>
      <c r="O104" s="880"/>
      <c r="P104" s="1776"/>
      <c r="Q104" s="490"/>
    </row>
    <row r="105" spans="1:17" ht="14.5" thickTop="1">
      <c r="A105" s="409"/>
      <c r="B105" s="469" t="s">
        <v>1738</v>
      </c>
      <c r="C105" s="485"/>
      <c r="D105" s="485"/>
      <c r="E105" s="513"/>
      <c r="F105" s="513"/>
      <c r="G105" s="513"/>
      <c r="H105" s="513"/>
      <c r="I105" s="513"/>
      <c r="J105" s="513"/>
      <c r="K105" s="514"/>
      <c r="L105" s="515"/>
      <c r="M105" s="516"/>
      <c r="N105" s="879"/>
      <c r="O105" s="879"/>
      <c r="P105" s="1775"/>
      <c r="Q105" s="439"/>
    </row>
    <row r="106" spans="1:17" ht="14.5"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4.5" thickTop="1">
      <c r="A107" s="409"/>
      <c r="B107" s="469" t="s">
        <v>1739</v>
      </c>
      <c r="C107" s="513"/>
      <c r="D107" s="513"/>
      <c r="E107" s="513"/>
      <c r="F107" s="513"/>
      <c r="G107" s="513"/>
      <c r="H107" s="513"/>
      <c r="I107" s="513"/>
      <c r="J107" s="513"/>
      <c r="K107" s="514"/>
      <c r="L107" s="515"/>
      <c r="M107" s="516"/>
      <c r="N107" s="879"/>
      <c r="O107" s="879"/>
      <c r="P107" s="1775"/>
      <c r="Q107" s="439"/>
    </row>
    <row r="108" spans="1:17" ht="14.5"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4.5" thickTop="1">
      <c r="A109" s="409"/>
      <c r="B109" s="469" t="s">
        <v>1740</v>
      </c>
      <c r="C109" s="485"/>
      <c r="D109" s="485"/>
      <c r="E109" s="485"/>
      <c r="F109" s="513"/>
      <c r="G109" s="513"/>
      <c r="H109" s="513"/>
      <c r="I109" s="513"/>
      <c r="J109" s="513"/>
      <c r="K109" s="514"/>
      <c r="L109" s="515"/>
      <c r="M109" s="516"/>
      <c r="N109" s="879"/>
      <c r="O109" s="879"/>
      <c r="P109" s="1775"/>
      <c r="Q109" s="439"/>
    </row>
    <row r="110" spans="1:17" ht="14.5"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4.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5"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4.5" thickTop="1">
      <c r="A114" s="409"/>
      <c r="B114" s="469" t="s">
        <v>1741</v>
      </c>
      <c r="C114" s="485"/>
      <c r="D114" s="485"/>
      <c r="E114" s="513"/>
      <c r="F114" s="513"/>
      <c r="G114" s="513"/>
      <c r="H114" s="513"/>
      <c r="I114" s="513"/>
      <c r="J114" s="513"/>
      <c r="K114" s="514"/>
      <c r="L114" s="515"/>
      <c r="M114" s="516"/>
      <c r="N114" s="879"/>
      <c r="O114" s="879"/>
      <c r="P114" s="1775"/>
      <c r="Q114" s="439"/>
    </row>
    <row r="115" spans="1:17" ht="14.5"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4.5" thickTop="1">
      <c r="A116" s="409"/>
      <c r="B116" s="469" t="s">
        <v>1742</v>
      </c>
      <c r="C116" s="485"/>
      <c r="D116" s="485"/>
      <c r="E116" s="485"/>
      <c r="F116" s="485"/>
      <c r="G116" s="485"/>
      <c r="H116" s="513"/>
      <c r="I116" s="513"/>
      <c r="J116" s="513"/>
      <c r="K116" s="514"/>
      <c r="L116" s="515"/>
      <c r="M116" s="516"/>
      <c r="N116" s="879"/>
      <c r="O116" s="879"/>
      <c r="P116" s="1775"/>
      <c r="Q116" s="439"/>
    </row>
    <row r="117" spans="1:17" ht="14.5"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4.5" thickTop="1">
      <c r="A118" s="409"/>
      <c r="B118" s="469" t="s">
        <v>1743</v>
      </c>
      <c r="C118" s="513"/>
      <c r="D118" s="513"/>
      <c r="E118" s="513"/>
      <c r="F118" s="513"/>
      <c r="G118" s="513"/>
      <c r="H118" s="513"/>
      <c r="I118" s="513"/>
      <c r="J118" s="513"/>
      <c r="K118" s="514"/>
      <c r="L118" s="515"/>
      <c r="M118" s="516"/>
      <c r="N118" s="879"/>
      <c r="O118" s="879"/>
      <c r="P118" s="1775"/>
      <c r="Q118" s="439"/>
    </row>
    <row r="119" spans="1:17" ht="14.5"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5" thickBot="1">
      <c r="A121" s="484"/>
      <c r="B121" s="466"/>
      <c r="C121" s="491"/>
      <c r="D121" s="467"/>
      <c r="E121" s="467"/>
      <c r="F121" s="467"/>
      <c r="G121" s="467"/>
      <c r="H121" s="467"/>
      <c r="I121" s="467"/>
      <c r="J121" s="467"/>
      <c r="K121" s="467"/>
      <c r="L121" s="467"/>
      <c r="M121" s="467"/>
      <c r="N121" s="881"/>
      <c r="O121" s="881"/>
      <c r="P121" s="1776"/>
      <c r="Q121" s="490"/>
    </row>
    <row r="122" spans="1:17" ht="14.5" thickTop="1">
      <c r="A122" s="409"/>
      <c r="B122" s="469" t="s">
        <v>1744</v>
      </c>
      <c r="C122" s="485"/>
      <c r="D122" s="485"/>
      <c r="E122" s="485"/>
      <c r="F122" s="513"/>
      <c r="G122" s="513"/>
      <c r="H122" s="513"/>
      <c r="I122" s="513"/>
      <c r="J122" s="513"/>
      <c r="K122" s="514"/>
      <c r="L122" s="515"/>
      <c r="M122" s="516"/>
      <c r="N122" s="879"/>
      <c r="O122" s="879"/>
      <c r="P122" s="1775"/>
      <c r="Q122" s="439"/>
    </row>
    <row r="123" spans="1:17" ht="14.5"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8.5"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5"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5"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5" thickBot="1">
      <c r="A127" s="484"/>
      <c r="B127" s="474"/>
      <c r="C127" s="491"/>
      <c r="D127" s="467"/>
      <c r="E127" s="467"/>
      <c r="F127" s="467"/>
      <c r="G127" s="491"/>
      <c r="H127" s="493"/>
      <c r="I127" s="493"/>
      <c r="J127" s="493"/>
      <c r="K127" s="493"/>
      <c r="L127" s="493"/>
      <c r="M127" s="494"/>
      <c r="N127" s="881"/>
      <c r="O127" s="881"/>
      <c r="P127" s="1776"/>
      <c r="Q127" s="490"/>
    </row>
    <row r="128" spans="1:17" ht="14.5" thickTop="1">
      <c r="A128" s="409"/>
      <c r="B128" s="469">
        <f>B45</f>
        <v>111</v>
      </c>
      <c r="C128" s="485"/>
      <c r="D128" s="485"/>
      <c r="E128" s="485"/>
      <c r="F128" s="485"/>
      <c r="G128" s="513"/>
      <c r="H128" s="513"/>
      <c r="I128" s="513"/>
      <c r="J128" s="513"/>
      <c r="K128" s="514"/>
      <c r="L128" s="515"/>
      <c r="M128" s="516"/>
      <c r="N128" s="879"/>
      <c r="O128" s="879"/>
      <c r="P128" s="1775"/>
      <c r="Q128" s="439"/>
    </row>
    <row r="129" spans="1:17" ht="14.5" thickBot="1">
      <c r="A129" s="367"/>
      <c r="B129" s="474"/>
      <c r="C129" s="491"/>
      <c r="D129" s="491"/>
      <c r="E129" s="491"/>
      <c r="F129" s="491"/>
      <c r="G129" s="467"/>
      <c r="H129" s="467"/>
      <c r="I129" s="467"/>
      <c r="J129" s="467"/>
      <c r="K129" s="467"/>
      <c r="L129" s="467"/>
      <c r="M129" s="468"/>
      <c r="N129" s="880"/>
      <c r="O129" s="880"/>
      <c r="P129" s="1775"/>
      <c r="Q129" s="439"/>
    </row>
    <row r="130" spans="1:17" ht="14.5" thickTop="1">
      <c r="A130" s="409"/>
      <c r="B130" s="477">
        <f>B46</f>
        <v>111</v>
      </c>
      <c r="C130" s="485"/>
      <c r="D130" s="485"/>
      <c r="E130" s="485"/>
      <c r="F130" s="485"/>
      <c r="G130" s="517"/>
      <c r="H130" s="517"/>
      <c r="I130" s="517"/>
      <c r="J130" s="517"/>
      <c r="K130" s="31"/>
      <c r="L130" s="457"/>
      <c r="M130" s="520"/>
      <c r="N130" s="879"/>
      <c r="O130" s="879"/>
      <c r="P130" s="1775"/>
      <c r="Q130" s="439"/>
    </row>
    <row r="131" spans="1:17" ht="14.5" thickBot="1">
      <c r="A131" s="375"/>
      <c r="B131" s="500"/>
      <c r="C131" s="501"/>
      <c r="D131" s="501"/>
      <c r="E131" s="501"/>
      <c r="F131" s="501"/>
      <c r="G131" s="521"/>
      <c r="H131" s="521"/>
      <c r="I131" s="521"/>
      <c r="J131" s="521"/>
      <c r="K131" s="521"/>
      <c r="L131" s="521"/>
      <c r="M131" s="522"/>
      <c r="N131" s="880"/>
      <c r="O131" s="880"/>
      <c r="P131" s="1775"/>
      <c r="Q131" s="439"/>
    </row>
    <row r="136" spans="1:17" ht="14.5" thickBot="1">
      <c r="B136" s="1781" t="s">
        <v>1746</v>
      </c>
    </row>
    <row r="137" spans="1:17" ht="15.5">
      <c r="B137" s="1782" t="s">
        <v>1747</v>
      </c>
      <c r="C137" s="1783"/>
      <c r="D137" s="1783"/>
      <c r="E137" s="1783"/>
      <c r="F137" s="1783"/>
      <c r="G137" s="1784"/>
      <c r="H137" s="1785"/>
      <c r="I137" s="1786" t="s">
        <v>1748</v>
      </c>
      <c r="J137" s="1783"/>
      <c r="K137" s="1787"/>
    </row>
    <row r="138" spans="1:17" ht="15.5">
      <c r="B138" s="1788"/>
      <c r="C138" s="129" t="s">
        <v>1749</v>
      </c>
      <c r="D138" s="129" t="s">
        <v>1750</v>
      </c>
      <c r="E138" s="1789" t="s">
        <v>1751</v>
      </c>
      <c r="F138" s="1790" t="s">
        <v>1752</v>
      </c>
      <c r="G138" s="129" t="s">
        <v>1750</v>
      </c>
      <c r="H138" s="130" t="s">
        <v>1751</v>
      </c>
      <c r="I138" s="1791"/>
      <c r="J138" s="129" t="s">
        <v>1753</v>
      </c>
      <c r="K138" s="130" t="s">
        <v>1754</v>
      </c>
    </row>
    <row r="139" spans="1:17" ht="15.5">
      <c r="B139" s="814">
        <v>6</v>
      </c>
      <c r="C139" s="815">
        <v>96</v>
      </c>
      <c r="D139" s="1792" t="s">
        <v>1755</v>
      </c>
      <c r="E139" s="816">
        <v>100</v>
      </c>
      <c r="F139" s="817">
        <v>102.5</v>
      </c>
      <c r="G139" s="1792" t="s">
        <v>1755</v>
      </c>
      <c r="H139" s="818">
        <v>105</v>
      </c>
      <c r="I139" s="1793" t="s">
        <v>1756</v>
      </c>
      <c r="J139" s="815">
        <v>20</v>
      </c>
      <c r="K139" s="819">
        <f>C145/(J139-2)</f>
        <v>4.0555555555555553E-3</v>
      </c>
    </row>
    <row r="140" spans="1:17" ht="15.5">
      <c r="B140" s="820">
        <v>5</v>
      </c>
      <c r="C140" s="821">
        <v>100</v>
      </c>
      <c r="D140" s="821"/>
      <c r="E140" s="822"/>
      <c r="F140" s="823">
        <v>102</v>
      </c>
      <c r="G140" s="821"/>
      <c r="H140" s="824"/>
      <c r="I140" s="1794" t="s">
        <v>1757</v>
      </c>
      <c r="J140" s="263">
        <f>ROUNDUP((J139-1)/2,0)</f>
        <v>10</v>
      </c>
      <c r="K140" s="825">
        <v>100</v>
      </c>
    </row>
    <row r="141" spans="1:17" ht="15.5">
      <c r="B141" s="820">
        <v>4</v>
      </c>
      <c r="C141" s="821">
        <v>102</v>
      </c>
      <c r="D141" s="821"/>
      <c r="E141" s="822"/>
      <c r="F141" s="823">
        <v>101.5</v>
      </c>
      <c r="G141" s="821"/>
      <c r="H141" s="824"/>
      <c r="I141" s="1794" t="s">
        <v>1758</v>
      </c>
      <c r="J141" s="263">
        <v>1</v>
      </c>
      <c r="K141" s="826">
        <f>ROUND(100+(J141-J140)*K139*100,1)</f>
        <v>96.4</v>
      </c>
    </row>
    <row r="142" spans="1:17" ht="15.5">
      <c r="B142" s="820">
        <v>3</v>
      </c>
      <c r="C142" s="821">
        <v>103</v>
      </c>
      <c r="D142" s="821"/>
      <c r="E142" s="822"/>
      <c r="F142" s="823">
        <v>101</v>
      </c>
      <c r="G142" s="821"/>
      <c r="H142" s="824"/>
      <c r="I142" s="1794" t="s">
        <v>1759</v>
      </c>
      <c r="J142" s="263">
        <f>J139</f>
        <v>20</v>
      </c>
      <c r="K142" s="827">
        <v>95</v>
      </c>
    </row>
    <row r="143" spans="1:17" ht="15.5">
      <c r="B143" s="820">
        <v>2</v>
      </c>
      <c r="C143" s="821">
        <v>100</v>
      </c>
      <c r="D143" s="821"/>
      <c r="E143" s="822"/>
      <c r="F143" s="823">
        <v>100.5</v>
      </c>
      <c r="G143" s="821"/>
      <c r="H143" s="824"/>
      <c r="I143" s="1794" t="s">
        <v>1760</v>
      </c>
      <c r="J143" s="821">
        <v>15</v>
      </c>
      <c r="K143" s="826">
        <f>ROUND(100+(J143-J140)*K139*100,1)</f>
        <v>102</v>
      </c>
    </row>
    <row r="144" spans="1:17" ht="15.5">
      <c r="B144" s="820">
        <v>1</v>
      </c>
      <c r="C144" s="821">
        <v>98</v>
      </c>
      <c r="D144" s="1795" t="s">
        <v>1761</v>
      </c>
      <c r="E144" s="822">
        <v>102</v>
      </c>
      <c r="F144" s="828">
        <v>100</v>
      </c>
      <c r="G144" s="1795" t="s">
        <v>1761</v>
      </c>
      <c r="H144" s="824">
        <v>105</v>
      </c>
      <c r="I144" s="1794" t="s">
        <v>1760</v>
      </c>
      <c r="J144" s="821">
        <v>18</v>
      </c>
      <c r="K144" s="826">
        <f>ROUND(100+(J144-J140)*K139*100,1)</f>
        <v>103.2</v>
      </c>
    </row>
    <row r="145" spans="2:11" ht="16"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c r="B147" s="1781" t="s">
        <v>1764</v>
      </c>
    </row>
    <row r="148" spans="2:11">
      <c r="B148" s="1781"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5.0898437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1769"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55.89</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c r="A4" s="345" t="s">
        <v>1769</v>
      </c>
      <c r="B4" s="346"/>
      <c r="C4" s="3390" t="s">
        <v>1770</v>
      </c>
      <c r="D4" s="3391"/>
      <c r="E4" s="3392" t="s">
        <v>1771</v>
      </c>
      <c r="F4" s="3393"/>
      <c r="G4" s="3390" t="s">
        <v>1772</v>
      </c>
      <c r="H4" s="3391"/>
      <c r="I4" s="3390" t="s">
        <v>1773</v>
      </c>
      <c r="J4" s="3391"/>
      <c r="K4" s="537" t="s">
        <v>1774</v>
      </c>
      <c r="L4" s="2485"/>
      <c r="M4" s="2486"/>
      <c r="N4" s="2486"/>
      <c r="O4" s="2486"/>
      <c r="P4" s="3447" t="s">
        <v>1775</v>
      </c>
      <c r="Q4" s="3448"/>
      <c r="R4" s="3441" t="s">
        <v>1771</v>
      </c>
      <c r="S4" s="3442"/>
      <c r="T4" s="3441" t="s">
        <v>1772</v>
      </c>
      <c r="U4" s="3442"/>
      <c r="V4" s="3403" t="s">
        <v>1773</v>
      </c>
      <c r="W4" s="3403"/>
      <c r="X4" s="1265"/>
      <c r="Y4" s="3441" t="s">
        <v>1775</v>
      </c>
      <c r="Z4" s="3442"/>
      <c r="AA4" s="3440" t="s">
        <v>1771</v>
      </c>
      <c r="AB4" s="3403" t="s">
        <v>1772</v>
      </c>
      <c r="AC4" s="3440" t="s">
        <v>1773</v>
      </c>
    </row>
    <row r="5" spans="1:29">
      <c r="A5" s="348"/>
      <c r="B5" s="349"/>
      <c r="C5" s="3445" t="s">
        <v>1673</v>
      </c>
      <c r="D5" s="3446"/>
      <c r="E5" s="3443" t="s">
        <v>1674</v>
      </c>
      <c r="F5" s="3444"/>
      <c r="G5" s="3445" t="s">
        <v>1675</v>
      </c>
      <c r="H5" s="3446"/>
      <c r="I5" s="3445" t="s">
        <v>1676</v>
      </c>
      <c r="J5" s="3446"/>
      <c r="K5" s="537"/>
      <c r="L5" s="2485"/>
      <c r="M5" s="2486"/>
      <c r="N5" s="2486"/>
      <c r="O5" s="2486"/>
      <c r="P5" s="3449"/>
      <c r="Q5" s="3397"/>
      <c r="R5" s="3378"/>
      <c r="S5" s="3379"/>
      <c r="T5" s="3378"/>
      <c r="U5" s="3379"/>
      <c r="V5" s="3403"/>
      <c r="W5" s="3403"/>
      <c r="X5" s="1265"/>
      <c r="Y5" s="3378"/>
      <c r="Z5" s="3379"/>
      <c r="AA5" s="3372"/>
      <c r="AB5" s="3403"/>
      <c r="AC5" s="3372"/>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50"/>
      <c r="Q6" s="3399"/>
      <c r="R6" s="3378"/>
      <c r="S6" s="3379"/>
      <c r="T6" s="3400"/>
      <c r="U6" s="3401"/>
      <c r="V6" s="3403"/>
      <c r="W6" s="3403"/>
      <c r="X6" s="1265"/>
      <c r="Y6" s="3400"/>
      <c r="Z6" s="3401"/>
      <c r="AA6" s="3373"/>
      <c r="AB6" s="3403"/>
      <c r="AC6" s="3373"/>
    </row>
    <row r="7" spans="1:29" s="102" customFormat="1" ht="14.5" thickBot="1">
      <c r="A7" s="352" t="s">
        <v>1679</v>
      </c>
      <c r="B7" s="353"/>
      <c r="C7" s="354">
        <f>'数据-取费表'!B2</f>
        <v>45950</v>
      </c>
      <c r="D7" s="355">
        <v>100</v>
      </c>
      <c r="E7" s="356"/>
      <c r="F7" s="357">
        <f>SUMIF(58:58,YEAR(E7)&amp;"-"&amp;MONTH(E7),59:59)</f>
        <v>0</v>
      </c>
      <c r="G7" s="356"/>
      <c r="H7" s="355">
        <f>SUMIF(58:58,YEAR(G7)&amp;"-"&amp;MONTH(G7),59:59)</f>
        <v>0</v>
      </c>
      <c r="I7" s="356"/>
      <c r="J7" s="355">
        <f>SUMIF(58:58,YEAR(I7)&amp;"-"&amp;MONTH(I7),59:59)</f>
        <v>0</v>
      </c>
      <c r="K7" s="38"/>
      <c r="L7" s="2487"/>
      <c r="M7" s="2439"/>
      <c r="N7" s="2439"/>
      <c r="O7" s="2439"/>
      <c r="P7" s="3374" t="s">
        <v>1680</v>
      </c>
      <c r="Q7" s="3405"/>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4.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74" t="s">
        <v>1683</v>
      </c>
      <c r="Q8" s="3375"/>
      <c r="R8" s="664" t="s">
        <v>14</v>
      </c>
      <c r="S8" s="665">
        <f t="shared" si="0"/>
        <v>100</v>
      </c>
      <c r="T8" s="664" t="s">
        <v>14</v>
      </c>
      <c r="U8" s="665">
        <f t="shared" si="1"/>
        <v>100</v>
      </c>
      <c r="V8" s="664" t="s">
        <v>14</v>
      </c>
      <c r="W8" s="665">
        <f t="shared" si="2"/>
        <v>100</v>
      </c>
      <c r="X8" s="666"/>
      <c r="Y8" s="3374" t="s">
        <v>1683</v>
      </c>
      <c r="Z8" s="3375"/>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86"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86"/>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86"/>
      <c r="Q11" s="530" t="str">
        <f t="shared" si="6"/>
        <v>容积率</v>
      </c>
      <c r="R11" s="664" t="s">
        <v>14</v>
      </c>
      <c r="S11" s="665" t="e">
        <f t="shared" si="0"/>
        <v>#N/A</v>
      </c>
      <c r="T11" s="664" t="s">
        <v>14</v>
      </c>
      <c r="U11" s="665" t="e">
        <f t="shared" si="1"/>
        <v>#N/A</v>
      </c>
      <c r="V11" s="664" t="s">
        <v>14</v>
      </c>
      <c r="W11" s="665" t="e">
        <f t="shared" si="2"/>
        <v>#N/A</v>
      </c>
      <c r="X11" s="666"/>
      <c r="Y11" s="3339"/>
      <c r="Z11" s="50" t="str">
        <f t="shared" si="7"/>
        <v>容积率</v>
      </c>
      <c r="AA11" s="50" t="e">
        <f t="shared" si="3"/>
        <v>#N/A</v>
      </c>
      <c r="AB11" s="50" t="e">
        <f t="shared" si="4"/>
        <v>#N/A</v>
      </c>
      <c r="AC11" s="50" t="e">
        <f t="shared" si="5"/>
        <v>#N/A</v>
      </c>
    </row>
    <row r="12" spans="1:29" s="102" customFormat="1" ht="15.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86"/>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86"/>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86"/>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50">
        <f t="shared" si="5"/>
        <v>1</v>
      </c>
    </row>
    <row r="15" spans="1:29" ht="70">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406" t="s">
        <v>1691</v>
      </c>
      <c r="Q15" s="1263" t="str">
        <f t="shared" si="6"/>
        <v>商业繁华度</v>
      </c>
      <c r="R15" s="667" t="s">
        <v>14</v>
      </c>
      <c r="S15" s="668">
        <f t="shared" si="0"/>
        <v>100</v>
      </c>
      <c r="T15" s="667" t="s">
        <v>14</v>
      </c>
      <c r="U15" s="668">
        <f t="shared" si="1"/>
        <v>100</v>
      </c>
      <c r="V15" s="667" t="s">
        <v>14</v>
      </c>
      <c r="W15" s="668">
        <f t="shared" si="2"/>
        <v>100</v>
      </c>
      <c r="X15" s="1265"/>
      <c r="Y15" s="3408" t="s">
        <v>1691</v>
      </c>
      <c r="Z15" s="1264" t="str">
        <f t="shared" si="7"/>
        <v>商业繁华度</v>
      </c>
      <c r="AA15" s="1264">
        <f t="shared" si="3"/>
        <v>1</v>
      </c>
      <c r="AB15" s="1264">
        <f t="shared" si="4"/>
        <v>1</v>
      </c>
      <c r="AC15" s="1264">
        <f t="shared" si="5"/>
        <v>1</v>
      </c>
    </row>
    <row r="16" spans="1:29" ht="15.5">
      <c r="A16" s="367"/>
      <c r="B16" s="385"/>
      <c r="C16" s="386"/>
      <c r="D16" s="387"/>
      <c r="E16" s="386"/>
      <c r="F16" s="388"/>
      <c r="G16" s="386"/>
      <c r="H16" s="389"/>
      <c r="I16" s="386"/>
      <c r="J16" s="387"/>
      <c r="K16" s="541"/>
      <c r="L16" s="2491"/>
      <c r="M16" s="2486"/>
      <c r="N16" s="2486"/>
      <c r="O16" s="2486"/>
      <c r="P16" s="3407"/>
      <c r="Q16" s="1263"/>
      <c r="R16" s="667"/>
      <c r="S16" s="668"/>
      <c r="T16" s="667"/>
      <c r="U16" s="668"/>
      <c r="V16" s="667"/>
      <c r="W16" s="668"/>
      <c r="X16" s="1265"/>
      <c r="Y16" s="3409"/>
      <c r="Z16" s="1264"/>
      <c r="AA16" s="1264">
        <v>1</v>
      </c>
      <c r="AB16" s="1264">
        <v>1</v>
      </c>
      <c r="AC16" s="1264">
        <v>1</v>
      </c>
    </row>
    <row r="17" spans="1:29" ht="84">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407"/>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2491"/>
      <c r="M18" s="2486"/>
      <c r="N18" s="2486"/>
      <c r="O18" s="2486"/>
      <c r="P18" s="3407"/>
      <c r="Q18" s="1263"/>
      <c r="R18" s="667"/>
      <c r="S18" s="668"/>
      <c r="T18" s="667"/>
      <c r="U18" s="668"/>
      <c r="V18" s="667"/>
      <c r="W18" s="668"/>
      <c r="X18" s="1265"/>
      <c r="Y18" s="3409"/>
      <c r="Z18" s="1264"/>
      <c r="AA18" s="1264">
        <v>1</v>
      </c>
      <c r="AB18" s="1264">
        <v>1</v>
      </c>
      <c r="AC18" s="1264">
        <v>1</v>
      </c>
    </row>
    <row r="19" spans="1:29" ht="42">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407"/>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2491"/>
      <c r="M20" s="2486"/>
      <c r="N20" s="2486"/>
      <c r="O20" s="2486"/>
      <c r="P20" s="3407"/>
      <c r="Q20" s="1263"/>
      <c r="R20" s="667"/>
      <c r="S20" s="668"/>
      <c r="T20" s="667"/>
      <c r="U20" s="668"/>
      <c r="V20" s="667"/>
      <c r="W20" s="668"/>
      <c r="X20" s="1265"/>
      <c r="Y20" s="3409"/>
      <c r="Z20" s="1264"/>
      <c r="AA20" s="1264">
        <v>1</v>
      </c>
      <c r="AB20" s="1264">
        <v>1</v>
      </c>
      <c r="AC20" s="1264">
        <v>1</v>
      </c>
    </row>
    <row r="21" spans="1:29" ht="28">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407"/>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2491"/>
      <c r="M22" s="2486"/>
      <c r="N22" s="2486"/>
      <c r="O22" s="2486"/>
      <c r="P22" s="3407"/>
      <c r="Q22" s="1263"/>
      <c r="R22" s="667"/>
      <c r="S22" s="668"/>
      <c r="T22" s="667"/>
      <c r="U22" s="668"/>
      <c r="V22" s="667"/>
      <c r="W22" s="668"/>
      <c r="X22" s="1265"/>
      <c r="Y22" s="3409"/>
      <c r="Z22" s="1264"/>
      <c r="AA22" s="1264">
        <v>1</v>
      </c>
      <c r="AB22" s="1264">
        <v>1</v>
      </c>
      <c r="AC22" s="1264">
        <v>1</v>
      </c>
    </row>
    <row r="23" spans="1:29" ht="56">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407"/>
      <c r="Q23" s="1263" t="str">
        <f>B23</f>
        <v>自然及人文环境</v>
      </c>
      <c r="R23" s="667" t="s">
        <v>14</v>
      </c>
      <c r="S23" s="668">
        <f>F23</f>
        <v>100</v>
      </c>
      <c r="T23" s="667" t="s">
        <v>14</v>
      </c>
      <c r="U23" s="668">
        <f>H23</f>
        <v>100</v>
      </c>
      <c r="V23" s="667" t="s">
        <v>14</v>
      </c>
      <c r="W23" s="668">
        <f>J23</f>
        <v>100</v>
      </c>
      <c r="X23" s="1265"/>
      <c r="Y23" s="3409"/>
      <c r="Z23" s="1264" t="str">
        <f>Q23</f>
        <v>自然及人文环境</v>
      </c>
      <c r="AA23" s="1264">
        <f t="shared" si="3"/>
        <v>1</v>
      </c>
      <c r="AB23" s="1264">
        <f t="shared" si="4"/>
        <v>1</v>
      </c>
      <c r="AC23" s="1264">
        <f t="shared" si="5"/>
        <v>1</v>
      </c>
    </row>
    <row r="24" spans="1:29" ht="15.5">
      <c r="A24" s="367"/>
      <c r="B24" s="395"/>
      <c r="C24" s="386"/>
      <c r="D24" s="387"/>
      <c r="E24" s="1752"/>
      <c r="F24" s="388"/>
      <c r="G24" s="1751"/>
      <c r="H24" s="387"/>
      <c r="I24" s="1752"/>
      <c r="J24" s="387"/>
      <c r="K24" s="541"/>
      <c r="L24" s="2491"/>
      <c r="M24" s="2486"/>
      <c r="N24" s="2486"/>
      <c r="O24" s="2486"/>
      <c r="P24" s="3407"/>
      <c r="Q24" s="1263"/>
      <c r="R24" s="667"/>
      <c r="S24" s="668"/>
      <c r="T24" s="667"/>
      <c r="U24" s="668"/>
      <c r="V24" s="667"/>
      <c r="W24" s="668"/>
      <c r="X24" s="1265"/>
      <c r="Y24" s="3409"/>
      <c r="Z24" s="1264"/>
      <c r="AA24" s="1264">
        <v>1</v>
      </c>
      <c r="AB24" s="1264">
        <v>1</v>
      </c>
      <c r="AC24" s="1264">
        <v>1</v>
      </c>
    </row>
    <row r="25" spans="1:29" ht="15.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407"/>
      <c r="Q25" s="1263" t="str">
        <f t="shared" ref="Q25:Q46" si="11">B25</f>
        <v>临街状况</v>
      </c>
      <c r="R25" s="667" t="s">
        <v>14</v>
      </c>
      <c r="S25" s="668">
        <f>F25</f>
        <v>100</v>
      </c>
      <c r="T25" s="667" t="s">
        <v>14</v>
      </c>
      <c r="U25" s="668">
        <f>H25</f>
        <v>100</v>
      </c>
      <c r="V25" s="667" t="s">
        <v>14</v>
      </c>
      <c r="W25" s="668">
        <f>J25</f>
        <v>100</v>
      </c>
      <c r="X25" s="1265"/>
      <c r="Y25" s="3409"/>
      <c r="Z25" s="1264" t="str">
        <f>Q25</f>
        <v>临街状况</v>
      </c>
      <c r="AA25" s="1264">
        <f t="shared" si="3"/>
        <v>1</v>
      </c>
      <c r="AB25" s="1264">
        <f t="shared" si="4"/>
        <v>1</v>
      </c>
      <c r="AC25" s="1264">
        <f t="shared" si="5"/>
        <v>1</v>
      </c>
    </row>
    <row r="26" spans="1:29" ht="15.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407"/>
      <c r="Q26" s="1263" t="str">
        <f t="shared" si="11"/>
        <v>平面位置/可视性</v>
      </c>
      <c r="R26" s="667" t="s">
        <v>14</v>
      </c>
      <c r="S26" s="668">
        <f>F26</f>
        <v>100</v>
      </c>
      <c r="T26" s="667" t="s">
        <v>14</v>
      </c>
      <c r="U26" s="668">
        <f>H26</f>
        <v>100</v>
      </c>
      <c r="V26" s="667" t="s">
        <v>14</v>
      </c>
      <c r="W26" s="668">
        <f>J26</f>
        <v>100</v>
      </c>
      <c r="X26" s="1265"/>
      <c r="Y26" s="3409"/>
      <c r="Z26" s="1264" t="str">
        <f>Q26</f>
        <v>平面位置/可视性</v>
      </c>
      <c r="AA26" s="1264">
        <f t="shared" si="3"/>
        <v>1</v>
      </c>
      <c r="AB26" s="1264">
        <f t="shared" si="4"/>
        <v>1</v>
      </c>
      <c r="AC26" s="1264">
        <f t="shared" si="5"/>
        <v>1</v>
      </c>
    </row>
    <row r="27" spans="1:29" s="102" customFormat="1" ht="15.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407"/>
      <c r="Q27" s="530" t="str">
        <f t="shared" si="11"/>
        <v>人流量</v>
      </c>
      <c r="R27" s="664" t="s">
        <v>14</v>
      </c>
      <c r="S27" s="665">
        <f>F27</f>
        <v>100</v>
      </c>
      <c r="T27" s="664" t="s">
        <v>14</v>
      </c>
      <c r="U27" s="665">
        <f>H27</f>
        <v>100</v>
      </c>
      <c r="V27" s="664" t="s">
        <v>14</v>
      </c>
      <c r="W27" s="665">
        <f>J27</f>
        <v>100</v>
      </c>
      <c r="X27" s="666"/>
      <c r="Y27" s="3409"/>
      <c r="Z27" s="50" t="str">
        <f>Q27</f>
        <v>人流量</v>
      </c>
      <c r="AA27" s="1264">
        <f>D27/F27</f>
        <v>1</v>
      </c>
      <c r="AB27" s="1264">
        <f>D27/H27</f>
        <v>1</v>
      </c>
      <c r="AC27" s="1264">
        <f>D27/J27</f>
        <v>1</v>
      </c>
    </row>
    <row r="28" spans="1:29" ht="15.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407"/>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409"/>
      <c r="Z28" s="1264" t="str">
        <f t="shared" ref="Z28:Z46" si="15">Q28</f>
        <v>楼层</v>
      </c>
      <c r="AA28" s="1264">
        <f t="shared" si="3"/>
        <v>1</v>
      </c>
      <c r="AB28" s="1264">
        <f t="shared" si="4"/>
        <v>1</v>
      </c>
      <c r="AC28" s="1264">
        <f t="shared" si="5"/>
        <v>1</v>
      </c>
    </row>
    <row r="29" spans="1:29" ht="15.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407"/>
      <c r="Q29" s="1263">
        <f t="shared" si="11"/>
        <v>111</v>
      </c>
      <c r="R29" s="667" t="s">
        <v>14</v>
      </c>
      <c r="S29" s="668">
        <f t="shared" si="12"/>
        <v>100</v>
      </c>
      <c r="T29" s="667" t="s">
        <v>14</v>
      </c>
      <c r="U29" s="668">
        <f t="shared" si="13"/>
        <v>100</v>
      </c>
      <c r="V29" s="667" t="s">
        <v>14</v>
      </c>
      <c r="W29" s="668">
        <f t="shared" si="14"/>
        <v>100</v>
      </c>
      <c r="X29" s="1265"/>
      <c r="Y29" s="3409"/>
      <c r="Z29" s="1264">
        <f t="shared" si="15"/>
        <v>111</v>
      </c>
      <c r="AA29" s="1264">
        <f t="shared" si="3"/>
        <v>1</v>
      </c>
      <c r="AB29" s="1264">
        <f t="shared" si="4"/>
        <v>1</v>
      </c>
      <c r="AC29" s="1264">
        <f t="shared" si="5"/>
        <v>1</v>
      </c>
    </row>
    <row r="30" spans="1:29" ht="15.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407"/>
      <c r="Q30" s="1263">
        <f t="shared" si="11"/>
        <v>111</v>
      </c>
      <c r="R30" s="667" t="s">
        <v>14</v>
      </c>
      <c r="S30" s="668">
        <f t="shared" si="12"/>
        <v>100</v>
      </c>
      <c r="T30" s="667" t="s">
        <v>14</v>
      </c>
      <c r="U30" s="668">
        <f t="shared" si="13"/>
        <v>100</v>
      </c>
      <c r="V30" s="667" t="s">
        <v>14</v>
      </c>
      <c r="W30" s="668">
        <f t="shared" si="14"/>
        <v>100</v>
      </c>
      <c r="X30" s="1265"/>
      <c r="Y30" s="3409"/>
      <c r="Z30" s="1264">
        <f t="shared" si="15"/>
        <v>111</v>
      </c>
      <c r="AA30" s="1264">
        <f t="shared" si="3"/>
        <v>1</v>
      </c>
      <c r="AB30" s="1264">
        <f t="shared" si="4"/>
        <v>1</v>
      </c>
      <c r="AC30" s="1264">
        <f t="shared" si="5"/>
        <v>1</v>
      </c>
    </row>
    <row r="31" spans="1:29" ht="1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407"/>
      <c r="Q31" s="1263">
        <f t="shared" si="11"/>
        <v>111</v>
      </c>
      <c r="R31" s="667" t="s">
        <v>14</v>
      </c>
      <c r="S31" s="668">
        <f t="shared" si="12"/>
        <v>100</v>
      </c>
      <c r="T31" s="667" t="s">
        <v>14</v>
      </c>
      <c r="U31" s="668">
        <f t="shared" si="13"/>
        <v>100</v>
      </c>
      <c r="V31" s="667" t="s">
        <v>14</v>
      </c>
      <c r="W31" s="668">
        <f t="shared" si="14"/>
        <v>100</v>
      </c>
      <c r="X31" s="1265"/>
      <c r="Y31" s="3409"/>
      <c r="Z31" s="1264">
        <f t="shared" si="15"/>
        <v>111</v>
      </c>
      <c r="AA31" s="1264">
        <f t="shared" si="3"/>
        <v>1</v>
      </c>
      <c r="AB31" s="1264">
        <f t="shared" si="4"/>
        <v>1</v>
      </c>
      <c r="AC31" s="1264">
        <f t="shared" si="5"/>
        <v>1</v>
      </c>
    </row>
    <row r="32" spans="1:29" ht="15.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410" t="s">
        <v>1696</v>
      </c>
      <c r="Q32" s="1263" t="str">
        <f t="shared" si="11"/>
        <v>商业类型</v>
      </c>
      <c r="R32" s="667" t="s">
        <v>14</v>
      </c>
      <c r="S32" s="668">
        <f t="shared" si="12"/>
        <v>100</v>
      </c>
      <c r="T32" s="667" t="s">
        <v>14</v>
      </c>
      <c r="U32" s="668">
        <f t="shared" si="13"/>
        <v>100</v>
      </c>
      <c r="V32" s="667" t="s">
        <v>14</v>
      </c>
      <c r="W32" s="668">
        <f t="shared" si="14"/>
        <v>100</v>
      </c>
      <c r="X32" s="1265"/>
      <c r="Y32" s="3413" t="s">
        <v>1696</v>
      </c>
      <c r="Z32" s="1264" t="str">
        <f t="shared" si="15"/>
        <v>商业类型</v>
      </c>
      <c r="AA32" s="1264">
        <f t="shared" si="3"/>
        <v>1</v>
      </c>
      <c r="AB32" s="1264">
        <f t="shared" si="4"/>
        <v>1</v>
      </c>
      <c r="AC32" s="1264">
        <f t="shared" si="5"/>
        <v>1</v>
      </c>
    </row>
    <row r="33" spans="1:29" s="408" customFormat="1" ht="15.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411"/>
      <c r="Q33" s="531" t="str">
        <f t="shared" si="11"/>
        <v>项目建筑规模</v>
      </c>
      <c r="R33" s="669" t="s">
        <v>14</v>
      </c>
      <c r="S33" s="670" t="e">
        <f t="shared" si="12"/>
        <v>#N/A</v>
      </c>
      <c r="T33" s="669" t="s">
        <v>14</v>
      </c>
      <c r="U33" s="670" t="e">
        <f t="shared" si="13"/>
        <v>#N/A</v>
      </c>
      <c r="V33" s="669" t="s">
        <v>14</v>
      </c>
      <c r="W33" s="670" t="e">
        <f t="shared" si="14"/>
        <v>#N/A</v>
      </c>
      <c r="X33" s="671"/>
      <c r="Y33" s="3413"/>
      <c r="Z33" s="672" t="str">
        <f t="shared" si="15"/>
        <v>项目建筑规模</v>
      </c>
      <c r="AA33" s="1264" t="e">
        <f t="shared" si="3"/>
        <v>#N/A</v>
      </c>
      <c r="AB33" s="1264" t="e">
        <f t="shared" si="4"/>
        <v>#N/A</v>
      </c>
      <c r="AC33" s="1264" t="e">
        <f t="shared" si="5"/>
        <v>#N/A</v>
      </c>
    </row>
    <row r="34" spans="1:29" ht="15.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411"/>
      <c r="Q34" s="1263" t="str">
        <f t="shared" si="11"/>
        <v>建筑结构</v>
      </c>
      <c r="R34" s="667" t="s">
        <v>14</v>
      </c>
      <c r="S34" s="668">
        <f t="shared" si="12"/>
        <v>100</v>
      </c>
      <c r="T34" s="667" t="s">
        <v>14</v>
      </c>
      <c r="U34" s="668">
        <f t="shared" si="13"/>
        <v>100</v>
      </c>
      <c r="V34" s="667" t="s">
        <v>14</v>
      </c>
      <c r="W34" s="668">
        <f t="shared" si="14"/>
        <v>100</v>
      </c>
      <c r="X34" s="1265"/>
      <c r="Y34" s="3413"/>
      <c r="Z34" s="1264" t="str">
        <f t="shared" si="15"/>
        <v>建筑结构</v>
      </c>
      <c r="AA34" s="1264">
        <f t="shared" si="3"/>
        <v>1</v>
      </c>
      <c r="AB34" s="1264">
        <f t="shared" si="4"/>
        <v>1</v>
      </c>
      <c r="AC34" s="1264">
        <f t="shared" si="5"/>
        <v>1</v>
      </c>
    </row>
    <row r="35" spans="1:29" ht="15.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411"/>
      <c r="Q35" s="1263" t="str">
        <f t="shared" si="11"/>
        <v>公共部分装修</v>
      </c>
      <c r="R35" s="667" t="s">
        <v>14</v>
      </c>
      <c r="S35" s="668">
        <f t="shared" si="12"/>
        <v>100</v>
      </c>
      <c r="T35" s="667" t="s">
        <v>14</v>
      </c>
      <c r="U35" s="668">
        <f t="shared" si="13"/>
        <v>100</v>
      </c>
      <c r="V35" s="667" t="s">
        <v>14</v>
      </c>
      <c r="W35" s="668">
        <f t="shared" si="14"/>
        <v>100</v>
      </c>
      <c r="X35" s="1265"/>
      <c r="Y35" s="3413"/>
      <c r="Z35" s="1264" t="str">
        <f t="shared" si="15"/>
        <v>公共部分装修</v>
      </c>
      <c r="AA35" s="1264">
        <f t="shared" si="3"/>
        <v>1</v>
      </c>
      <c r="AB35" s="1264">
        <f t="shared" si="4"/>
        <v>1</v>
      </c>
      <c r="AC35" s="1264">
        <f t="shared" si="5"/>
        <v>1</v>
      </c>
    </row>
    <row r="36" spans="1:29" ht="15.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411"/>
      <c r="Q36" s="1263" t="str">
        <f t="shared" si="11"/>
        <v>成新度</v>
      </c>
      <c r="R36" s="667" t="s">
        <v>14</v>
      </c>
      <c r="S36" s="668" t="e">
        <f t="shared" si="12"/>
        <v>#N/A</v>
      </c>
      <c r="T36" s="667" t="s">
        <v>14</v>
      </c>
      <c r="U36" s="668" t="e">
        <f t="shared" si="13"/>
        <v>#N/A</v>
      </c>
      <c r="V36" s="667" t="s">
        <v>14</v>
      </c>
      <c r="W36" s="668" t="e">
        <f t="shared" si="14"/>
        <v>#N/A</v>
      </c>
      <c r="X36" s="1265"/>
      <c r="Y36" s="3413"/>
      <c r="Z36" s="1264" t="str">
        <f t="shared" si="15"/>
        <v>成新度</v>
      </c>
      <c r="AA36" s="1264" t="e">
        <f t="shared" si="3"/>
        <v>#N/A</v>
      </c>
      <c r="AB36" s="1264" t="e">
        <f t="shared" si="4"/>
        <v>#N/A</v>
      </c>
      <c r="AC36" s="1264" t="e">
        <f t="shared" si="5"/>
        <v>#N/A</v>
      </c>
    </row>
    <row r="37" spans="1:29" s="102" customFormat="1" ht="15.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411"/>
      <c r="Q37" s="530" t="str">
        <f t="shared" si="11"/>
        <v>市政基础设施</v>
      </c>
      <c r="R37" s="664" t="s">
        <v>14</v>
      </c>
      <c r="S37" s="665">
        <f t="shared" si="12"/>
        <v>100</v>
      </c>
      <c r="T37" s="664" t="s">
        <v>14</v>
      </c>
      <c r="U37" s="665">
        <f t="shared" si="13"/>
        <v>100</v>
      </c>
      <c r="V37" s="664" t="s">
        <v>14</v>
      </c>
      <c r="W37" s="665">
        <f t="shared" si="14"/>
        <v>100</v>
      </c>
      <c r="X37" s="666"/>
      <c r="Y37" s="3413"/>
      <c r="Z37" s="50" t="str">
        <f t="shared" si="15"/>
        <v>市政基础设施</v>
      </c>
      <c r="AA37" s="50">
        <f t="shared" si="3"/>
        <v>1</v>
      </c>
      <c r="AB37" s="50">
        <f t="shared" si="4"/>
        <v>1</v>
      </c>
      <c r="AC37" s="50">
        <f t="shared" si="5"/>
        <v>1</v>
      </c>
    </row>
    <row r="38" spans="1:29" ht="15.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411" t="s">
        <v>1696</v>
      </c>
      <c r="Q38" s="1263" t="str">
        <f t="shared" si="11"/>
        <v>业态</v>
      </c>
      <c r="R38" s="667" t="s">
        <v>14</v>
      </c>
      <c r="S38" s="668">
        <f t="shared" si="12"/>
        <v>100</v>
      </c>
      <c r="T38" s="667" t="s">
        <v>14</v>
      </c>
      <c r="U38" s="668">
        <f t="shared" si="13"/>
        <v>100</v>
      </c>
      <c r="V38" s="667" t="s">
        <v>14</v>
      </c>
      <c r="W38" s="668">
        <f t="shared" si="14"/>
        <v>100</v>
      </c>
      <c r="X38" s="1265"/>
      <c r="Y38" s="3413" t="s">
        <v>1696</v>
      </c>
      <c r="Z38" s="1264" t="str">
        <f t="shared" si="15"/>
        <v>业态</v>
      </c>
      <c r="AA38" s="1264">
        <f t="shared" si="3"/>
        <v>1</v>
      </c>
      <c r="AB38" s="1264">
        <f t="shared" si="4"/>
        <v>1</v>
      </c>
      <c r="AC38" s="1264">
        <f t="shared" si="5"/>
        <v>1</v>
      </c>
    </row>
    <row r="39" spans="1:29" ht="15.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411"/>
      <c r="Q39" s="1263" t="str">
        <f t="shared" si="11"/>
        <v>层高</v>
      </c>
      <c r="R39" s="667" t="s">
        <v>14</v>
      </c>
      <c r="S39" s="668">
        <f t="shared" si="12"/>
        <v>100</v>
      </c>
      <c r="T39" s="667" t="s">
        <v>14</v>
      </c>
      <c r="U39" s="668">
        <f t="shared" si="13"/>
        <v>100</v>
      </c>
      <c r="V39" s="667" t="s">
        <v>14</v>
      </c>
      <c r="W39" s="668">
        <f t="shared" si="14"/>
        <v>100</v>
      </c>
      <c r="X39" s="1265"/>
      <c r="Y39" s="3413"/>
      <c r="Z39" s="1264" t="str">
        <f t="shared" si="15"/>
        <v>层高</v>
      </c>
      <c r="AA39" s="1264">
        <f t="shared" si="3"/>
        <v>1</v>
      </c>
      <c r="AB39" s="1264">
        <f t="shared" si="4"/>
        <v>1</v>
      </c>
      <c r="AC39" s="1264">
        <f t="shared" si="5"/>
        <v>1</v>
      </c>
    </row>
    <row r="40" spans="1:29" ht="15.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411"/>
      <c r="Q40" s="1263" t="str">
        <f t="shared" si="11"/>
        <v>单套建筑面积</v>
      </c>
      <c r="R40" s="667" t="s">
        <v>14</v>
      </c>
      <c r="S40" s="668">
        <f t="shared" si="12"/>
        <v>100</v>
      </c>
      <c r="T40" s="667" t="s">
        <v>14</v>
      </c>
      <c r="U40" s="668">
        <f t="shared" si="13"/>
        <v>100</v>
      </c>
      <c r="V40" s="667" t="s">
        <v>14</v>
      </c>
      <c r="W40" s="668">
        <f t="shared" si="14"/>
        <v>100</v>
      </c>
      <c r="X40" s="1265"/>
      <c r="Y40" s="3413"/>
      <c r="Z40" s="1264" t="str">
        <f t="shared" si="15"/>
        <v>单套建筑面积</v>
      </c>
      <c r="AA40" s="1264">
        <f t="shared" si="3"/>
        <v>1</v>
      </c>
      <c r="AB40" s="1264">
        <f t="shared" si="4"/>
        <v>1</v>
      </c>
      <c r="AC40" s="1264">
        <f t="shared" si="5"/>
        <v>1</v>
      </c>
    </row>
    <row r="41" spans="1:29" s="408" customFormat="1" ht="15.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411"/>
      <c r="Q41" s="531" t="str">
        <f t="shared" si="11"/>
        <v>进深比</v>
      </c>
      <c r="R41" s="669" t="s">
        <v>14</v>
      </c>
      <c r="S41" s="670">
        <f t="shared" si="12"/>
        <v>100</v>
      </c>
      <c r="T41" s="669" t="s">
        <v>14</v>
      </c>
      <c r="U41" s="670">
        <f t="shared" si="13"/>
        <v>100</v>
      </c>
      <c r="V41" s="669" t="s">
        <v>14</v>
      </c>
      <c r="W41" s="670">
        <f t="shared" si="14"/>
        <v>100</v>
      </c>
      <c r="X41" s="671"/>
      <c r="Y41" s="3413"/>
      <c r="Z41" s="672" t="str">
        <f t="shared" si="15"/>
        <v>进深比</v>
      </c>
      <c r="AA41" s="1264">
        <f t="shared" si="3"/>
        <v>1</v>
      </c>
      <c r="AB41" s="1264">
        <f t="shared" si="4"/>
        <v>1</v>
      </c>
      <c r="AC41" s="1264">
        <f t="shared" si="5"/>
        <v>1</v>
      </c>
    </row>
    <row r="42" spans="1:29" ht="15.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411"/>
      <c r="Q42" s="1263" t="str">
        <f t="shared" si="11"/>
        <v>内部装修</v>
      </c>
      <c r="R42" s="667" t="s">
        <v>14</v>
      </c>
      <c r="S42" s="668">
        <f t="shared" si="12"/>
        <v>100</v>
      </c>
      <c r="T42" s="667" t="s">
        <v>14</v>
      </c>
      <c r="U42" s="668">
        <f t="shared" si="13"/>
        <v>100</v>
      </c>
      <c r="V42" s="667" t="s">
        <v>14</v>
      </c>
      <c r="W42" s="668">
        <f t="shared" si="14"/>
        <v>100</v>
      </c>
      <c r="X42" s="1265"/>
      <c r="Y42" s="3413"/>
      <c r="Z42" s="1264" t="str">
        <f t="shared" si="15"/>
        <v>内部装修</v>
      </c>
      <c r="AA42" s="1264">
        <f t="shared" si="3"/>
        <v>1</v>
      </c>
      <c r="AB42" s="1264">
        <f t="shared" si="4"/>
        <v>1</v>
      </c>
      <c r="AC42" s="1264">
        <f t="shared" si="5"/>
        <v>1</v>
      </c>
    </row>
    <row r="43" spans="1:29" ht="2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411"/>
      <c r="Q43" s="1263" t="str">
        <f t="shared" si="11"/>
        <v>内部装修维护情况</v>
      </c>
      <c r="R43" s="667" t="s">
        <v>14</v>
      </c>
      <c r="S43" s="668">
        <f t="shared" si="12"/>
        <v>100</v>
      </c>
      <c r="T43" s="667" t="s">
        <v>14</v>
      </c>
      <c r="U43" s="668">
        <f t="shared" si="13"/>
        <v>100</v>
      </c>
      <c r="V43" s="667" t="s">
        <v>14</v>
      </c>
      <c r="W43" s="668">
        <f t="shared" si="14"/>
        <v>100</v>
      </c>
      <c r="X43" s="1265"/>
      <c r="Y43" s="3413"/>
      <c r="Z43" s="1264" t="str">
        <f t="shared" si="15"/>
        <v>内部装修维护情况</v>
      </c>
      <c r="AA43" s="1264">
        <f t="shared" si="3"/>
        <v>1</v>
      </c>
      <c r="AB43" s="1264">
        <f t="shared" si="4"/>
        <v>1</v>
      </c>
      <c r="AC43" s="1264">
        <f t="shared" si="5"/>
        <v>1</v>
      </c>
    </row>
    <row r="44" spans="1:29" s="102" customFormat="1" ht="15.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411"/>
      <c r="Q44" s="530">
        <f t="shared" si="11"/>
        <v>111</v>
      </c>
      <c r="R44" s="664" t="s">
        <v>14</v>
      </c>
      <c r="S44" s="665">
        <f t="shared" si="12"/>
        <v>100</v>
      </c>
      <c r="T44" s="664" t="s">
        <v>14</v>
      </c>
      <c r="U44" s="665">
        <f t="shared" si="13"/>
        <v>100</v>
      </c>
      <c r="V44" s="664" t="s">
        <v>14</v>
      </c>
      <c r="W44" s="665">
        <f t="shared" si="14"/>
        <v>100</v>
      </c>
      <c r="X44" s="666"/>
      <c r="Y44" s="3413"/>
      <c r="Z44" s="50">
        <f t="shared" si="15"/>
        <v>111</v>
      </c>
      <c r="AA44" s="50">
        <f t="shared" si="3"/>
        <v>1</v>
      </c>
      <c r="AB44" s="50">
        <f t="shared" si="4"/>
        <v>1</v>
      </c>
      <c r="AC44" s="50">
        <f t="shared" si="5"/>
        <v>1</v>
      </c>
    </row>
    <row r="45" spans="1:29" ht="15.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411"/>
      <c r="Q45" s="1263">
        <f t="shared" si="11"/>
        <v>111</v>
      </c>
      <c r="R45" s="667" t="s">
        <v>14</v>
      </c>
      <c r="S45" s="668">
        <f t="shared" si="12"/>
        <v>100</v>
      </c>
      <c r="T45" s="667" t="s">
        <v>14</v>
      </c>
      <c r="U45" s="668">
        <f t="shared" si="13"/>
        <v>100</v>
      </c>
      <c r="V45" s="667" t="s">
        <v>14</v>
      </c>
      <c r="W45" s="668">
        <f t="shared" si="14"/>
        <v>100</v>
      </c>
      <c r="X45" s="1265"/>
      <c r="Y45" s="3413"/>
      <c r="Z45" s="1264">
        <f t="shared" si="15"/>
        <v>111</v>
      </c>
      <c r="AA45" s="1264">
        <f t="shared" si="3"/>
        <v>1</v>
      </c>
      <c r="AB45" s="1264">
        <f t="shared" si="4"/>
        <v>1</v>
      </c>
      <c r="AC45" s="1264">
        <f t="shared" si="5"/>
        <v>1</v>
      </c>
    </row>
    <row r="46" spans="1:29" ht="1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412"/>
      <c r="Q46" s="1263">
        <f t="shared" si="11"/>
        <v>111</v>
      </c>
      <c r="R46" s="667" t="s">
        <v>14</v>
      </c>
      <c r="S46" s="668">
        <f t="shared" si="12"/>
        <v>100</v>
      </c>
      <c r="T46" s="667" t="s">
        <v>14</v>
      </c>
      <c r="U46" s="668">
        <f t="shared" si="13"/>
        <v>100</v>
      </c>
      <c r="V46" s="667" t="s">
        <v>14</v>
      </c>
      <c r="W46" s="668">
        <f t="shared" si="14"/>
        <v>100</v>
      </c>
      <c r="X46" s="1265"/>
      <c r="Y46" s="3414"/>
      <c r="Z46" s="1264">
        <f t="shared" si="15"/>
        <v>111</v>
      </c>
      <c r="AA46" s="1264">
        <f t="shared" si="3"/>
        <v>1</v>
      </c>
      <c r="AB46" s="1264">
        <f t="shared" si="4"/>
        <v>1</v>
      </c>
      <c r="AC46" s="1264">
        <f t="shared" si="5"/>
        <v>1</v>
      </c>
    </row>
    <row r="47" spans="1:29">
      <c r="A47" s="416" t="s">
        <v>1708</v>
      </c>
      <c r="B47" s="417"/>
      <c r="C47" s="1081" t="s">
        <v>0</v>
      </c>
      <c r="D47" s="418"/>
      <c r="E47" s="419"/>
      <c r="F47" s="420"/>
      <c r="G47" s="421"/>
      <c r="H47" s="422"/>
      <c r="I47" s="419"/>
      <c r="J47" s="422"/>
      <c r="K47" s="674"/>
      <c r="L47" s="2493"/>
      <c r="M47" s="2486"/>
      <c r="N47" s="2486"/>
      <c r="O47" s="2486"/>
      <c r="P47" s="3415" t="str">
        <f>A47</f>
        <v>成交单价（元/平方米）</v>
      </c>
      <c r="Q47" s="3415"/>
      <c r="R47" s="3403">
        <f>E47</f>
        <v>0</v>
      </c>
      <c r="S47" s="3403"/>
      <c r="T47" s="3403">
        <f>G47</f>
        <v>0</v>
      </c>
      <c r="U47" s="3403"/>
      <c r="V47" s="3403">
        <f>I47</f>
        <v>0</v>
      </c>
      <c r="W47" s="3403"/>
      <c r="X47" s="385"/>
      <c r="Y47" s="673"/>
      <c r="Z47" s="385"/>
      <c r="AA47" s="385"/>
      <c r="AB47" s="385"/>
      <c r="AC47" s="385"/>
    </row>
    <row r="48" spans="1:29" ht="14.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415" t="str">
        <f>A48</f>
        <v>比较价值（元/平方米）</v>
      </c>
      <c r="Q48" s="3415"/>
      <c r="R48" s="3403" t="e">
        <f>IF(F1="售价",ROUND(PRODUCT(R47,AA7:AA46),0),ROUND(PRODUCT(R47,AA7:AA46),1))</f>
        <v>#DIV/0!</v>
      </c>
      <c r="S48" s="3403"/>
      <c r="T48" s="3403" t="e">
        <f>IF(F1="售价",ROUND(PRODUCT(T47,AB7:AB46),0),ROUND(PRODUCT(T47,AB7:AB46),1))</f>
        <v>#DIV/0!</v>
      </c>
      <c r="U48" s="3403"/>
      <c r="V48" s="3403" t="e">
        <f>IF(F1="售价",ROUND(PRODUCT(V47,AC7:AC46),0),ROUND(PRODUCT(V47,AC7:AC46),1))</f>
        <v>#DIV/0!</v>
      </c>
      <c r="W48" s="3403"/>
      <c r="X48" s="385"/>
      <c r="Y48" s="385"/>
      <c r="Z48" s="385"/>
      <c r="AA48" s="385"/>
      <c r="AB48" s="385"/>
      <c r="AC48" s="385"/>
    </row>
    <row r="49" spans="1:29" ht="14.5" thickBot="1">
      <c r="A49" s="427" t="s">
        <v>1794</v>
      </c>
      <c r="B49" s="428"/>
      <c r="C49" s="351" t="e">
        <f>R49</f>
        <v>#DIV/0!</v>
      </c>
      <c r="D49" s="351"/>
      <c r="E49" s="351"/>
      <c r="F49" s="351"/>
      <c r="G49" s="351"/>
      <c r="H49" s="351"/>
      <c r="I49" s="351"/>
      <c r="J49" s="351"/>
      <c r="K49" s="675"/>
      <c r="L49" s="2493"/>
      <c r="M49" s="2486"/>
      <c r="N49" s="2486"/>
      <c r="O49" s="2486"/>
      <c r="P49" s="3451" t="str">
        <f>A49</f>
        <v>估价对象XX用房的比较价值（楼面单价，元/平方米）</v>
      </c>
      <c r="Q49" s="3452"/>
      <c r="R49" s="3453" t="e">
        <f>IF(F1="售价",ROUND(IF(D48="简单平均",AVERAGE(R48:V48),R48*F48+T48*H48+V48*J48),0),ROUND(IF(D48="简单平均",AVERAGE(R48:V48),R48*F48+T48*H48+V48*J48),1))</f>
        <v>#DIV/0!</v>
      </c>
      <c r="S49" s="3453"/>
      <c r="T49" s="3453"/>
      <c r="U49" s="3453"/>
      <c r="V49" s="3453"/>
      <c r="W49" s="3453"/>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1.5"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c r="A58" s="440" t="s">
        <v>1679</v>
      </c>
      <c r="B58" s="441"/>
      <c r="C58" s="1103" t="str">
        <f>YEAR(C7)&amp;"-"&amp;MONTH(C7)</f>
        <v>2025-10</v>
      </c>
      <c r="D58" s="1104">
        <f>EDATE(C58,-1)</f>
        <v>45901</v>
      </c>
      <c r="E58" s="1104">
        <f t="shared" ref="E58:N58" si="16">EDATE(D58,-1)</f>
        <v>45870</v>
      </c>
      <c r="F58" s="1104">
        <f t="shared" si="16"/>
        <v>45839</v>
      </c>
      <c r="G58" s="1104">
        <f t="shared" si="16"/>
        <v>45809</v>
      </c>
      <c r="H58" s="1104">
        <f t="shared" si="16"/>
        <v>45778</v>
      </c>
      <c r="I58" s="1104">
        <f t="shared" si="16"/>
        <v>45748</v>
      </c>
      <c r="J58" s="1104">
        <f t="shared" si="16"/>
        <v>45717</v>
      </c>
      <c r="K58" s="1104">
        <f t="shared" si="16"/>
        <v>45689</v>
      </c>
      <c r="L58" s="1104">
        <f t="shared" si="16"/>
        <v>45658</v>
      </c>
      <c r="M58" s="1104">
        <f t="shared" si="16"/>
        <v>45627</v>
      </c>
      <c r="N58" s="1104">
        <f t="shared" si="16"/>
        <v>45597</v>
      </c>
      <c r="O58" s="1104">
        <f>EDATE(N58,-1)</f>
        <v>45566</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4.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5"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5"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8.5"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5"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4.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5"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5"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5"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5"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5"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5"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5"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5"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4.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5"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4.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5"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4.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5"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4.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5"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4.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5"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5"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5"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5"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5"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5"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5"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5"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5"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5"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5"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5"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5"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5"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4.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5"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4.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4.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4.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5"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4.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5"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4.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5"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4.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5"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4.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5"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4.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5"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4.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5"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8.5"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5"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5"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5"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5"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5"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5"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
  <cols>
    <col min="1" max="1" width="84" style="642" customWidth="1"/>
    <col min="2" max="16384" width="9" style="642"/>
  </cols>
  <sheetData>
    <row r="1" spans="1:1" ht="23">
      <c r="A1" s="1380" t="s">
        <v>898</v>
      </c>
    </row>
    <row r="3" spans="1:1" ht="18">
      <c r="A3" s="1381" t="str">
        <f>项目基本情况!B5&amp;"："</f>
        <v>：</v>
      </c>
    </row>
    <row r="4" spans="1:1" ht="35">
      <c r="A4" s="1382" t="str">
        <f>"受贵公司委托，我公司对"&amp;项目基本情况!S1&amp;"进行了预评估。"</f>
        <v>受贵公司委托，我公司对北京市朝阳区望京园603号楼8层907房地产抵押价值进行了预评估。</v>
      </c>
    </row>
    <row r="5" spans="1:1" ht="18">
      <c r="A5" s="1383" t="s">
        <v>899</v>
      </c>
    </row>
    <row r="6" spans="1:1" ht="17.5">
      <c r="A6" s="1384" t="s">
        <v>900</v>
      </c>
    </row>
    <row r="7" spans="1:1" ht="52.5">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估价对象为北京市朝阳区望京园603号楼8层907房地产，为曲洋所有。根据《国有土地使用证》[]，估价对象（分摊）出让国有建设用地使用权面积为0平方米，建筑面积为55.89平方米。</v>
      </c>
    </row>
    <row r="8" spans="1:1" ht="53.5">
      <c r="A8" s="1385" t="s">
        <v>901</v>
      </c>
    </row>
    <row r="9" spans="1:1" ht="17.5">
      <c r="A9" s="1384" t="s">
        <v>902</v>
      </c>
    </row>
    <row r="10" spans="1:1" ht="70">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望京园603号楼8层907房地产,属曲洋开发建设的办公项目，该项目尚在开发建设中。根据《国有土地使用证》[]，估价对象（分摊）出让国有建设用地使用权面积为0平方米，规划建筑面积为55.89平方米。</v>
      </c>
    </row>
    <row r="11" spans="1:1" ht="71">
      <c r="A11" s="1385" t="s">
        <v>903</v>
      </c>
    </row>
    <row r="12" spans="1:1" ht="18">
      <c r="A12" s="1383" t="s">
        <v>904</v>
      </c>
    </row>
    <row r="13" spans="1:1" ht="38.25" customHeight="1">
      <c r="A13" s="1382" t="str">
        <f>IF(项目基本情况!B8="抵押",IF(项目基本情况!B5=项目基本情况!B6,定义!C51,定义!B51),定义!D51)</f>
        <v>拟使用北京市朝阳区望京园603号楼8层907房地产作为抵押担保物，向办理贷款手续。特委托北京康正宏基房地产评估有限公司对上述抵押物进行评估。本次评估为确定房地产抵押贷款额度提供参考依据而评估房地产抵押价值。</v>
      </c>
    </row>
    <row r="14" spans="1:1" ht="18">
      <c r="A14" s="1381" t="s">
        <v>905</v>
      </c>
    </row>
    <row r="15" spans="1:1" ht="17.5">
      <c r="A15" s="1386" t="str">
        <f>TEXT(项目基本情况!D3,"yyyy年m月d日;;")&amp;IF(项目基本情况!D3=项目基本情况!B3,"（评估专业人员实地查勘之日）","")</f>
        <v>2025年10月20日</v>
      </c>
    </row>
    <row r="16" spans="1:1" ht="18">
      <c r="A16" s="1381" t="s">
        <v>906</v>
      </c>
    </row>
    <row r="17" spans="1:1" ht="70">
      <c r="A17" s="1382" t="s">
        <v>907</v>
      </c>
    </row>
    <row r="18" spans="1:1" ht="70">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20日，估价对象规划用途为，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5">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5">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5">
      <c r="A22" s="138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
      <c r="A23" s="1381" t="s">
        <v>896</v>
      </c>
    </row>
    <row r="24" spans="1:1" ht="17.5">
      <c r="A24" s="1387" t="str">
        <f>"本次评估采用的主估价方法为"&amp;结果表!K4&amp;"和"&amp;结果表!L4&amp;"。"</f>
        <v>本次评估采用的主估价方法为比较法和收益法。</v>
      </c>
    </row>
    <row r="25" spans="1:1" ht="17.5">
      <c r="A25" s="1387"/>
    </row>
    <row r="26" spans="1:1" ht="17.5">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55.89</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c r="A4" s="345" t="s">
        <v>1769</v>
      </c>
      <c r="B4" s="346"/>
      <c r="C4" s="3390" t="s">
        <v>1770</v>
      </c>
      <c r="D4" s="3391"/>
      <c r="E4" s="3392" t="s">
        <v>1771</v>
      </c>
      <c r="F4" s="3393"/>
      <c r="G4" s="3390" t="s">
        <v>1772</v>
      </c>
      <c r="H4" s="3391"/>
      <c r="I4" s="3390" t="s">
        <v>1773</v>
      </c>
      <c r="J4" s="3391"/>
      <c r="K4" s="537" t="s">
        <v>1774</v>
      </c>
      <c r="L4" s="860"/>
      <c r="M4" s="861"/>
      <c r="N4" s="861"/>
      <c r="O4" s="861"/>
      <c r="P4" s="3447" t="s">
        <v>1775</v>
      </c>
      <c r="Q4" s="3448"/>
      <c r="R4" s="3441" t="s">
        <v>1771</v>
      </c>
      <c r="S4" s="3442"/>
      <c r="T4" s="3441" t="s">
        <v>1772</v>
      </c>
      <c r="U4" s="3442"/>
      <c r="V4" s="3403" t="s">
        <v>1773</v>
      </c>
      <c r="W4" s="3403"/>
      <c r="X4" s="1265"/>
      <c r="Y4" s="3441" t="s">
        <v>1775</v>
      </c>
      <c r="Z4" s="3442"/>
      <c r="AA4" s="3440" t="s">
        <v>1771</v>
      </c>
      <c r="AB4" s="3372" t="s">
        <v>1772</v>
      </c>
      <c r="AC4" s="3440" t="s">
        <v>1773</v>
      </c>
    </row>
    <row r="5" spans="1:29">
      <c r="A5" s="348"/>
      <c r="B5" s="349"/>
      <c r="C5" s="3445" t="s">
        <v>1673</v>
      </c>
      <c r="D5" s="3446"/>
      <c r="E5" s="3443" t="s">
        <v>1674</v>
      </c>
      <c r="F5" s="3444"/>
      <c r="G5" s="3445" t="s">
        <v>1675</v>
      </c>
      <c r="H5" s="3446"/>
      <c r="I5" s="3445" t="s">
        <v>1676</v>
      </c>
      <c r="J5" s="3446"/>
      <c r="K5" s="537"/>
      <c r="L5" s="860"/>
      <c r="M5" s="861"/>
      <c r="N5" s="861"/>
      <c r="O5" s="861"/>
      <c r="P5" s="3449"/>
      <c r="Q5" s="3397"/>
      <c r="R5" s="3378"/>
      <c r="S5" s="3379"/>
      <c r="T5" s="3378"/>
      <c r="U5" s="3379"/>
      <c r="V5" s="3403"/>
      <c r="W5" s="3403"/>
      <c r="X5" s="1265"/>
      <c r="Y5" s="3378"/>
      <c r="Z5" s="3379"/>
      <c r="AA5" s="3372"/>
      <c r="AB5" s="3372"/>
      <c r="AC5" s="3372"/>
    </row>
    <row r="6" spans="1:29" ht="15" thickBot="1">
      <c r="A6" s="350"/>
      <c r="B6" s="351"/>
      <c r="C6" s="3382" t="s">
        <v>1677</v>
      </c>
      <c r="D6" s="3383"/>
      <c r="E6" s="3384" t="s">
        <v>1677</v>
      </c>
      <c r="F6" s="3385"/>
      <c r="G6" s="3382" t="s">
        <v>1677</v>
      </c>
      <c r="H6" s="3383"/>
      <c r="I6" s="3382" t="s">
        <v>1677</v>
      </c>
      <c r="J6" s="3383"/>
      <c r="K6" s="537" t="s">
        <v>1678</v>
      </c>
      <c r="L6" s="860"/>
      <c r="M6" s="861"/>
      <c r="N6" s="861"/>
      <c r="O6" s="861"/>
      <c r="P6" s="3450"/>
      <c r="Q6" s="3399"/>
      <c r="R6" s="3378"/>
      <c r="S6" s="3379"/>
      <c r="T6" s="3400"/>
      <c r="U6" s="3401"/>
      <c r="V6" s="3403"/>
      <c r="W6" s="3403"/>
      <c r="X6" s="1265"/>
      <c r="Y6" s="3400"/>
      <c r="Z6" s="3401"/>
      <c r="AA6" s="3373"/>
      <c r="AB6" s="3373"/>
      <c r="AC6" s="3373"/>
    </row>
    <row r="7" spans="1:29" s="102" customFormat="1" ht="14.5" thickBot="1">
      <c r="A7" s="352" t="s">
        <v>1679</v>
      </c>
      <c r="B7" s="353"/>
      <c r="C7" s="354">
        <f>'数据-取费表'!B2</f>
        <v>45950</v>
      </c>
      <c r="D7" s="355">
        <v>100</v>
      </c>
      <c r="E7" s="356"/>
      <c r="F7" s="357">
        <f>SUMIF(52:52,YEAR(E7)&amp;"-"&amp;MONTH(E7),53:53)</f>
        <v>0</v>
      </c>
      <c r="G7" s="356"/>
      <c r="H7" s="355">
        <f>SUMIF(52:52,YEAR(G7)&amp;"-"&amp;MONTH(G7),53:53)</f>
        <v>0</v>
      </c>
      <c r="I7" s="356"/>
      <c r="J7" s="355">
        <f>SUMIF(52:52,YEAR(I7)&amp;"-"&amp;MONTH(I7),53:53)</f>
        <v>0</v>
      </c>
      <c r="K7" s="38"/>
      <c r="L7" s="862"/>
      <c r="M7" s="863"/>
      <c r="N7" s="863"/>
      <c r="O7" s="863"/>
      <c r="P7" s="3374" t="s">
        <v>1680</v>
      </c>
      <c r="Q7" s="3405"/>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4.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74" t="s">
        <v>1683</v>
      </c>
      <c r="Q8" s="3375"/>
      <c r="R8" s="664" t="s">
        <v>14</v>
      </c>
      <c r="S8" s="665">
        <f t="shared" si="0"/>
        <v>100</v>
      </c>
      <c r="T8" s="664" t="s">
        <v>14</v>
      </c>
      <c r="U8" s="665">
        <f t="shared" si="1"/>
        <v>100</v>
      </c>
      <c r="V8" s="664" t="s">
        <v>14</v>
      </c>
      <c r="W8" s="665">
        <f t="shared" si="2"/>
        <v>100</v>
      </c>
      <c r="X8" s="666"/>
      <c r="Y8" s="3374" t="s">
        <v>1683</v>
      </c>
      <c r="Z8" s="3375"/>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415"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415"/>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415"/>
      <c r="Q11" s="530" t="str">
        <f t="shared" si="6"/>
        <v>容积率</v>
      </c>
      <c r="R11" s="664" t="s">
        <v>14</v>
      </c>
      <c r="S11" s="665">
        <f t="shared" si="0"/>
        <v>100</v>
      </c>
      <c r="T11" s="664" t="s">
        <v>14</v>
      </c>
      <c r="U11" s="665">
        <f t="shared" si="1"/>
        <v>100</v>
      </c>
      <c r="V11" s="664" t="s">
        <v>14</v>
      </c>
      <c r="W11" s="665">
        <f t="shared" si="2"/>
        <v>100</v>
      </c>
      <c r="X11" s="666"/>
      <c r="Y11" s="3339"/>
      <c r="Z11" s="50" t="str">
        <f t="shared" si="7"/>
        <v>容积率</v>
      </c>
      <c r="AA11" s="50">
        <f t="shared" si="3"/>
        <v>1</v>
      </c>
      <c r="AB11" s="50">
        <f t="shared" si="4"/>
        <v>1</v>
      </c>
      <c r="AC11" s="50">
        <f t="shared" si="5"/>
        <v>1</v>
      </c>
    </row>
    <row r="12" spans="1:29" s="102" customFormat="1" ht="15.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415"/>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415"/>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415"/>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50">
        <f t="shared" si="5"/>
        <v>1</v>
      </c>
    </row>
    <row r="15" spans="1:29" ht="70">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5">
      <c r="A16" s="367"/>
      <c r="B16" s="385"/>
      <c r="C16" s="386"/>
      <c r="D16" s="387"/>
      <c r="E16" s="386"/>
      <c r="F16" s="388"/>
      <c r="G16" s="386"/>
      <c r="H16" s="389"/>
      <c r="I16" s="386"/>
      <c r="J16" s="387"/>
      <c r="K16" s="541"/>
      <c r="L16" s="870"/>
      <c r="M16" s="861"/>
      <c r="N16" s="861"/>
      <c r="O16" s="869"/>
      <c r="P16" s="3409"/>
      <c r="Q16" s="1263"/>
      <c r="R16" s="667"/>
      <c r="S16" s="668"/>
      <c r="T16" s="667"/>
      <c r="U16" s="668"/>
      <c r="V16" s="667"/>
      <c r="W16" s="668"/>
      <c r="X16" s="1265"/>
      <c r="Y16" s="3409"/>
      <c r="Z16" s="1264"/>
      <c r="AA16" s="1264">
        <v>1</v>
      </c>
      <c r="AB16" s="1264">
        <v>1</v>
      </c>
      <c r="AC16" s="1264">
        <v>1</v>
      </c>
    </row>
    <row r="17" spans="1:29" ht="98">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5">
      <c r="A18" s="367"/>
      <c r="B18" s="395"/>
      <c r="C18" s="1755"/>
      <c r="D18" s="389"/>
      <c r="E18" s="1757"/>
      <c r="F18" s="392"/>
      <c r="G18" s="1756"/>
      <c r="H18" s="387"/>
      <c r="I18" s="1757"/>
      <c r="J18" s="387"/>
      <c r="K18" s="541"/>
      <c r="L18" s="870"/>
      <c r="M18" s="861"/>
      <c r="N18" s="861"/>
      <c r="O18" s="869"/>
      <c r="P18" s="3409"/>
      <c r="Q18" s="1263"/>
      <c r="R18" s="667"/>
      <c r="S18" s="668"/>
      <c r="T18" s="667"/>
      <c r="U18" s="668"/>
      <c r="V18" s="667"/>
      <c r="W18" s="668"/>
      <c r="X18" s="1265"/>
      <c r="Y18" s="3409"/>
      <c r="Z18" s="1264"/>
      <c r="AA18" s="1264">
        <v>1</v>
      </c>
      <c r="AB18" s="1264">
        <v>1</v>
      </c>
      <c r="AC18" s="1264">
        <v>1</v>
      </c>
    </row>
    <row r="19" spans="1:29" ht="42">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409"/>
      <c r="Q19" s="1263" t="str">
        <f>B19</f>
        <v>公共配套设施</v>
      </c>
      <c r="R19" s="667" t="s">
        <v>14</v>
      </c>
      <c r="S19" s="668">
        <f>F19</f>
        <v>100</v>
      </c>
      <c r="T19" s="667" t="s">
        <v>14</v>
      </c>
      <c r="U19" s="668">
        <f>H19</f>
        <v>100</v>
      </c>
      <c r="V19" s="667" t="s">
        <v>14</v>
      </c>
      <c r="W19" s="668">
        <f>J19</f>
        <v>100</v>
      </c>
      <c r="X19" s="1265"/>
      <c r="Y19" s="3409"/>
      <c r="Z19" s="1264" t="str">
        <f>Q19</f>
        <v>公共配套设施</v>
      </c>
      <c r="AA19" s="1264">
        <f t="shared" si="3"/>
        <v>1</v>
      </c>
      <c r="AB19" s="1264">
        <f t="shared" si="4"/>
        <v>1</v>
      </c>
      <c r="AC19" s="1264">
        <f t="shared" si="5"/>
        <v>1</v>
      </c>
    </row>
    <row r="20" spans="1:29" ht="15.5">
      <c r="A20" s="367"/>
      <c r="B20" s="395"/>
      <c r="C20" s="386"/>
      <c r="D20" s="387"/>
      <c r="E20" s="1752"/>
      <c r="F20" s="388"/>
      <c r="G20" s="1751"/>
      <c r="H20" s="387"/>
      <c r="I20" s="1752"/>
      <c r="J20" s="387"/>
      <c r="K20" s="541"/>
      <c r="L20" s="870"/>
      <c r="M20" s="861"/>
      <c r="N20" s="861"/>
      <c r="O20" s="869"/>
      <c r="P20" s="3409"/>
      <c r="Q20" s="1263"/>
      <c r="R20" s="667"/>
      <c r="S20" s="668"/>
      <c r="T20" s="667"/>
      <c r="U20" s="668"/>
      <c r="V20" s="667"/>
      <c r="W20" s="668"/>
      <c r="X20" s="1265"/>
      <c r="Y20" s="3409"/>
      <c r="Z20" s="1264"/>
      <c r="AA20" s="1264">
        <v>1</v>
      </c>
      <c r="AB20" s="1264">
        <v>1</v>
      </c>
      <c r="AC20" s="1264">
        <v>1</v>
      </c>
    </row>
    <row r="21" spans="1:29" ht="42">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409"/>
      <c r="Q21" s="1263" t="str">
        <f>B21</f>
        <v>基础设施水平</v>
      </c>
      <c r="R21" s="667" t="s">
        <v>14</v>
      </c>
      <c r="S21" s="668">
        <f>F21</f>
        <v>100</v>
      </c>
      <c r="T21" s="667" t="s">
        <v>14</v>
      </c>
      <c r="U21" s="668">
        <f>H21</f>
        <v>100</v>
      </c>
      <c r="V21" s="667" t="s">
        <v>14</v>
      </c>
      <c r="W21" s="668">
        <f>J21</f>
        <v>100</v>
      </c>
      <c r="X21" s="1265"/>
      <c r="Y21" s="3409"/>
      <c r="Z21" s="1264" t="str">
        <f>Q21</f>
        <v>基础设施水平</v>
      </c>
      <c r="AA21" s="1264">
        <f t="shared" ref="AA21" si="8">D21/F21</f>
        <v>1</v>
      </c>
      <c r="AB21" s="1264">
        <f t="shared" ref="AB21" si="9">D21/H21</f>
        <v>1</v>
      </c>
      <c r="AC21" s="1264">
        <f t="shared" ref="AC21" si="10">D21/J21</f>
        <v>1</v>
      </c>
    </row>
    <row r="22" spans="1:29" ht="15.5">
      <c r="A22" s="367"/>
      <c r="B22" s="586"/>
      <c r="C22" s="1755"/>
      <c r="D22" s="387"/>
      <c r="E22" s="386"/>
      <c r="F22" s="388"/>
      <c r="G22" s="386"/>
      <c r="H22" s="387"/>
      <c r="I22" s="386"/>
      <c r="J22" s="387"/>
      <c r="K22" s="1064"/>
      <c r="L22" s="870"/>
      <c r="M22" s="861"/>
      <c r="N22" s="861"/>
      <c r="O22" s="869"/>
      <c r="P22" s="3409"/>
      <c r="Q22" s="1263"/>
      <c r="R22" s="667"/>
      <c r="S22" s="668"/>
      <c r="T22" s="667"/>
      <c r="U22" s="668"/>
      <c r="V22" s="667"/>
      <c r="W22" s="668"/>
      <c r="X22" s="1265"/>
      <c r="Y22" s="3409"/>
      <c r="Z22" s="1264"/>
      <c r="AA22" s="1264">
        <v>1</v>
      </c>
      <c r="AB22" s="1264">
        <v>1</v>
      </c>
      <c r="AC22" s="1264">
        <v>1</v>
      </c>
    </row>
    <row r="23" spans="1:29" ht="84">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409"/>
      <c r="Q23" s="1263" t="str">
        <f>B23</f>
        <v>环境质量</v>
      </c>
      <c r="R23" s="667" t="s">
        <v>14</v>
      </c>
      <c r="S23" s="668">
        <f>F23</f>
        <v>100</v>
      </c>
      <c r="T23" s="667" t="s">
        <v>14</v>
      </c>
      <c r="U23" s="668">
        <f>H23</f>
        <v>100</v>
      </c>
      <c r="V23" s="667" t="s">
        <v>14</v>
      </c>
      <c r="W23" s="668">
        <f>J23</f>
        <v>100</v>
      </c>
      <c r="X23" s="1265"/>
      <c r="Y23" s="3409"/>
      <c r="Z23" s="1264" t="str">
        <f>Q23</f>
        <v>环境质量</v>
      </c>
      <c r="AA23" s="1264">
        <f t="shared" si="3"/>
        <v>1</v>
      </c>
      <c r="AB23" s="1264">
        <f t="shared" si="4"/>
        <v>1</v>
      </c>
      <c r="AC23" s="1264">
        <f t="shared" si="5"/>
        <v>1</v>
      </c>
    </row>
    <row r="24" spans="1:29" ht="15.5">
      <c r="A24" s="367"/>
      <c r="B24" s="586"/>
      <c r="C24" s="386"/>
      <c r="D24" s="387"/>
      <c r="E24" s="1752"/>
      <c r="F24" s="388"/>
      <c r="G24" s="1751"/>
      <c r="H24" s="387"/>
      <c r="I24" s="1752"/>
      <c r="J24" s="387"/>
      <c r="K24" s="541"/>
      <c r="L24" s="870"/>
      <c r="M24" s="861"/>
      <c r="N24" s="861"/>
      <c r="O24" s="869"/>
      <c r="P24" s="3409"/>
      <c r="Q24" s="1263"/>
      <c r="R24" s="667"/>
      <c r="S24" s="668"/>
      <c r="T24" s="667"/>
      <c r="U24" s="668"/>
      <c r="V24" s="667"/>
      <c r="W24" s="668"/>
      <c r="X24" s="1265"/>
      <c r="Y24" s="3409"/>
      <c r="Z24" s="1264"/>
      <c r="AA24" s="1264">
        <v>1</v>
      </c>
      <c r="AB24" s="1264">
        <v>1</v>
      </c>
      <c r="AC24" s="1264">
        <v>1</v>
      </c>
    </row>
    <row r="25" spans="1:29" ht="15.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409"/>
      <c r="Q25" s="1263">
        <f>B25</f>
        <v>111</v>
      </c>
      <c r="R25" s="667" t="s">
        <v>14</v>
      </c>
      <c r="S25" s="668">
        <f>F25</f>
        <v>100</v>
      </c>
      <c r="T25" s="667" t="s">
        <v>14</v>
      </c>
      <c r="U25" s="668">
        <f>H25</f>
        <v>100</v>
      </c>
      <c r="V25" s="667" t="s">
        <v>14</v>
      </c>
      <c r="W25" s="668">
        <f>J25</f>
        <v>100</v>
      </c>
      <c r="X25" s="1265"/>
      <c r="Y25" s="3409"/>
      <c r="Z25" s="1264">
        <f>Q25</f>
        <v>111</v>
      </c>
      <c r="AA25" s="1264">
        <f t="shared" si="3"/>
        <v>1</v>
      </c>
      <c r="AB25" s="1264">
        <f t="shared" si="4"/>
        <v>1</v>
      </c>
      <c r="AC25" s="1264">
        <f t="shared" si="5"/>
        <v>1</v>
      </c>
    </row>
    <row r="26" spans="1:29" ht="15.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409"/>
      <c r="Q26" s="1263">
        <f t="shared" ref="Q26:Q40" si="11">B26</f>
        <v>111</v>
      </c>
      <c r="R26" s="667" t="s">
        <v>14</v>
      </c>
      <c r="S26" s="668">
        <f>F26</f>
        <v>100</v>
      </c>
      <c r="T26" s="667" t="s">
        <v>14</v>
      </c>
      <c r="U26" s="668">
        <f>H26</f>
        <v>100</v>
      </c>
      <c r="V26" s="667" t="s">
        <v>14</v>
      </c>
      <c r="W26" s="668">
        <f>J26</f>
        <v>100</v>
      </c>
      <c r="X26" s="1265"/>
      <c r="Y26" s="3409"/>
      <c r="Z26" s="1264">
        <f>Q26</f>
        <v>111</v>
      </c>
      <c r="AA26" s="1264">
        <f t="shared" si="3"/>
        <v>1</v>
      </c>
      <c r="AB26" s="1264">
        <f t="shared" si="4"/>
        <v>1</v>
      </c>
      <c r="AC26" s="1264">
        <f t="shared" si="5"/>
        <v>1</v>
      </c>
    </row>
    <row r="27" spans="1:29" s="102" customFormat="1" ht="15.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409"/>
      <c r="Q27" s="530">
        <f t="shared" si="11"/>
        <v>111</v>
      </c>
      <c r="R27" s="664" t="s">
        <v>14</v>
      </c>
      <c r="S27" s="665">
        <f>F27</f>
        <v>100</v>
      </c>
      <c r="T27" s="664" t="s">
        <v>14</v>
      </c>
      <c r="U27" s="665">
        <f>H27</f>
        <v>100</v>
      </c>
      <c r="V27" s="664" t="s">
        <v>14</v>
      </c>
      <c r="W27" s="665">
        <f>J27</f>
        <v>100</v>
      </c>
      <c r="X27" s="666"/>
      <c r="Y27" s="3409"/>
      <c r="Z27" s="50">
        <f>Q27</f>
        <v>111</v>
      </c>
      <c r="AA27" s="1264">
        <f>D27/F27</f>
        <v>1</v>
      </c>
      <c r="AB27" s="1264">
        <f>D27/H27</f>
        <v>1</v>
      </c>
      <c r="AC27" s="1264">
        <f>D27/J27</f>
        <v>1</v>
      </c>
    </row>
    <row r="28" spans="1:29" ht="1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409"/>
      <c r="Q28" s="1263">
        <f t="shared" si="11"/>
        <v>111</v>
      </c>
      <c r="R28" s="667" t="s">
        <v>14</v>
      </c>
      <c r="S28" s="668">
        <f t="shared" ref="S28:S40" si="12">F28</f>
        <v>100</v>
      </c>
      <c r="T28" s="667" t="s">
        <v>14</v>
      </c>
      <c r="U28" s="668">
        <f t="shared" ref="U28:U40" si="13">H28</f>
        <v>100</v>
      </c>
      <c r="V28" s="667" t="s">
        <v>14</v>
      </c>
      <c r="W28" s="668">
        <f t="shared" ref="W28:W40" si="14">J28</f>
        <v>100</v>
      </c>
      <c r="X28" s="1265"/>
      <c r="Y28" s="3409"/>
      <c r="Z28" s="1264">
        <f t="shared" ref="Z28:Z40" si="15">Q28</f>
        <v>111</v>
      </c>
      <c r="AA28" s="1264">
        <f t="shared" si="3"/>
        <v>1</v>
      </c>
      <c r="AB28" s="1264">
        <f t="shared" si="4"/>
        <v>1</v>
      </c>
      <c r="AC28" s="1264">
        <f t="shared" si="5"/>
        <v>1</v>
      </c>
    </row>
    <row r="29" spans="1:29" ht="29">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54" t="s">
        <v>1696</v>
      </c>
      <c r="Q29" s="1263" t="str">
        <f t="shared" si="11"/>
        <v>建筑类型</v>
      </c>
      <c r="R29" s="667" t="s">
        <v>14</v>
      </c>
      <c r="S29" s="668">
        <f t="shared" si="12"/>
        <v>100</v>
      </c>
      <c r="T29" s="667" t="s">
        <v>14</v>
      </c>
      <c r="U29" s="668">
        <f t="shared" si="13"/>
        <v>100</v>
      </c>
      <c r="V29" s="667" t="s">
        <v>14</v>
      </c>
      <c r="W29" s="668">
        <f t="shared" si="14"/>
        <v>100</v>
      </c>
      <c r="X29" s="1265"/>
      <c r="Y29" s="3413" t="s">
        <v>1696</v>
      </c>
      <c r="Z29" s="1264" t="str">
        <f t="shared" si="15"/>
        <v>建筑类型</v>
      </c>
      <c r="AA29" s="1264">
        <f t="shared" si="3"/>
        <v>1</v>
      </c>
      <c r="AB29" s="1264">
        <f t="shared" si="4"/>
        <v>1</v>
      </c>
      <c r="AC29" s="1264">
        <f t="shared" si="5"/>
        <v>1</v>
      </c>
    </row>
    <row r="30" spans="1:29" s="408" customFormat="1" ht="15.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413"/>
      <c r="Q30" s="531" t="str">
        <f t="shared" si="11"/>
        <v>项目建筑规模</v>
      </c>
      <c r="R30" s="669" t="s">
        <v>14</v>
      </c>
      <c r="S30" s="670" t="e">
        <f t="shared" si="12"/>
        <v>#N/A</v>
      </c>
      <c r="T30" s="669" t="s">
        <v>14</v>
      </c>
      <c r="U30" s="670" t="e">
        <f t="shared" si="13"/>
        <v>#N/A</v>
      </c>
      <c r="V30" s="669" t="s">
        <v>14</v>
      </c>
      <c r="W30" s="670" t="e">
        <f t="shared" si="14"/>
        <v>#N/A</v>
      </c>
      <c r="X30" s="671"/>
      <c r="Y30" s="3413"/>
      <c r="Z30" s="672" t="str">
        <f t="shared" si="15"/>
        <v>项目建筑规模</v>
      </c>
      <c r="AA30" s="1264" t="e">
        <f t="shared" si="3"/>
        <v>#N/A</v>
      </c>
      <c r="AB30" s="1264" t="e">
        <f t="shared" si="4"/>
        <v>#N/A</v>
      </c>
      <c r="AC30" s="1264" t="e">
        <f t="shared" si="5"/>
        <v>#N/A</v>
      </c>
    </row>
    <row r="31" spans="1:29" ht="15.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413"/>
      <c r="Q31" s="1263" t="str">
        <f t="shared" si="11"/>
        <v>建筑结构</v>
      </c>
      <c r="R31" s="667" t="s">
        <v>14</v>
      </c>
      <c r="S31" s="668">
        <f t="shared" si="12"/>
        <v>100</v>
      </c>
      <c r="T31" s="667" t="s">
        <v>14</v>
      </c>
      <c r="U31" s="668">
        <f t="shared" si="13"/>
        <v>100</v>
      </c>
      <c r="V31" s="667" t="s">
        <v>14</v>
      </c>
      <c r="W31" s="668">
        <f t="shared" si="14"/>
        <v>100</v>
      </c>
      <c r="X31" s="1265"/>
      <c r="Y31" s="3413"/>
      <c r="Z31" s="1264" t="str">
        <f t="shared" si="15"/>
        <v>建筑结构</v>
      </c>
      <c r="AA31" s="1264">
        <f t="shared" si="3"/>
        <v>1</v>
      </c>
      <c r="AB31" s="1264">
        <f t="shared" si="4"/>
        <v>1</v>
      </c>
      <c r="AC31" s="1264">
        <f t="shared" si="5"/>
        <v>1</v>
      </c>
    </row>
    <row r="32" spans="1:29" ht="15.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413"/>
      <c r="Q32" s="1263" t="str">
        <f t="shared" si="11"/>
        <v>公共部分装修</v>
      </c>
      <c r="R32" s="667" t="s">
        <v>14</v>
      </c>
      <c r="S32" s="668">
        <f t="shared" si="12"/>
        <v>100</v>
      </c>
      <c r="T32" s="667" t="s">
        <v>14</v>
      </c>
      <c r="U32" s="668">
        <f t="shared" si="13"/>
        <v>100</v>
      </c>
      <c r="V32" s="667" t="s">
        <v>14</v>
      </c>
      <c r="W32" s="668">
        <f t="shared" si="14"/>
        <v>100</v>
      </c>
      <c r="X32" s="1265"/>
      <c r="Y32" s="3413"/>
      <c r="Z32" s="1264" t="str">
        <f t="shared" si="15"/>
        <v>公共部分装修</v>
      </c>
      <c r="AA32" s="1264">
        <f t="shared" si="3"/>
        <v>1</v>
      </c>
      <c r="AB32" s="1264">
        <f t="shared" si="4"/>
        <v>1</v>
      </c>
      <c r="AC32" s="1264">
        <f t="shared" si="5"/>
        <v>1</v>
      </c>
    </row>
    <row r="33" spans="1:29" ht="15.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413"/>
      <c r="Q33" s="1263" t="str">
        <f t="shared" si="11"/>
        <v>成新度</v>
      </c>
      <c r="R33" s="667" t="s">
        <v>14</v>
      </c>
      <c r="S33" s="668" t="e">
        <f t="shared" si="12"/>
        <v>#N/A</v>
      </c>
      <c r="T33" s="667" t="s">
        <v>14</v>
      </c>
      <c r="U33" s="668" t="e">
        <f t="shared" si="13"/>
        <v>#N/A</v>
      </c>
      <c r="V33" s="667" t="s">
        <v>14</v>
      </c>
      <c r="W33" s="668" t="e">
        <f t="shared" si="14"/>
        <v>#N/A</v>
      </c>
      <c r="X33" s="1265"/>
      <c r="Y33" s="3413"/>
      <c r="Z33" s="1264" t="str">
        <f t="shared" si="15"/>
        <v>成新度</v>
      </c>
      <c r="AA33" s="1264" t="e">
        <f t="shared" si="3"/>
        <v>#N/A</v>
      </c>
      <c r="AB33" s="1264" t="e">
        <f t="shared" si="4"/>
        <v>#N/A</v>
      </c>
      <c r="AC33" s="1264" t="e">
        <f t="shared" si="5"/>
        <v>#N/A</v>
      </c>
    </row>
    <row r="34" spans="1:29" s="102" customFormat="1" ht="15.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413"/>
      <c r="Q34" s="530" t="str">
        <f t="shared" si="11"/>
        <v>物业管理</v>
      </c>
      <c r="R34" s="664" t="s">
        <v>14</v>
      </c>
      <c r="S34" s="665">
        <f t="shared" si="12"/>
        <v>100</v>
      </c>
      <c r="T34" s="664" t="s">
        <v>14</v>
      </c>
      <c r="U34" s="665">
        <f t="shared" si="13"/>
        <v>100</v>
      </c>
      <c r="V34" s="664" t="s">
        <v>14</v>
      </c>
      <c r="W34" s="665">
        <f t="shared" si="14"/>
        <v>100</v>
      </c>
      <c r="X34" s="666"/>
      <c r="Y34" s="3413"/>
      <c r="Z34" s="50" t="str">
        <f t="shared" si="15"/>
        <v>物业管理</v>
      </c>
      <c r="AA34" s="50">
        <f t="shared" si="3"/>
        <v>1</v>
      </c>
      <c r="AB34" s="50">
        <f t="shared" si="4"/>
        <v>1</v>
      </c>
      <c r="AC34" s="50">
        <f t="shared" si="5"/>
        <v>1</v>
      </c>
    </row>
    <row r="35" spans="1:29" ht="15.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413" t="s">
        <v>1696</v>
      </c>
      <c r="Q35" s="1263" t="str">
        <f t="shared" si="11"/>
        <v>市政基础设施</v>
      </c>
      <c r="R35" s="667" t="s">
        <v>14</v>
      </c>
      <c r="S35" s="668">
        <f t="shared" si="12"/>
        <v>100</v>
      </c>
      <c r="T35" s="667" t="s">
        <v>14</v>
      </c>
      <c r="U35" s="668">
        <f t="shared" si="13"/>
        <v>100</v>
      </c>
      <c r="V35" s="667" t="s">
        <v>14</v>
      </c>
      <c r="W35" s="668">
        <f t="shared" si="14"/>
        <v>100</v>
      </c>
      <c r="X35" s="1265"/>
      <c r="Y35" s="3413" t="s">
        <v>1696</v>
      </c>
      <c r="Z35" s="1264" t="str">
        <f t="shared" si="15"/>
        <v>市政基础设施</v>
      </c>
      <c r="AA35" s="1264">
        <f t="shared" si="3"/>
        <v>1</v>
      </c>
      <c r="AB35" s="1264">
        <f t="shared" si="4"/>
        <v>1</v>
      </c>
      <c r="AC35" s="1264">
        <f t="shared" si="5"/>
        <v>1</v>
      </c>
    </row>
    <row r="36" spans="1:29" ht="15.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413"/>
      <c r="Q36" s="1263" t="str">
        <f t="shared" si="11"/>
        <v>内部装修</v>
      </c>
      <c r="R36" s="667" t="s">
        <v>14</v>
      </c>
      <c r="S36" s="668">
        <f t="shared" si="12"/>
        <v>100</v>
      </c>
      <c r="T36" s="667" t="s">
        <v>14</v>
      </c>
      <c r="U36" s="668">
        <f t="shared" si="13"/>
        <v>100</v>
      </c>
      <c r="V36" s="667" t="s">
        <v>14</v>
      </c>
      <c r="W36" s="668">
        <f t="shared" si="14"/>
        <v>100</v>
      </c>
      <c r="X36" s="1265"/>
      <c r="Y36" s="3413"/>
      <c r="Z36" s="1264" t="str">
        <f t="shared" si="15"/>
        <v>内部装修</v>
      </c>
      <c r="AA36" s="1264">
        <f t="shared" si="3"/>
        <v>1</v>
      </c>
      <c r="AB36" s="1264">
        <f t="shared" si="4"/>
        <v>1</v>
      </c>
      <c r="AC36" s="1264">
        <f t="shared" si="5"/>
        <v>1</v>
      </c>
    </row>
    <row r="37" spans="1:29" ht="15.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413"/>
      <c r="Q37" s="1263" t="str">
        <f t="shared" si="11"/>
        <v>内部装修状况</v>
      </c>
      <c r="R37" s="667" t="s">
        <v>14</v>
      </c>
      <c r="S37" s="668">
        <f t="shared" si="12"/>
        <v>100</v>
      </c>
      <c r="T37" s="667" t="s">
        <v>14</v>
      </c>
      <c r="U37" s="668">
        <f t="shared" si="13"/>
        <v>100</v>
      </c>
      <c r="V37" s="667" t="s">
        <v>14</v>
      </c>
      <c r="W37" s="668">
        <f t="shared" si="14"/>
        <v>100</v>
      </c>
      <c r="X37" s="1265"/>
      <c r="Y37" s="3413"/>
      <c r="Z37" s="1264" t="str">
        <f t="shared" si="15"/>
        <v>内部装修状况</v>
      </c>
      <c r="AA37" s="1264">
        <f t="shared" si="3"/>
        <v>1</v>
      </c>
      <c r="AB37" s="1264">
        <f t="shared" si="4"/>
        <v>1</v>
      </c>
      <c r="AC37" s="1264">
        <f t="shared" si="5"/>
        <v>1</v>
      </c>
    </row>
    <row r="38" spans="1:29" s="408" customFormat="1" ht="15.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413"/>
      <c r="Q38" s="531">
        <f t="shared" si="11"/>
        <v>111</v>
      </c>
      <c r="R38" s="669" t="s">
        <v>14</v>
      </c>
      <c r="S38" s="670">
        <f t="shared" si="12"/>
        <v>100</v>
      </c>
      <c r="T38" s="669" t="s">
        <v>14</v>
      </c>
      <c r="U38" s="670">
        <f t="shared" si="13"/>
        <v>100</v>
      </c>
      <c r="V38" s="669" t="s">
        <v>14</v>
      </c>
      <c r="W38" s="670">
        <f t="shared" si="14"/>
        <v>100</v>
      </c>
      <c r="X38" s="671"/>
      <c r="Y38" s="3413"/>
      <c r="Z38" s="672">
        <f t="shared" si="15"/>
        <v>111</v>
      </c>
      <c r="AA38" s="1264">
        <f t="shared" si="3"/>
        <v>1</v>
      </c>
      <c r="AB38" s="1264">
        <f t="shared" si="4"/>
        <v>1</v>
      </c>
      <c r="AC38" s="1264">
        <f t="shared" si="5"/>
        <v>1</v>
      </c>
    </row>
    <row r="39" spans="1:29" ht="15.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413"/>
      <c r="Q39" s="1263">
        <f t="shared" si="11"/>
        <v>111</v>
      </c>
      <c r="R39" s="667" t="s">
        <v>14</v>
      </c>
      <c r="S39" s="668">
        <f t="shared" si="12"/>
        <v>100</v>
      </c>
      <c r="T39" s="667" t="s">
        <v>14</v>
      </c>
      <c r="U39" s="668">
        <f t="shared" si="13"/>
        <v>100</v>
      </c>
      <c r="V39" s="667" t="s">
        <v>14</v>
      </c>
      <c r="W39" s="668">
        <f t="shared" si="14"/>
        <v>100</v>
      </c>
      <c r="X39" s="1265"/>
      <c r="Y39" s="3413"/>
      <c r="Z39" s="1264">
        <f t="shared" si="15"/>
        <v>111</v>
      </c>
      <c r="AA39" s="1264">
        <f t="shared" si="3"/>
        <v>1</v>
      </c>
      <c r="AB39" s="1264">
        <f t="shared" si="4"/>
        <v>1</v>
      </c>
      <c r="AC39" s="1264">
        <f t="shared" si="5"/>
        <v>1</v>
      </c>
    </row>
    <row r="40" spans="1:29" ht="1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414"/>
      <c r="Q40" s="1263">
        <f t="shared" si="11"/>
        <v>111</v>
      </c>
      <c r="R40" s="667" t="s">
        <v>14</v>
      </c>
      <c r="S40" s="668">
        <f t="shared" si="12"/>
        <v>100</v>
      </c>
      <c r="T40" s="667" t="s">
        <v>14</v>
      </c>
      <c r="U40" s="668">
        <f t="shared" si="13"/>
        <v>100</v>
      </c>
      <c r="V40" s="667" t="s">
        <v>14</v>
      </c>
      <c r="W40" s="668">
        <f t="shared" si="14"/>
        <v>100</v>
      </c>
      <c r="X40" s="1265"/>
      <c r="Y40" s="3414"/>
      <c r="Z40" s="1264">
        <f t="shared" si="15"/>
        <v>111</v>
      </c>
      <c r="AA40" s="1264">
        <f t="shared" si="3"/>
        <v>1</v>
      </c>
      <c r="AB40" s="1264">
        <f t="shared" si="4"/>
        <v>1</v>
      </c>
      <c r="AC40" s="1264">
        <f t="shared" si="5"/>
        <v>1</v>
      </c>
    </row>
    <row r="41" spans="1:29">
      <c r="A41" s="416" t="s">
        <v>1708</v>
      </c>
      <c r="B41" s="417"/>
      <c r="C41" s="1081" t="s">
        <v>0</v>
      </c>
      <c r="D41" s="418"/>
      <c r="E41" s="419"/>
      <c r="F41" s="420"/>
      <c r="G41" s="421"/>
      <c r="H41" s="422"/>
      <c r="I41" s="419"/>
      <c r="J41" s="422"/>
      <c r="K41" s="674"/>
      <c r="L41" s="873"/>
      <c r="M41" s="861"/>
      <c r="N41" s="861"/>
      <c r="O41" s="861"/>
      <c r="P41" s="3415" t="str">
        <f>A41</f>
        <v>成交单价（元/平方米）</v>
      </c>
      <c r="Q41" s="3415"/>
      <c r="R41" s="3403">
        <f>E41</f>
        <v>0</v>
      </c>
      <c r="S41" s="3403"/>
      <c r="T41" s="3403">
        <f>G41</f>
        <v>0</v>
      </c>
      <c r="U41" s="3403"/>
      <c r="V41" s="3403">
        <f>I41</f>
        <v>0</v>
      </c>
      <c r="W41" s="3403"/>
      <c r="X41" s="385"/>
      <c r="Y41" s="673"/>
      <c r="Z41" s="385"/>
      <c r="AA41" s="385"/>
      <c r="AB41" s="385"/>
      <c r="AC41" s="385"/>
    </row>
    <row r="42" spans="1:29" ht="14.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415" t="str">
        <f>A42</f>
        <v>比较价值（元/平方米）</v>
      </c>
      <c r="Q42" s="3415"/>
      <c r="R42" s="3403" t="e">
        <f>IF(F1="售价",ROUND(PRODUCT(R41,AA7:AA40),0),ROUND(PRODUCT(R41,AA7:AA40),1))</f>
        <v>#DIV/0!</v>
      </c>
      <c r="S42" s="3403"/>
      <c r="T42" s="3403" t="e">
        <f>IF(F1="售价",ROUND(PRODUCT(T41,AB7:AB40),0),ROUND(PRODUCT(T41,AB7:AB40),1))</f>
        <v>#DIV/0!</v>
      </c>
      <c r="U42" s="3403"/>
      <c r="V42" s="3403" t="e">
        <f>IF(F1="售价",ROUND(PRODUCT(V41,AC7:AC40),0),ROUND(PRODUCT(V41,AC7:AC40),1))</f>
        <v>#DIV/0!</v>
      </c>
      <c r="W42" s="3403"/>
      <c r="X42" s="385"/>
      <c r="Y42" s="385"/>
      <c r="Z42" s="385"/>
      <c r="AA42" s="385"/>
      <c r="AB42" s="385"/>
      <c r="AC42" s="385"/>
    </row>
    <row r="43" spans="1:29" ht="14.5" thickBot="1">
      <c r="A43" s="427" t="s">
        <v>1794</v>
      </c>
      <c r="B43" s="428"/>
      <c r="C43" s="351" t="e">
        <f>R43</f>
        <v>#DIV/0!</v>
      </c>
      <c r="D43" s="351"/>
      <c r="E43" s="351"/>
      <c r="F43" s="351"/>
      <c r="G43" s="351"/>
      <c r="H43" s="351"/>
      <c r="I43" s="351"/>
      <c r="J43" s="351"/>
      <c r="K43" s="675"/>
      <c r="L43" s="873"/>
      <c r="M43" s="861"/>
      <c r="N43" s="861"/>
      <c r="O43" s="861"/>
      <c r="P43" s="3451" t="str">
        <f>A43</f>
        <v>估价对象XX用房的比较价值（楼面单价，元/平方米）</v>
      </c>
      <c r="Q43" s="3452"/>
      <c r="R43" s="3453" t="e">
        <f>IF(F1="售价",ROUND(IF(D42="简单平均",AVERAGE(R42:V42),R42*F42+T42*H42+V42*J42),0),ROUND(IF(D42="简单平均",AVERAGE(R42:V42),R42*F42+T42*H42+V42*J42),1))</f>
        <v>#DIV/0!</v>
      </c>
      <c r="S43" s="3453"/>
      <c r="T43" s="3453"/>
      <c r="U43" s="3453"/>
      <c r="V43" s="3453"/>
      <c r="W43" s="3453"/>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1.5" thickBot="1">
      <c r="A51" s="658" t="s">
        <v>1798</v>
      </c>
      <c r="B51" s="385"/>
      <c r="C51" s="659"/>
      <c r="D51" s="659"/>
      <c r="E51" s="659"/>
      <c r="F51" s="660"/>
      <c r="G51" s="660"/>
      <c r="H51" s="659"/>
      <c r="I51" s="659"/>
      <c r="J51" s="659"/>
      <c r="K51" s="887"/>
      <c r="L51" s="888"/>
      <c r="M51" s="886"/>
      <c r="N51" s="886"/>
      <c r="O51" s="886"/>
      <c r="P51" s="438"/>
      <c r="Q51" s="439"/>
    </row>
    <row r="52" spans="1:17" s="442" customFormat="1">
      <c r="A52" s="440" t="s">
        <v>1679</v>
      </c>
      <c r="B52" s="441"/>
      <c r="C52" s="1103" t="str">
        <f>YEAR(C7)&amp;"-"&amp;MONTH(C7)</f>
        <v>2025-10</v>
      </c>
      <c r="D52" s="1104">
        <f>EDATE(C52,-1)</f>
        <v>45901</v>
      </c>
      <c r="E52" s="1104">
        <f t="shared" ref="E52:O52" si="16">EDATE(D52,-1)</f>
        <v>45870</v>
      </c>
      <c r="F52" s="1104">
        <f t="shared" si="16"/>
        <v>45839</v>
      </c>
      <c r="G52" s="1104">
        <f t="shared" si="16"/>
        <v>45809</v>
      </c>
      <c r="H52" s="1104">
        <f t="shared" si="16"/>
        <v>45778</v>
      </c>
      <c r="I52" s="1104">
        <f t="shared" si="16"/>
        <v>45748</v>
      </c>
      <c r="J52" s="1104">
        <f t="shared" si="16"/>
        <v>45717</v>
      </c>
      <c r="K52" s="1104">
        <f t="shared" si="16"/>
        <v>45689</v>
      </c>
      <c r="L52" s="1104">
        <f t="shared" si="16"/>
        <v>45658</v>
      </c>
      <c r="M52" s="1104">
        <f t="shared" si="16"/>
        <v>45627</v>
      </c>
      <c r="N52" s="1104">
        <f t="shared" si="16"/>
        <v>45597</v>
      </c>
      <c r="O52" s="1104">
        <f t="shared" si="16"/>
        <v>45566</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4.5" thickBot="1">
      <c r="A54" s="449" t="s">
        <v>1716</v>
      </c>
      <c r="B54" s="450"/>
      <c r="C54" s="451"/>
      <c r="D54" s="452"/>
      <c r="E54" s="452"/>
      <c r="F54" s="452"/>
      <c r="G54" s="452"/>
      <c r="H54" s="452"/>
      <c r="I54" s="452"/>
      <c r="J54" s="452"/>
      <c r="K54" s="452"/>
      <c r="L54" s="452"/>
      <c r="M54" s="453"/>
      <c r="N54" s="2537"/>
      <c r="O54" s="2538"/>
      <c r="P54" s="439"/>
      <c r="Q54" s="439"/>
    </row>
    <row r="55" spans="1:17" s="102" customFormat="1">
      <c r="A55" s="455" t="s">
        <v>1681</v>
      </c>
      <c r="B55" s="444"/>
      <c r="C55" s="456" t="s">
        <v>1776</v>
      </c>
      <c r="D55" s="31"/>
      <c r="E55" s="31"/>
      <c r="F55" s="31"/>
      <c r="G55" s="31"/>
      <c r="H55" s="31"/>
      <c r="I55" s="31"/>
      <c r="J55" s="31"/>
      <c r="K55" s="31"/>
      <c r="L55" s="457"/>
      <c r="M55" s="458"/>
      <c r="N55" s="878"/>
      <c r="O55" s="878"/>
      <c r="P55" s="459"/>
      <c r="Q55" s="439"/>
    </row>
    <row r="56" spans="1:17" s="102" customFormat="1" ht="14.5" thickBot="1">
      <c r="A56" s="455"/>
      <c r="B56" s="444"/>
      <c r="C56" s="563">
        <v>100</v>
      </c>
      <c r="D56" s="446"/>
      <c r="E56" s="446"/>
      <c r="F56" s="446"/>
      <c r="G56" s="446"/>
      <c r="H56" s="446"/>
      <c r="I56" s="446"/>
      <c r="J56" s="446"/>
      <c r="K56" s="446"/>
      <c r="L56" s="446"/>
      <c r="M56" s="448"/>
      <c r="N56" s="878"/>
      <c r="O56" s="878"/>
      <c r="P56" s="439"/>
      <c r="Q56" s="439"/>
    </row>
    <row r="57" spans="1:17">
      <c r="A57" s="379" t="s">
        <v>1719</v>
      </c>
      <c r="B57" s="460" t="s">
        <v>1685</v>
      </c>
      <c r="C57" s="461">
        <f>C9</f>
        <v>0</v>
      </c>
      <c r="D57" s="462"/>
      <c r="E57" s="462"/>
      <c r="F57" s="462"/>
      <c r="G57" s="462"/>
      <c r="H57" s="462"/>
      <c r="I57" s="462"/>
      <c r="J57" s="462"/>
      <c r="K57" s="463"/>
      <c r="L57" s="464"/>
      <c r="M57" s="465"/>
      <c r="N57" s="879"/>
      <c r="O57" s="879"/>
      <c r="P57" s="40"/>
      <c r="Q57" s="439"/>
    </row>
    <row r="58" spans="1:17" ht="14.5" thickBot="1">
      <c r="A58" s="367"/>
      <c r="B58" s="466"/>
      <c r="C58" s="467">
        <v>100</v>
      </c>
      <c r="D58" s="467"/>
      <c r="E58" s="467"/>
      <c r="F58" s="467"/>
      <c r="G58" s="467"/>
      <c r="H58" s="467"/>
      <c r="I58" s="467"/>
      <c r="J58" s="467"/>
      <c r="K58" s="467"/>
      <c r="L58" s="467"/>
      <c r="M58" s="468"/>
      <c r="N58" s="880"/>
      <c r="O58" s="880"/>
      <c r="P58" s="40"/>
      <c r="Q58" s="439"/>
    </row>
    <row r="59" spans="1:17" ht="28.5" thickTop="1">
      <c r="A59" s="367"/>
      <c r="B59" s="469" t="s">
        <v>1688</v>
      </c>
      <c r="C59" s="513"/>
      <c r="D59" s="513"/>
      <c r="E59" s="513"/>
      <c r="F59" s="513"/>
      <c r="G59" s="513"/>
      <c r="H59" s="513"/>
      <c r="I59" s="513"/>
      <c r="J59" s="513"/>
      <c r="K59" s="514"/>
      <c r="L59" s="515"/>
      <c r="M59" s="516"/>
      <c r="N59" s="879"/>
      <c r="O59" s="879"/>
      <c r="P59" s="40"/>
      <c r="Q59" s="439"/>
    </row>
    <row r="60" spans="1:17" ht="14.5" thickBot="1">
      <c r="A60" s="367"/>
      <c r="B60" s="474"/>
      <c r="C60" s="467"/>
      <c r="D60" s="467"/>
      <c r="E60" s="467"/>
      <c r="F60" s="467"/>
      <c r="G60" s="467"/>
      <c r="H60" s="467"/>
      <c r="I60" s="467"/>
      <c r="J60" s="467"/>
      <c r="K60" s="467"/>
      <c r="L60" s="467"/>
      <c r="M60" s="468"/>
      <c r="N60" s="880"/>
      <c r="O60" s="880"/>
      <c r="P60" s="40"/>
      <c r="Q60" s="439"/>
    </row>
    <row r="61" spans="1:17" ht="14.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5"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5" thickTop="1">
      <c r="A64" s="484"/>
      <c r="B64" s="469">
        <f>B12</f>
        <v>111</v>
      </c>
      <c r="C64" s="485"/>
      <c r="D64" s="485"/>
      <c r="E64" s="485"/>
      <c r="F64" s="485"/>
      <c r="G64" s="485"/>
      <c r="H64" s="486"/>
      <c r="I64" s="486"/>
      <c r="J64" s="486"/>
      <c r="K64" s="486"/>
      <c r="L64" s="487"/>
      <c r="M64" s="488"/>
      <c r="N64" s="881"/>
      <c r="O64" s="881"/>
      <c r="P64" s="489"/>
      <c r="Q64" s="490"/>
    </row>
    <row r="65" spans="1:17" s="408" customFormat="1" ht="14.5" thickBot="1">
      <c r="A65" s="484"/>
      <c r="B65" s="474"/>
      <c r="C65" s="491"/>
      <c r="D65" s="467"/>
      <c r="E65" s="467"/>
      <c r="F65" s="467"/>
      <c r="G65" s="467"/>
      <c r="H65" s="467"/>
      <c r="I65" s="467"/>
      <c r="J65" s="467"/>
      <c r="K65" s="467"/>
      <c r="L65" s="467"/>
      <c r="M65" s="468"/>
      <c r="N65" s="880"/>
      <c r="O65" s="880"/>
      <c r="P65" s="489"/>
      <c r="Q65" s="490"/>
    </row>
    <row r="66" spans="1:17" s="408" customFormat="1" ht="14.5" thickTop="1">
      <c r="A66" s="484"/>
      <c r="B66" s="469">
        <f>B13</f>
        <v>111</v>
      </c>
      <c r="C66" s="485"/>
      <c r="D66" s="485"/>
      <c r="E66" s="485"/>
      <c r="F66" s="485"/>
      <c r="G66" s="485"/>
      <c r="H66" s="486"/>
      <c r="I66" s="486"/>
      <c r="J66" s="486"/>
      <c r="K66" s="486"/>
      <c r="L66" s="487"/>
      <c r="M66" s="488"/>
      <c r="N66" s="881"/>
      <c r="O66" s="881"/>
      <c r="Q66" s="492"/>
    </row>
    <row r="67" spans="1:17" s="408" customFormat="1" ht="14.5" thickBot="1">
      <c r="A67" s="484"/>
      <c r="B67" s="474"/>
      <c r="C67" s="491"/>
      <c r="D67" s="467"/>
      <c r="E67" s="467"/>
      <c r="F67" s="467"/>
      <c r="G67" s="491"/>
      <c r="H67" s="493"/>
      <c r="I67" s="493"/>
      <c r="J67" s="493"/>
      <c r="K67" s="493"/>
      <c r="L67" s="493"/>
      <c r="M67" s="494"/>
      <c r="N67" s="881"/>
      <c r="O67" s="881"/>
      <c r="P67" s="489"/>
      <c r="Q67" s="490"/>
    </row>
    <row r="68" spans="1:17" s="408" customFormat="1" ht="14.5" thickTop="1">
      <c r="A68" s="484"/>
      <c r="B68" s="477">
        <f>B14</f>
        <v>111</v>
      </c>
      <c r="C68" s="31"/>
      <c r="D68" s="31"/>
      <c r="E68" s="31"/>
      <c r="F68" s="31"/>
      <c r="G68" s="31"/>
      <c r="H68" s="495"/>
      <c r="I68" s="495"/>
      <c r="J68" s="495"/>
      <c r="K68" s="495"/>
      <c r="L68" s="496"/>
      <c r="M68" s="497"/>
      <c r="N68" s="881"/>
      <c r="O68" s="881"/>
      <c r="P68" s="498"/>
      <c r="Q68" s="490"/>
    </row>
    <row r="69" spans="1:17" s="408" customFormat="1" ht="14.5" thickBot="1">
      <c r="A69" s="499"/>
      <c r="B69" s="500"/>
      <c r="C69" s="501"/>
      <c r="D69" s="501"/>
      <c r="E69" s="501"/>
      <c r="F69" s="501"/>
      <c r="G69" s="501"/>
      <c r="H69" s="502"/>
      <c r="I69" s="502"/>
      <c r="J69" s="502"/>
      <c r="K69" s="502"/>
      <c r="L69" s="502"/>
      <c r="M69" s="503"/>
      <c r="N69" s="881"/>
      <c r="O69" s="881"/>
      <c r="P69" s="489"/>
      <c r="Q69" s="490"/>
    </row>
    <row r="70" spans="1:17">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5"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4.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5"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4.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5"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4.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5"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4.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5"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5" thickTop="1">
      <c r="A80" s="370"/>
      <c r="B80" s="469">
        <f>B25</f>
        <v>111</v>
      </c>
      <c r="C80" s="485"/>
      <c r="D80" s="485"/>
      <c r="E80" s="485"/>
      <c r="F80" s="485"/>
      <c r="G80" s="485"/>
      <c r="H80" s="485"/>
      <c r="I80" s="485"/>
      <c r="J80" s="485"/>
      <c r="K80" s="485"/>
      <c r="L80" s="510"/>
      <c r="M80" s="511"/>
      <c r="N80" s="878"/>
      <c r="O80" s="878"/>
      <c r="P80" s="40"/>
      <c r="Q80" s="439"/>
    </row>
    <row r="81" spans="1:17" s="102" customFormat="1" ht="14.5" thickBot="1">
      <c r="A81" s="370"/>
      <c r="B81" s="474"/>
      <c r="C81" s="491"/>
      <c r="D81" s="467"/>
      <c r="E81" s="467"/>
      <c r="F81" s="467"/>
      <c r="G81" s="467"/>
      <c r="H81" s="467"/>
      <c r="I81" s="467"/>
      <c r="J81" s="467"/>
      <c r="K81" s="467"/>
      <c r="L81" s="467"/>
      <c r="M81" s="468"/>
      <c r="N81" s="880"/>
      <c r="O81" s="880"/>
      <c r="P81" s="40"/>
      <c r="Q81" s="439"/>
    </row>
    <row r="82" spans="1:17" s="102" customFormat="1" ht="14.5" thickTop="1">
      <c r="A82" s="370"/>
      <c r="B82" s="469">
        <f>B26</f>
        <v>111</v>
      </c>
      <c r="C82" s="485"/>
      <c r="D82" s="485"/>
      <c r="E82" s="485"/>
      <c r="F82" s="485"/>
      <c r="G82" s="485"/>
      <c r="H82" s="485"/>
      <c r="I82" s="485"/>
      <c r="J82" s="485"/>
      <c r="K82" s="485"/>
      <c r="L82" s="510"/>
      <c r="M82" s="511"/>
      <c r="N82" s="878"/>
      <c r="O82" s="878"/>
      <c r="P82" s="40"/>
      <c r="Q82" s="439"/>
    </row>
    <row r="83" spans="1:17" s="102" customFormat="1" ht="14.5" thickBot="1">
      <c r="A83" s="370"/>
      <c r="B83" s="474"/>
      <c r="C83" s="491"/>
      <c r="D83" s="467"/>
      <c r="E83" s="467"/>
      <c r="F83" s="467"/>
      <c r="G83" s="467"/>
      <c r="H83" s="467"/>
      <c r="I83" s="467"/>
      <c r="J83" s="467"/>
      <c r="K83" s="467"/>
      <c r="L83" s="467"/>
      <c r="M83" s="468"/>
      <c r="N83" s="880"/>
      <c r="O83" s="880"/>
      <c r="P83" s="40"/>
      <c r="Q83" s="439"/>
    </row>
    <row r="84" spans="1:17" s="408" customFormat="1" ht="14.5" thickTop="1">
      <c r="A84" s="484"/>
      <c r="B84" s="469">
        <f>B27</f>
        <v>111</v>
      </c>
      <c r="C84" s="485"/>
      <c r="D84" s="485"/>
      <c r="E84" s="485"/>
      <c r="F84" s="485"/>
      <c r="G84" s="485"/>
      <c r="H84" s="485"/>
      <c r="I84" s="485"/>
      <c r="J84" s="485"/>
      <c r="K84" s="485"/>
      <c r="L84" s="510"/>
      <c r="M84" s="511"/>
      <c r="N84" s="881"/>
      <c r="O84" s="881"/>
      <c r="P84" s="489"/>
      <c r="Q84" s="490"/>
    </row>
    <row r="85" spans="1:17" s="408" customFormat="1" ht="14.5" thickBot="1">
      <c r="A85" s="484"/>
      <c r="B85" s="474"/>
      <c r="C85" s="491"/>
      <c r="D85" s="467"/>
      <c r="E85" s="467"/>
      <c r="F85" s="467"/>
      <c r="G85" s="467"/>
      <c r="H85" s="467"/>
      <c r="I85" s="467"/>
      <c r="J85" s="467"/>
      <c r="K85" s="467"/>
      <c r="L85" s="467"/>
      <c r="M85" s="468"/>
      <c r="N85" s="881"/>
      <c r="O85" s="881"/>
      <c r="P85" s="489"/>
      <c r="Q85" s="490"/>
    </row>
    <row r="86" spans="1:17" ht="14.5" thickTop="1">
      <c r="A86" s="367"/>
      <c r="B86" s="477">
        <f>B28</f>
        <v>111</v>
      </c>
      <c r="C86" s="31"/>
      <c r="D86" s="31"/>
      <c r="E86" s="31"/>
      <c r="F86" s="31"/>
      <c r="G86" s="517"/>
      <c r="H86" s="517"/>
      <c r="I86" s="517"/>
      <c r="J86" s="517"/>
      <c r="K86" s="518"/>
      <c r="L86" s="519"/>
      <c r="M86" s="520"/>
      <c r="N86" s="879"/>
      <c r="O86" s="879"/>
      <c r="P86" s="40"/>
      <c r="Q86" s="439"/>
    </row>
    <row r="87" spans="1:17" ht="14.5" thickBot="1">
      <c r="A87" s="375"/>
      <c r="B87" s="500"/>
      <c r="C87" s="501"/>
      <c r="D87" s="501"/>
      <c r="E87" s="501"/>
      <c r="F87" s="501"/>
      <c r="G87" s="521"/>
      <c r="H87" s="521"/>
      <c r="I87" s="521"/>
      <c r="J87" s="521"/>
      <c r="K87" s="521"/>
      <c r="L87" s="521"/>
      <c r="M87" s="522"/>
      <c r="N87" s="880"/>
      <c r="O87" s="880"/>
      <c r="P87" s="40"/>
      <c r="Q87" s="439"/>
    </row>
    <row r="88" spans="1:17">
      <c r="A88" s="379" t="s">
        <v>1694</v>
      </c>
      <c r="B88" s="460" t="s">
        <v>1736</v>
      </c>
      <c r="C88" s="462"/>
      <c r="D88" s="462"/>
      <c r="E88" s="462"/>
      <c r="F88" s="462"/>
      <c r="G88" s="462"/>
      <c r="H88" s="462"/>
      <c r="I88" s="462"/>
      <c r="J88" s="462"/>
      <c r="K88" s="463"/>
      <c r="L88" s="464"/>
      <c r="M88" s="465"/>
      <c r="N88" s="879"/>
      <c r="O88" s="879"/>
      <c r="P88" s="40"/>
      <c r="Q88" s="439"/>
    </row>
    <row r="89" spans="1:17" ht="14.5"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4.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5" thickBot="1">
      <c r="A92" s="484"/>
      <c r="B92" s="474"/>
      <c r="C92" s="491"/>
      <c r="D92" s="467"/>
      <c r="E92" s="467"/>
      <c r="F92" s="467"/>
      <c r="G92" s="467"/>
      <c r="H92" s="467"/>
      <c r="I92" s="467"/>
      <c r="J92" s="467"/>
      <c r="K92" s="467"/>
      <c r="L92" s="467"/>
      <c r="M92" s="468"/>
      <c r="N92" s="880"/>
      <c r="O92" s="880"/>
      <c r="P92" s="489"/>
      <c r="Q92" s="490"/>
    </row>
    <row r="93" spans="1:17" ht="14.5" thickTop="1">
      <c r="A93" s="409"/>
      <c r="B93" s="469" t="s">
        <v>1738</v>
      </c>
      <c r="C93" s="485"/>
      <c r="D93" s="485"/>
      <c r="E93" s="513"/>
      <c r="F93" s="513"/>
      <c r="G93" s="513"/>
      <c r="H93" s="513"/>
      <c r="I93" s="513"/>
      <c r="J93" s="513"/>
      <c r="K93" s="514"/>
      <c r="L93" s="515"/>
      <c r="M93" s="516"/>
      <c r="N93" s="879"/>
      <c r="O93" s="879"/>
      <c r="P93" s="40"/>
      <c r="Q93" s="439"/>
    </row>
    <row r="94" spans="1:17" ht="14.5"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4.5" thickTop="1">
      <c r="A95" s="409"/>
      <c r="B95" s="469" t="s">
        <v>1740</v>
      </c>
      <c r="C95" s="485"/>
      <c r="D95" s="485"/>
      <c r="E95" s="485"/>
      <c r="F95" s="513"/>
      <c r="G95" s="513"/>
      <c r="H95" s="513"/>
      <c r="I95" s="513"/>
      <c r="J95" s="513"/>
      <c r="K95" s="514"/>
      <c r="L95" s="515"/>
      <c r="M95" s="516"/>
      <c r="N95" s="879"/>
      <c r="O95" s="879"/>
      <c r="P95" s="40"/>
      <c r="Q95" s="439"/>
    </row>
    <row r="96" spans="1:17" ht="14.5"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4.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5"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4.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5"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4.5" thickTop="1">
      <c r="A102" s="409"/>
      <c r="B102" s="469" t="s">
        <v>1742</v>
      </c>
      <c r="C102" s="485"/>
      <c r="D102" s="485"/>
      <c r="E102" s="485"/>
      <c r="F102" s="485"/>
      <c r="G102" s="485"/>
      <c r="H102" s="513"/>
      <c r="I102" s="513"/>
      <c r="J102" s="513"/>
      <c r="K102" s="514"/>
      <c r="L102" s="515"/>
      <c r="M102" s="516"/>
      <c r="N102" s="879"/>
      <c r="O102" s="879"/>
      <c r="P102" s="40"/>
      <c r="Q102" s="439"/>
    </row>
    <row r="103" spans="1:17" ht="14.5"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4.5" thickTop="1">
      <c r="A104" s="409"/>
      <c r="B104" s="469" t="s">
        <v>1744</v>
      </c>
      <c r="C104" s="485"/>
      <c r="D104" s="485"/>
      <c r="E104" s="485"/>
      <c r="F104" s="485"/>
      <c r="G104" s="485"/>
      <c r="H104" s="513"/>
      <c r="I104" s="513"/>
      <c r="J104" s="513"/>
      <c r="K104" s="514"/>
      <c r="L104" s="515"/>
      <c r="M104" s="516"/>
      <c r="N104" s="879"/>
      <c r="O104" s="879"/>
      <c r="P104" s="40"/>
      <c r="Q104" s="439"/>
    </row>
    <row r="105" spans="1:17" ht="14.5"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8.5"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5"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5"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5" thickBot="1">
      <c r="A109" s="484"/>
      <c r="B109" s="466"/>
      <c r="C109" s="491"/>
      <c r="D109" s="467"/>
      <c r="E109" s="467"/>
      <c r="F109" s="467"/>
      <c r="G109" s="491"/>
      <c r="H109" s="493"/>
      <c r="I109" s="493"/>
      <c r="J109" s="493"/>
      <c r="K109" s="493"/>
      <c r="L109" s="493"/>
      <c r="M109" s="494"/>
      <c r="N109" s="881"/>
      <c r="O109" s="881"/>
      <c r="P109" s="489"/>
      <c r="Q109" s="490"/>
    </row>
    <row r="110" spans="1:17" ht="14.5" thickTop="1">
      <c r="A110" s="409"/>
      <c r="B110" s="469">
        <f>B39</f>
        <v>111</v>
      </c>
      <c r="C110" s="485"/>
      <c r="D110" s="485"/>
      <c r="E110" s="485"/>
      <c r="F110" s="485"/>
      <c r="G110" s="485"/>
      <c r="H110" s="486"/>
      <c r="I110" s="486"/>
      <c r="J110" s="486"/>
      <c r="K110" s="486"/>
      <c r="L110" s="487"/>
      <c r="M110" s="488"/>
      <c r="N110" s="879"/>
      <c r="O110" s="879"/>
      <c r="P110" s="40"/>
      <c r="Q110" s="439"/>
    </row>
    <row r="111" spans="1:17" ht="14.5" thickBot="1">
      <c r="A111" s="367"/>
      <c r="B111" s="474"/>
      <c r="C111" s="491"/>
      <c r="D111" s="467"/>
      <c r="E111" s="467"/>
      <c r="F111" s="467"/>
      <c r="G111" s="491"/>
      <c r="H111" s="493"/>
      <c r="I111" s="493"/>
      <c r="J111" s="493"/>
      <c r="K111" s="493"/>
      <c r="L111" s="493"/>
      <c r="M111" s="494"/>
      <c r="N111" s="880"/>
      <c r="O111" s="880"/>
      <c r="P111" s="40"/>
      <c r="Q111" s="439"/>
    </row>
    <row r="112" spans="1:17" ht="14.5" thickTop="1">
      <c r="A112" s="409"/>
      <c r="B112" s="477">
        <f>B40</f>
        <v>111</v>
      </c>
      <c r="C112" s="31"/>
      <c r="D112" s="31"/>
      <c r="E112" s="31"/>
      <c r="F112" s="31"/>
      <c r="G112" s="517"/>
      <c r="H112" s="517"/>
      <c r="I112" s="517"/>
      <c r="J112" s="517"/>
      <c r="K112" s="31"/>
      <c r="L112" s="457"/>
      <c r="M112" s="520"/>
      <c r="N112" s="879"/>
      <c r="O112" s="879"/>
      <c r="P112" s="40"/>
      <c r="Q112" s="439"/>
    </row>
    <row r="113" spans="1:17" ht="14.5"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5.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853"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3331</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c r="A4" s="345" t="s">
        <v>1769</v>
      </c>
      <c r="B4" s="346"/>
      <c r="C4" s="3390" t="s">
        <v>1770</v>
      </c>
      <c r="D4" s="3391"/>
      <c r="E4" s="3392" t="s">
        <v>1771</v>
      </c>
      <c r="F4" s="3393"/>
      <c r="G4" s="3390" t="s">
        <v>1772</v>
      </c>
      <c r="H4" s="3391"/>
      <c r="I4" s="3390" t="s">
        <v>1773</v>
      </c>
      <c r="J4" s="3391"/>
      <c r="K4" s="537" t="s">
        <v>1774</v>
      </c>
      <c r="L4" s="2485"/>
      <c r="M4" s="2486"/>
      <c r="N4" s="2486"/>
      <c r="O4" s="2486"/>
      <c r="P4" s="3447" t="s">
        <v>1775</v>
      </c>
      <c r="Q4" s="3448"/>
      <c r="R4" s="3441" t="s">
        <v>1771</v>
      </c>
      <c r="S4" s="3442"/>
      <c r="T4" s="3441" t="s">
        <v>1772</v>
      </c>
      <c r="U4" s="3442"/>
      <c r="V4" s="3403" t="s">
        <v>1773</v>
      </c>
      <c r="W4" s="3403"/>
      <c r="X4" s="1265"/>
      <c r="Y4" s="3441" t="s">
        <v>1775</v>
      </c>
      <c r="Z4" s="3442"/>
      <c r="AA4" s="3440" t="s">
        <v>1771</v>
      </c>
      <c r="AB4" s="3372" t="s">
        <v>1772</v>
      </c>
      <c r="AC4" s="3440" t="s">
        <v>1773</v>
      </c>
    </row>
    <row r="5" spans="1:29">
      <c r="A5" s="348"/>
      <c r="B5" s="349"/>
      <c r="C5" s="3445" t="s">
        <v>1673</v>
      </c>
      <c r="D5" s="3446"/>
      <c r="E5" s="3443" t="s">
        <v>1674</v>
      </c>
      <c r="F5" s="3444"/>
      <c r="G5" s="3445" t="s">
        <v>1675</v>
      </c>
      <c r="H5" s="3446"/>
      <c r="I5" s="3445" t="s">
        <v>1676</v>
      </c>
      <c r="J5" s="3446"/>
      <c r="K5" s="537"/>
      <c r="L5" s="2485"/>
      <c r="M5" s="2486"/>
      <c r="N5" s="2486"/>
      <c r="O5" s="2486"/>
      <c r="P5" s="3449"/>
      <c r="Q5" s="3397"/>
      <c r="R5" s="3378"/>
      <c r="S5" s="3379"/>
      <c r="T5" s="3378"/>
      <c r="U5" s="3379"/>
      <c r="V5" s="3403"/>
      <c r="W5" s="3403"/>
      <c r="X5" s="1265"/>
      <c r="Y5" s="3378"/>
      <c r="Z5" s="3379"/>
      <c r="AA5" s="3372"/>
      <c r="AB5" s="3372"/>
      <c r="AC5" s="3372"/>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50"/>
      <c r="Q6" s="3399"/>
      <c r="R6" s="3378"/>
      <c r="S6" s="3379"/>
      <c r="T6" s="3400"/>
      <c r="U6" s="3401"/>
      <c r="V6" s="3403"/>
      <c r="W6" s="3403"/>
      <c r="X6" s="1265"/>
      <c r="Y6" s="3400"/>
      <c r="Z6" s="3401"/>
      <c r="AA6" s="3373"/>
      <c r="AB6" s="3373"/>
      <c r="AC6" s="3373"/>
    </row>
    <row r="7" spans="1:29" s="102" customFormat="1" ht="14.5" thickBot="1">
      <c r="A7" s="352" t="s">
        <v>1679</v>
      </c>
      <c r="B7" s="353"/>
      <c r="C7" s="354">
        <f>'数据-取费表'!B2</f>
        <v>45950</v>
      </c>
      <c r="D7" s="355">
        <v>100</v>
      </c>
      <c r="E7" s="356"/>
      <c r="F7" s="357">
        <f>SUMIF(48:48,YEAR(E7)&amp;"-"&amp;MONTH(E7),49:49)</f>
        <v>0</v>
      </c>
      <c r="G7" s="356"/>
      <c r="H7" s="355">
        <f>SUMIF(48:48,YEAR(G7)&amp;"-"&amp;MONTH(G7),49:49)</f>
        <v>0</v>
      </c>
      <c r="I7" s="356"/>
      <c r="J7" s="355">
        <f>SUMIF(48:48,YEAR(I7)&amp;"-"&amp;MONTH(I7),49:49)</f>
        <v>0</v>
      </c>
      <c r="K7" s="38"/>
      <c r="L7" s="2487"/>
      <c r="M7" s="2439"/>
      <c r="N7" s="2439"/>
      <c r="O7" s="2439"/>
      <c r="P7" s="3374" t="s">
        <v>1680</v>
      </c>
      <c r="Q7" s="3405"/>
      <c r="R7" s="664" t="s">
        <v>14</v>
      </c>
      <c r="S7" s="665">
        <f t="shared" ref="S7:S14" si="0">F7</f>
        <v>0</v>
      </c>
      <c r="T7" s="664" t="s">
        <v>14</v>
      </c>
      <c r="U7" s="665">
        <f t="shared" ref="U7:U14" si="1">H7</f>
        <v>0</v>
      </c>
      <c r="V7" s="664" t="s">
        <v>14</v>
      </c>
      <c r="W7" s="665">
        <f t="shared" ref="W7:W14" si="2">J7</f>
        <v>0</v>
      </c>
      <c r="X7" s="666"/>
      <c r="Y7" s="3374" t="s">
        <v>1680</v>
      </c>
      <c r="Z7" s="3375"/>
      <c r="AA7" s="50" t="e">
        <f>D7/F7</f>
        <v>#DIV/0!</v>
      </c>
      <c r="AB7" s="50" t="e">
        <f>D7/H7</f>
        <v>#DIV/0!</v>
      </c>
      <c r="AC7" s="50" t="e">
        <f>D7/J7</f>
        <v>#DIV/0!</v>
      </c>
    </row>
    <row r="8" spans="1:29" s="102" customFormat="1" ht="14.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74" t="s">
        <v>1683</v>
      </c>
      <c r="Q8" s="3375"/>
      <c r="R8" s="664" t="s">
        <v>14</v>
      </c>
      <c r="S8" s="665">
        <f t="shared" si="0"/>
        <v>100</v>
      </c>
      <c r="T8" s="664" t="s">
        <v>14</v>
      </c>
      <c r="U8" s="665">
        <f t="shared" si="1"/>
        <v>100</v>
      </c>
      <c r="V8" s="664" t="s">
        <v>14</v>
      </c>
      <c r="W8" s="665">
        <f t="shared" si="2"/>
        <v>100</v>
      </c>
      <c r="X8" s="666"/>
      <c r="Y8" s="3374" t="s">
        <v>1683</v>
      </c>
      <c r="Z8" s="3375"/>
      <c r="AA8" s="50">
        <f t="shared" ref="AA8:AA36" si="3">D8/F8</f>
        <v>1</v>
      </c>
      <c r="AB8" s="50">
        <f t="shared" ref="AB8:AB36" si="4">D8/H8</f>
        <v>1</v>
      </c>
      <c r="AC8" s="50">
        <f t="shared" ref="AC8:AC36" si="5">D8/J8</f>
        <v>1</v>
      </c>
    </row>
    <row r="9" spans="1:29" s="102" customFormat="1">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415" t="s">
        <v>1686</v>
      </c>
      <c r="Q9" s="530" t="str">
        <f t="shared" ref="Q9:Q14" si="6">B9</f>
        <v>用途</v>
      </c>
      <c r="R9" s="664" t="s">
        <v>14</v>
      </c>
      <c r="S9" s="665">
        <f t="shared" si="0"/>
        <v>100</v>
      </c>
      <c r="T9" s="664" t="s">
        <v>14</v>
      </c>
      <c r="U9" s="665">
        <f t="shared" si="1"/>
        <v>100</v>
      </c>
      <c r="V9" s="664" t="s">
        <v>14</v>
      </c>
      <c r="W9" s="665">
        <f t="shared" si="2"/>
        <v>100</v>
      </c>
      <c r="X9" s="666"/>
      <c r="Y9" s="3339" t="s">
        <v>1687</v>
      </c>
      <c r="Z9" s="50" t="str">
        <f t="shared" ref="Z9:Z14" si="7">Q9</f>
        <v>用途</v>
      </c>
      <c r="AA9" s="50">
        <f t="shared" si="3"/>
        <v>1</v>
      </c>
      <c r="AB9" s="50">
        <f t="shared" si="4"/>
        <v>1</v>
      </c>
      <c r="AC9" s="50">
        <f t="shared" si="5"/>
        <v>1</v>
      </c>
    </row>
    <row r="10" spans="1:29" s="366" customFormat="1" ht="2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415"/>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415"/>
      <c r="Q11" s="530">
        <f t="shared" si="6"/>
        <v>111</v>
      </c>
      <c r="R11" s="664" t="s">
        <v>14</v>
      </c>
      <c r="S11" s="665">
        <f t="shared" si="0"/>
        <v>100</v>
      </c>
      <c r="T11" s="664" t="s">
        <v>14</v>
      </c>
      <c r="U11" s="665">
        <f t="shared" si="1"/>
        <v>100</v>
      </c>
      <c r="V11" s="664" t="s">
        <v>14</v>
      </c>
      <c r="W11" s="665">
        <f t="shared" si="2"/>
        <v>100</v>
      </c>
      <c r="X11" s="666"/>
      <c r="Y11" s="3339"/>
      <c r="Z11" s="50">
        <f t="shared" si="7"/>
        <v>111</v>
      </c>
      <c r="AA11" s="50">
        <f t="shared" si="3"/>
        <v>1</v>
      </c>
      <c r="AB11" s="50">
        <f t="shared" si="4"/>
        <v>1</v>
      </c>
      <c r="AC11" s="50">
        <f t="shared" si="5"/>
        <v>1</v>
      </c>
    </row>
    <row r="12" spans="1:29" s="102" customFormat="1" ht="15.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415"/>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415"/>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98">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5">
      <c r="A15" s="348"/>
      <c r="B15" s="571"/>
      <c r="C15" s="386"/>
      <c r="D15" s="387"/>
      <c r="E15" s="386"/>
      <c r="F15" s="388"/>
      <c r="G15" s="386"/>
      <c r="H15" s="389"/>
      <c r="I15" s="386"/>
      <c r="J15" s="387"/>
      <c r="K15" s="541"/>
      <c r="L15" s="2491"/>
      <c r="M15" s="2486"/>
      <c r="N15" s="2486"/>
      <c r="O15" s="2486"/>
      <c r="P15" s="3409"/>
      <c r="Q15" s="1263"/>
      <c r="R15" s="667"/>
      <c r="S15" s="668"/>
      <c r="T15" s="667"/>
      <c r="U15" s="668"/>
      <c r="V15" s="667"/>
      <c r="W15" s="668"/>
      <c r="X15" s="1265"/>
      <c r="Y15" s="3409"/>
      <c r="Z15" s="1264"/>
      <c r="AA15" s="1264">
        <v>1</v>
      </c>
      <c r="AB15" s="1264">
        <v>1</v>
      </c>
      <c r="AC15" s="1264">
        <v>1</v>
      </c>
    </row>
    <row r="16" spans="1:29" ht="42">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5">
      <c r="A17" s="348"/>
      <c r="B17" s="401"/>
      <c r="C17" s="1755"/>
      <c r="D17" s="387"/>
      <c r="E17" s="386"/>
      <c r="F17" s="388"/>
      <c r="G17" s="386"/>
      <c r="H17" s="387"/>
      <c r="I17" s="386"/>
      <c r="J17" s="387"/>
      <c r="K17" s="541"/>
      <c r="L17" s="2491"/>
      <c r="M17" s="2486"/>
      <c r="N17" s="2486"/>
      <c r="O17" s="2486"/>
      <c r="P17" s="3409"/>
      <c r="Q17" s="1263"/>
      <c r="R17" s="667"/>
      <c r="S17" s="668"/>
      <c r="T17" s="667"/>
      <c r="U17" s="668"/>
      <c r="V17" s="667"/>
      <c r="W17" s="668"/>
      <c r="X17" s="1265"/>
      <c r="Y17" s="3409"/>
      <c r="Z17" s="1264"/>
      <c r="AA17" s="1264">
        <v>1</v>
      </c>
      <c r="AB17" s="1264">
        <v>1</v>
      </c>
      <c r="AC17" s="1264">
        <v>1</v>
      </c>
    </row>
    <row r="18" spans="1:29" ht="42">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5">
      <c r="A19" s="348"/>
      <c r="B19" s="557"/>
      <c r="C19" s="1755"/>
      <c r="D19" s="389"/>
      <c r="E19" s="1755"/>
      <c r="F19" s="392"/>
      <c r="G19" s="1755"/>
      <c r="H19" s="387"/>
      <c r="I19" s="386"/>
      <c r="J19" s="387"/>
      <c r="K19" s="1064"/>
      <c r="L19" s="2491"/>
      <c r="M19" s="2486"/>
      <c r="N19" s="2486"/>
      <c r="O19" s="2486"/>
      <c r="P19" s="3409"/>
      <c r="Q19" s="1263"/>
      <c r="R19" s="667"/>
      <c r="S19" s="668"/>
      <c r="T19" s="667"/>
      <c r="U19" s="668"/>
      <c r="V19" s="667"/>
      <c r="W19" s="668"/>
      <c r="X19" s="1265"/>
      <c r="Y19" s="3409"/>
      <c r="Z19" s="1264"/>
      <c r="AA19" s="1264">
        <v>1</v>
      </c>
      <c r="AB19" s="1264">
        <v>1</v>
      </c>
      <c r="AC19" s="1264">
        <v>1</v>
      </c>
    </row>
    <row r="20" spans="1:29" ht="56">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5">
      <c r="A21" s="348"/>
      <c r="B21" s="401"/>
      <c r="C21" s="386"/>
      <c r="D21" s="387"/>
      <c r="E21" s="386"/>
      <c r="F21" s="388"/>
      <c r="G21" s="386"/>
      <c r="H21" s="387"/>
      <c r="I21" s="386"/>
      <c r="J21" s="387"/>
      <c r="K21" s="541"/>
      <c r="L21" s="2491"/>
      <c r="M21" s="2486"/>
      <c r="N21" s="2486"/>
      <c r="O21" s="2486"/>
      <c r="P21" s="3409"/>
      <c r="Q21" s="1263"/>
      <c r="R21" s="667"/>
      <c r="S21" s="668"/>
      <c r="T21" s="667"/>
      <c r="U21" s="668"/>
      <c r="V21" s="667"/>
      <c r="W21" s="668"/>
      <c r="X21" s="1265"/>
      <c r="Y21" s="3409"/>
      <c r="Z21" s="1264"/>
      <c r="AA21" s="1264">
        <v>1</v>
      </c>
      <c r="AB21" s="1264">
        <v>1</v>
      </c>
      <c r="AC21" s="1264">
        <v>1</v>
      </c>
    </row>
    <row r="22" spans="1:29" ht="15.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409"/>
      <c r="Q24" s="1263">
        <f t="shared" ref="Q24:Q36"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29">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54"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413" t="s">
        <v>1696</v>
      </c>
      <c r="Z26" s="1264" t="str">
        <f t="shared" ref="Z26:Z36" si="15">Q26</f>
        <v>配套类型</v>
      </c>
      <c r="AA26" s="1264" t="e">
        <f t="shared" si="3"/>
        <v>#DIV/0!</v>
      </c>
      <c r="AB26" s="1264" t="e">
        <f t="shared" si="4"/>
        <v>#DIV/0!</v>
      </c>
      <c r="AC26" s="1264" t="e">
        <f t="shared" si="5"/>
        <v>#DIV/0!</v>
      </c>
    </row>
    <row r="27" spans="1:29" s="408" customFormat="1" ht="15.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413"/>
      <c r="Q27" s="531" t="str">
        <f t="shared" si="11"/>
        <v>项目停车位配比</v>
      </c>
      <c r="R27" s="669" t="s">
        <v>14</v>
      </c>
      <c r="S27" s="670">
        <f t="shared" si="12"/>
        <v>100</v>
      </c>
      <c r="T27" s="669" t="s">
        <v>14</v>
      </c>
      <c r="U27" s="670">
        <f t="shared" si="13"/>
        <v>100</v>
      </c>
      <c r="V27" s="669" t="s">
        <v>14</v>
      </c>
      <c r="W27" s="670">
        <f t="shared" si="14"/>
        <v>100</v>
      </c>
      <c r="X27" s="671"/>
      <c r="Y27" s="3413"/>
      <c r="Z27" s="672" t="str">
        <f t="shared" si="15"/>
        <v>项目停车位配比</v>
      </c>
      <c r="AA27" s="1264">
        <f t="shared" si="3"/>
        <v>1</v>
      </c>
      <c r="AB27" s="1264">
        <f t="shared" si="4"/>
        <v>1</v>
      </c>
      <c r="AC27" s="1264">
        <f t="shared" si="5"/>
        <v>1</v>
      </c>
    </row>
    <row r="28" spans="1:29" ht="15.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413"/>
      <c r="Q28" s="1263" t="str">
        <f t="shared" si="11"/>
        <v>公共部分装修</v>
      </c>
      <c r="R28" s="667" t="s">
        <v>14</v>
      </c>
      <c r="S28" s="668">
        <f t="shared" si="12"/>
        <v>100</v>
      </c>
      <c r="T28" s="667" t="s">
        <v>14</v>
      </c>
      <c r="U28" s="668">
        <f t="shared" si="13"/>
        <v>100</v>
      </c>
      <c r="V28" s="667" t="s">
        <v>14</v>
      </c>
      <c r="W28" s="668">
        <f t="shared" si="14"/>
        <v>100</v>
      </c>
      <c r="X28" s="1265"/>
      <c r="Y28" s="3413"/>
      <c r="Z28" s="1264" t="str">
        <f t="shared" si="15"/>
        <v>公共部分装修</v>
      </c>
      <c r="AA28" s="1264">
        <f t="shared" si="3"/>
        <v>1</v>
      </c>
      <c r="AB28" s="1264">
        <f t="shared" si="4"/>
        <v>1</v>
      </c>
      <c r="AC28" s="1264">
        <f t="shared" si="5"/>
        <v>1</v>
      </c>
    </row>
    <row r="29" spans="1:29" ht="15.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413"/>
      <c r="Q29" s="1263" t="str">
        <f t="shared" si="11"/>
        <v>成新率</v>
      </c>
      <c r="R29" s="667" t="s">
        <v>14</v>
      </c>
      <c r="S29" s="668" t="e">
        <f t="shared" si="12"/>
        <v>#N/A</v>
      </c>
      <c r="T29" s="667" t="s">
        <v>14</v>
      </c>
      <c r="U29" s="668" t="e">
        <f t="shared" si="13"/>
        <v>#N/A</v>
      </c>
      <c r="V29" s="667" t="s">
        <v>14</v>
      </c>
      <c r="W29" s="668" t="e">
        <f t="shared" si="14"/>
        <v>#N/A</v>
      </c>
      <c r="X29" s="1265"/>
      <c r="Y29" s="3413"/>
      <c r="Z29" s="1264" t="str">
        <f t="shared" si="15"/>
        <v>成新率</v>
      </c>
      <c r="AA29" s="1264" t="e">
        <f t="shared" si="3"/>
        <v>#N/A</v>
      </c>
      <c r="AB29" s="1264" t="e">
        <f t="shared" si="4"/>
        <v>#N/A</v>
      </c>
      <c r="AC29" s="1264" t="e">
        <f t="shared" si="5"/>
        <v>#N/A</v>
      </c>
    </row>
    <row r="30" spans="1:29" ht="15.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413"/>
      <c r="Q30" s="1263" t="str">
        <f t="shared" si="11"/>
        <v>物业等级</v>
      </c>
      <c r="R30" s="667" t="s">
        <v>14</v>
      </c>
      <c r="S30" s="668">
        <f t="shared" si="12"/>
        <v>100</v>
      </c>
      <c r="T30" s="667" t="s">
        <v>14</v>
      </c>
      <c r="U30" s="668">
        <f t="shared" si="13"/>
        <v>100</v>
      </c>
      <c r="V30" s="667" t="s">
        <v>14</v>
      </c>
      <c r="W30" s="668">
        <f t="shared" si="14"/>
        <v>100</v>
      </c>
      <c r="X30" s="1265"/>
      <c r="Y30" s="3413"/>
      <c r="Z30" s="1264" t="str">
        <f t="shared" si="15"/>
        <v>物业等级</v>
      </c>
      <c r="AA30" s="1264">
        <f t="shared" si="3"/>
        <v>1</v>
      </c>
      <c r="AB30" s="1264">
        <f t="shared" si="4"/>
        <v>1</v>
      </c>
      <c r="AC30" s="1264">
        <f t="shared" si="5"/>
        <v>1</v>
      </c>
    </row>
    <row r="31" spans="1:29" s="102" customFormat="1" ht="15.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413"/>
      <c r="Q31" s="530" t="str">
        <f t="shared" si="11"/>
        <v>停车位面积</v>
      </c>
      <c r="R31" s="664" t="s">
        <v>14</v>
      </c>
      <c r="S31" s="665" t="e">
        <f t="shared" si="12"/>
        <v>#N/A</v>
      </c>
      <c r="T31" s="664" t="s">
        <v>14</v>
      </c>
      <c r="U31" s="665" t="e">
        <f t="shared" si="13"/>
        <v>#N/A</v>
      </c>
      <c r="V31" s="664" t="s">
        <v>14</v>
      </c>
      <c r="W31" s="665" t="e">
        <f t="shared" si="14"/>
        <v>#N/A</v>
      </c>
      <c r="X31" s="666"/>
      <c r="Y31" s="3413"/>
      <c r="Z31" s="50" t="str">
        <f t="shared" si="15"/>
        <v>停车位面积</v>
      </c>
      <c r="AA31" s="50" t="e">
        <f t="shared" si="3"/>
        <v>#N/A</v>
      </c>
      <c r="AB31" s="50" t="e">
        <f t="shared" si="4"/>
        <v>#N/A</v>
      </c>
      <c r="AC31" s="50" t="e">
        <f t="shared" si="5"/>
        <v>#N/A</v>
      </c>
    </row>
    <row r="32" spans="1:29" ht="15.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413" t="s">
        <v>1696</v>
      </c>
      <c r="Q32" s="1263" t="str">
        <f t="shared" si="11"/>
        <v>车位类型</v>
      </c>
      <c r="R32" s="667" t="s">
        <v>14</v>
      </c>
      <c r="S32" s="668">
        <f t="shared" si="12"/>
        <v>100</v>
      </c>
      <c r="T32" s="667" t="s">
        <v>14</v>
      </c>
      <c r="U32" s="668">
        <f t="shared" si="13"/>
        <v>100</v>
      </c>
      <c r="V32" s="667" t="s">
        <v>14</v>
      </c>
      <c r="W32" s="668">
        <f t="shared" si="14"/>
        <v>100</v>
      </c>
      <c r="X32" s="1265"/>
      <c r="Y32" s="3413" t="s">
        <v>1696</v>
      </c>
      <c r="Z32" s="1264" t="str">
        <f t="shared" si="15"/>
        <v>车位类型</v>
      </c>
      <c r="AA32" s="1264">
        <f t="shared" si="3"/>
        <v>1</v>
      </c>
      <c r="AB32" s="1264">
        <f t="shared" si="4"/>
        <v>1</v>
      </c>
      <c r="AC32" s="1264">
        <f t="shared" si="5"/>
        <v>1</v>
      </c>
    </row>
    <row r="33" spans="1:29" ht="15.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413"/>
      <c r="Q33" s="1263" t="str">
        <f t="shared" si="11"/>
        <v>是否直接入户</v>
      </c>
      <c r="R33" s="667" t="s">
        <v>14</v>
      </c>
      <c r="S33" s="668">
        <f t="shared" si="12"/>
        <v>100</v>
      </c>
      <c r="T33" s="667" t="s">
        <v>14</v>
      </c>
      <c r="U33" s="668">
        <f t="shared" si="13"/>
        <v>100</v>
      </c>
      <c r="V33" s="667" t="s">
        <v>14</v>
      </c>
      <c r="W33" s="668">
        <f t="shared" si="14"/>
        <v>100</v>
      </c>
      <c r="X33" s="1265"/>
      <c r="Y33" s="3413"/>
      <c r="Z33" s="1264" t="str">
        <f t="shared" si="15"/>
        <v>是否直接入户</v>
      </c>
      <c r="AA33" s="1264">
        <f t="shared" si="3"/>
        <v>1</v>
      </c>
      <c r="AB33" s="1264">
        <f t="shared" si="4"/>
        <v>1</v>
      </c>
      <c r="AC33" s="1264">
        <f t="shared" si="5"/>
        <v>1</v>
      </c>
    </row>
    <row r="34" spans="1:29" ht="15.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29" s="408" customFormat="1" ht="15.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413"/>
      <c r="Q35" s="531">
        <f t="shared" si="11"/>
        <v>111</v>
      </c>
      <c r="R35" s="669" t="s">
        <v>14</v>
      </c>
      <c r="S35" s="670">
        <f t="shared" si="12"/>
        <v>100</v>
      </c>
      <c r="T35" s="669" t="s">
        <v>14</v>
      </c>
      <c r="U35" s="670">
        <f t="shared" si="13"/>
        <v>100</v>
      </c>
      <c r="V35" s="669" t="s">
        <v>14</v>
      </c>
      <c r="W35" s="670">
        <f t="shared" si="14"/>
        <v>100</v>
      </c>
      <c r="X35" s="671"/>
      <c r="Y35" s="3413"/>
      <c r="Z35" s="672">
        <f t="shared" si="15"/>
        <v>111</v>
      </c>
      <c r="AA35" s="1264">
        <f t="shared" si="3"/>
        <v>1</v>
      </c>
      <c r="AB35" s="1264">
        <f t="shared" si="4"/>
        <v>1</v>
      </c>
      <c r="AC35" s="1264">
        <f t="shared" si="5"/>
        <v>1</v>
      </c>
    </row>
    <row r="36" spans="1:29" ht="1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413"/>
      <c r="Q36" s="1263">
        <f t="shared" si="11"/>
        <v>111</v>
      </c>
      <c r="R36" s="667" t="s">
        <v>14</v>
      </c>
      <c r="S36" s="668">
        <f t="shared" si="12"/>
        <v>100</v>
      </c>
      <c r="T36" s="667" t="s">
        <v>14</v>
      </c>
      <c r="U36" s="668">
        <f t="shared" si="13"/>
        <v>100</v>
      </c>
      <c r="V36" s="667" t="s">
        <v>14</v>
      </c>
      <c r="W36" s="668">
        <f t="shared" si="14"/>
        <v>100</v>
      </c>
      <c r="X36" s="1265"/>
      <c r="Y36" s="3413"/>
      <c r="Z36" s="1264">
        <f t="shared" si="15"/>
        <v>111</v>
      </c>
      <c r="AA36" s="1264">
        <f t="shared" si="3"/>
        <v>1</v>
      </c>
      <c r="AB36" s="1264">
        <f t="shared" si="4"/>
        <v>1</v>
      </c>
      <c r="AC36" s="1264">
        <f t="shared" si="5"/>
        <v>1</v>
      </c>
    </row>
    <row r="37" spans="1:29">
      <c r="A37" s="416" t="s">
        <v>1844</v>
      </c>
      <c r="B37" s="1821" t="s">
        <v>3352</v>
      </c>
      <c r="C37" s="1081" t="s">
        <v>0</v>
      </c>
      <c r="D37" s="418"/>
      <c r="E37" s="419"/>
      <c r="F37" s="420"/>
      <c r="G37" s="421"/>
      <c r="H37" s="422"/>
      <c r="I37" s="419"/>
      <c r="J37" s="422"/>
      <c r="K37" s="545"/>
      <c r="L37" s="2493"/>
      <c r="M37" s="2486"/>
      <c r="N37" s="2486"/>
      <c r="O37" s="2486"/>
      <c r="P37" s="3415" t="str">
        <f>A37</f>
        <v>成交单价</v>
      </c>
      <c r="Q37" s="3415"/>
      <c r="R37" s="3403">
        <f>E37</f>
        <v>0</v>
      </c>
      <c r="S37" s="3403"/>
      <c r="T37" s="3403">
        <f>G37</f>
        <v>0</v>
      </c>
      <c r="U37" s="3403"/>
      <c r="V37" s="3403">
        <f>I37</f>
        <v>0</v>
      </c>
      <c r="W37" s="3403"/>
      <c r="X37" s="385"/>
      <c r="Y37" s="673"/>
      <c r="Z37" s="385"/>
      <c r="AA37" s="385"/>
      <c r="AB37" s="385"/>
      <c r="AC37" s="385"/>
    </row>
    <row r="38" spans="1:29" ht="14.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415" t="str">
        <f>A38</f>
        <v>比较价值（元/平方米）</v>
      </c>
      <c r="Q38" s="3415"/>
      <c r="R38" s="3403" t="e">
        <f>IF(F1="售价",ROUND(PRODUCT(R37,AA7:AA36),0),ROUND(PRODUCT(R37,AA7:AA36),1))</f>
        <v>#DIV/0!</v>
      </c>
      <c r="S38" s="3403"/>
      <c r="T38" s="3403" t="e">
        <f>IF(F1="售价",ROUND(PRODUCT(T37,AB7:AB36),0),ROUND(PRODUCT(T37,AB7:AB36),1))</f>
        <v>#DIV/0!</v>
      </c>
      <c r="U38" s="3403"/>
      <c r="V38" s="3403" t="e">
        <f>IF(F1="售价",ROUND(PRODUCT(V37,AC7:AC36),0),ROUND(PRODUCT(V37,AC7:AC36),1))</f>
        <v>#DIV/0!</v>
      </c>
      <c r="W38" s="3403"/>
      <c r="X38" s="385"/>
      <c r="Y38" s="385"/>
      <c r="Z38" s="385"/>
      <c r="AA38" s="385"/>
      <c r="AB38" s="385"/>
      <c r="AC38" s="385"/>
    </row>
    <row r="39" spans="1:29" ht="14.5" thickBot="1">
      <c r="A39" s="427" t="s">
        <v>1846</v>
      </c>
      <c r="B39" s="428"/>
      <c r="C39" s="351" t="e">
        <f>R39</f>
        <v>#DIV/0!</v>
      </c>
      <c r="D39" s="351"/>
      <c r="E39" s="351"/>
      <c r="F39" s="351"/>
      <c r="G39" s="351"/>
      <c r="H39" s="351"/>
      <c r="I39" s="351"/>
      <c r="J39" s="351"/>
      <c r="K39" s="546"/>
      <c r="L39" s="2493"/>
      <c r="M39" s="2486"/>
      <c r="N39" s="2486"/>
      <c r="O39" s="2486"/>
      <c r="P39" s="3451" t="str">
        <f>A39</f>
        <v>估价对象XX用房的比较价值（楼面单价，元/平方米）</v>
      </c>
      <c r="Q39" s="3452"/>
      <c r="R39" s="3455" t="e">
        <f>IF(F1="售价",ROUND(IF(D38="简单平均",AVERAGE(R38:W38),R38*F38+T38*H38+V38*J38),0),ROUND(IF(D38="简单平均",AVERAGE(R38:V38),R38*F38+T38*H38+V38*J38),1))</f>
        <v>#DIV/0!</v>
      </c>
      <c r="S39" s="3455"/>
      <c r="T39" s="3455"/>
      <c r="U39" s="3455"/>
      <c r="V39" s="3455"/>
      <c r="W39" s="3455"/>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1.5"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c r="A48" s="440" t="s">
        <v>1851</v>
      </c>
      <c r="B48" s="441"/>
      <c r="C48" s="1103" t="str">
        <f>YEAR(C7)&amp;"-"&amp;MONTH(C7)</f>
        <v>2025-10</v>
      </c>
      <c r="D48" s="1104">
        <f>EDATE(C48,-1)</f>
        <v>45901</v>
      </c>
      <c r="E48" s="1104">
        <f t="shared" ref="E48:O48" si="16">EDATE(D48,-1)</f>
        <v>45870</v>
      </c>
      <c r="F48" s="1104">
        <f t="shared" si="16"/>
        <v>45839</v>
      </c>
      <c r="G48" s="1104">
        <f t="shared" si="16"/>
        <v>45809</v>
      </c>
      <c r="H48" s="1104">
        <f t="shared" si="16"/>
        <v>45778</v>
      </c>
      <c r="I48" s="1104">
        <f t="shared" si="16"/>
        <v>45748</v>
      </c>
      <c r="J48" s="1104">
        <f t="shared" si="16"/>
        <v>45717</v>
      </c>
      <c r="K48" s="1104">
        <f t="shared" si="16"/>
        <v>45689</v>
      </c>
      <c r="L48" s="1104">
        <f t="shared" si="16"/>
        <v>45658</v>
      </c>
      <c r="M48" s="1104">
        <f t="shared" si="16"/>
        <v>45627</v>
      </c>
      <c r="N48" s="1104">
        <f t="shared" si="16"/>
        <v>45597</v>
      </c>
      <c r="O48" s="1104">
        <f t="shared" si="16"/>
        <v>45566</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4.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5"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5"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8.5"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5"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5"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5"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5"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5"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5"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5"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4.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5"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4.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5"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4.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5"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4.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5"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4.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5"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5"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5"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5"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5"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5"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5"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8.5"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5"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4.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5"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4.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5"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4.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5"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4.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5"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4.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5"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4.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5"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4.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5"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5"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5"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5"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5"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5"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5"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5"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4"/>
  <cols>
    <col min="1" max="1" width="10.453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1150" customFormat="1" ht="28.5" customHeight="1" thickBot="1">
      <c r="A1" s="1139" t="s">
        <v>1831</v>
      </c>
      <c r="B1" s="1140" t="s">
        <v>3332</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0" t="s">
        <v>1770</v>
      </c>
      <c r="D4" s="3391"/>
      <c r="E4" s="3392" t="s">
        <v>1771</v>
      </c>
      <c r="F4" s="3393"/>
      <c r="G4" s="3390" t="s">
        <v>1772</v>
      </c>
      <c r="H4" s="3391"/>
      <c r="I4" s="3390" t="s">
        <v>1773</v>
      </c>
      <c r="J4" s="3391"/>
      <c r="K4" s="537" t="s">
        <v>1774</v>
      </c>
      <c r="L4" s="2485"/>
      <c r="M4" s="2486"/>
      <c r="N4" s="2486"/>
      <c r="O4" s="2486"/>
      <c r="P4" s="3447" t="s">
        <v>1775</v>
      </c>
      <c r="Q4" s="3448"/>
      <c r="R4" s="3441" t="s">
        <v>1771</v>
      </c>
      <c r="S4" s="3442"/>
      <c r="T4" s="3441" t="s">
        <v>1772</v>
      </c>
      <c r="U4" s="3442"/>
      <c r="V4" s="3403" t="s">
        <v>1773</v>
      </c>
      <c r="W4" s="3403"/>
      <c r="X4" s="1265"/>
      <c r="Y4" s="3441" t="s">
        <v>1775</v>
      </c>
      <c r="Z4" s="3442"/>
      <c r="AA4" s="3440" t="s">
        <v>1771</v>
      </c>
      <c r="AB4" s="3372" t="s">
        <v>1772</v>
      </c>
      <c r="AC4" s="3440" t="s">
        <v>1773</v>
      </c>
    </row>
    <row r="5" spans="1:29">
      <c r="A5" s="348"/>
      <c r="B5" s="349"/>
      <c r="C5" s="3445" t="s">
        <v>1673</v>
      </c>
      <c r="D5" s="3446"/>
      <c r="E5" s="3443" t="s">
        <v>1674</v>
      </c>
      <c r="F5" s="3444"/>
      <c r="G5" s="3445" t="s">
        <v>1675</v>
      </c>
      <c r="H5" s="3446"/>
      <c r="I5" s="3445" t="s">
        <v>1676</v>
      </c>
      <c r="J5" s="3446"/>
      <c r="K5" s="537"/>
      <c r="L5" s="2485"/>
      <c r="M5" s="2486"/>
      <c r="N5" s="2486"/>
      <c r="O5" s="2486"/>
      <c r="P5" s="3449"/>
      <c r="Q5" s="3397"/>
      <c r="R5" s="3378"/>
      <c r="S5" s="3379"/>
      <c r="T5" s="3378"/>
      <c r="U5" s="3379"/>
      <c r="V5" s="3403"/>
      <c r="W5" s="3403"/>
      <c r="X5" s="1265"/>
      <c r="Y5" s="3378"/>
      <c r="Z5" s="3379"/>
      <c r="AA5" s="3372"/>
      <c r="AB5" s="3372"/>
      <c r="AC5" s="3372"/>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50"/>
      <c r="Q6" s="3399"/>
      <c r="R6" s="3378"/>
      <c r="S6" s="3379"/>
      <c r="T6" s="3400"/>
      <c r="U6" s="3401"/>
      <c r="V6" s="3403"/>
      <c r="W6" s="3403"/>
      <c r="X6" s="1265"/>
      <c r="Y6" s="3400"/>
      <c r="Z6" s="3401"/>
      <c r="AA6" s="3373"/>
      <c r="AB6" s="3373"/>
      <c r="AC6" s="3373"/>
    </row>
    <row r="7" spans="1:29" s="102" customFormat="1" ht="14.5" thickBot="1">
      <c r="A7" s="352" t="s">
        <v>1679</v>
      </c>
      <c r="B7" s="353"/>
      <c r="C7" s="354">
        <f>'数据-取费表'!B2</f>
        <v>45950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74" t="s">
        <v>1680</v>
      </c>
      <c r="Q7" s="3405"/>
      <c r="R7" s="664" t="s">
        <v>14</v>
      </c>
      <c r="S7" s="665">
        <f t="shared" ref="S7:S14" si="0">F7</f>
        <v>0</v>
      </c>
      <c r="T7" s="664" t="s">
        <v>14</v>
      </c>
      <c r="U7" s="665">
        <f t="shared" ref="U7:U14" si="1">H7</f>
        <v>0</v>
      </c>
      <c r="V7" s="664" t="s">
        <v>14</v>
      </c>
      <c r="W7" s="665">
        <f t="shared" ref="W7:W14" si="2">J7</f>
        <v>0</v>
      </c>
      <c r="X7" s="666"/>
      <c r="Y7" s="3374" t="s">
        <v>1680</v>
      </c>
      <c r="Z7" s="3375"/>
      <c r="AA7" s="50" t="e">
        <f>D7/F7</f>
        <v>#DIV/0!</v>
      </c>
      <c r="AB7" s="50" t="e">
        <f>D7/H7</f>
        <v>#DIV/0!</v>
      </c>
      <c r="AC7" s="50" t="e">
        <f>D7/J7</f>
        <v>#DIV/0!</v>
      </c>
    </row>
    <row r="8" spans="1:29" s="102" customFormat="1" ht="14.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74" t="s">
        <v>1683</v>
      </c>
      <c r="Q8" s="3375"/>
      <c r="R8" s="664" t="s">
        <v>14</v>
      </c>
      <c r="S8" s="665">
        <f t="shared" si="0"/>
        <v>100</v>
      </c>
      <c r="T8" s="664" t="s">
        <v>14</v>
      </c>
      <c r="U8" s="665">
        <f t="shared" si="1"/>
        <v>100</v>
      </c>
      <c r="V8" s="664" t="s">
        <v>14</v>
      </c>
      <c r="W8" s="665">
        <f t="shared" si="2"/>
        <v>100</v>
      </c>
      <c r="X8" s="666"/>
      <c r="Y8" s="3374" t="s">
        <v>1683</v>
      </c>
      <c r="Z8" s="3375"/>
      <c r="AA8" s="50">
        <f t="shared" ref="AA8:AA34" si="3">D8/F8</f>
        <v>1</v>
      </c>
      <c r="AB8" s="50">
        <f t="shared" ref="AB8:AB34" si="4">D8/H8</f>
        <v>1</v>
      </c>
      <c r="AC8" s="50">
        <f t="shared" ref="AC8:AC34" si="5">D8/J8</f>
        <v>1</v>
      </c>
    </row>
    <row r="9" spans="1:29" s="102" customFormat="1">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415" t="s">
        <v>1686</v>
      </c>
      <c r="Q9" s="530" t="str">
        <f t="shared" ref="Q9:Q14" si="6">B9</f>
        <v>用途</v>
      </c>
      <c r="R9" s="664" t="s">
        <v>14</v>
      </c>
      <c r="S9" s="665">
        <f t="shared" si="0"/>
        <v>100</v>
      </c>
      <c r="T9" s="664" t="s">
        <v>14</v>
      </c>
      <c r="U9" s="665">
        <f t="shared" si="1"/>
        <v>100</v>
      </c>
      <c r="V9" s="664" t="s">
        <v>14</v>
      </c>
      <c r="W9" s="665">
        <f t="shared" si="2"/>
        <v>100</v>
      </c>
      <c r="X9" s="666"/>
      <c r="Y9" s="3339" t="s">
        <v>1687</v>
      </c>
      <c r="Z9" s="50" t="str">
        <f t="shared" ref="Z9:Z14" si="7">Q9</f>
        <v>用途</v>
      </c>
      <c r="AA9" s="50">
        <f t="shared" si="3"/>
        <v>1</v>
      </c>
      <c r="AB9" s="50">
        <f t="shared" si="4"/>
        <v>1</v>
      </c>
      <c r="AC9" s="50">
        <f t="shared" si="5"/>
        <v>1</v>
      </c>
    </row>
    <row r="10" spans="1:29" s="366" customFormat="1" ht="2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415"/>
      <c r="Q10" s="530" t="str">
        <f t="shared" si="6"/>
        <v>土地使用年限（年）</v>
      </c>
      <c r="R10" s="664" t="s">
        <v>14</v>
      </c>
      <c r="S10" s="665">
        <f t="shared" si="0"/>
        <v>100</v>
      </c>
      <c r="T10" s="664" t="s">
        <v>14</v>
      </c>
      <c r="U10" s="665">
        <f t="shared" si="1"/>
        <v>100</v>
      </c>
      <c r="V10" s="664" t="s">
        <v>14</v>
      </c>
      <c r="W10" s="665">
        <f t="shared" si="2"/>
        <v>100</v>
      </c>
      <c r="X10" s="666"/>
      <c r="Y10" s="3339"/>
      <c r="Z10" s="50" t="str">
        <f t="shared" si="7"/>
        <v>土地使用年限（年）</v>
      </c>
      <c r="AA10" s="50">
        <f t="shared" si="3"/>
        <v>1</v>
      </c>
      <c r="AB10" s="50">
        <f t="shared" si="4"/>
        <v>1</v>
      </c>
      <c r="AC10" s="50">
        <f t="shared" si="5"/>
        <v>1</v>
      </c>
    </row>
    <row r="11" spans="1:29" ht="15.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415"/>
      <c r="Q11" s="530">
        <f t="shared" si="6"/>
        <v>111</v>
      </c>
      <c r="R11" s="664" t="s">
        <v>14</v>
      </c>
      <c r="S11" s="665">
        <f t="shared" si="0"/>
        <v>100</v>
      </c>
      <c r="T11" s="664" t="s">
        <v>14</v>
      </c>
      <c r="U11" s="665">
        <f t="shared" si="1"/>
        <v>100</v>
      </c>
      <c r="V11" s="664" t="s">
        <v>14</v>
      </c>
      <c r="W11" s="665">
        <f t="shared" si="2"/>
        <v>100</v>
      </c>
      <c r="X11" s="666"/>
      <c r="Y11" s="3339"/>
      <c r="Z11" s="50">
        <f t="shared" si="7"/>
        <v>111</v>
      </c>
      <c r="AA11" s="50">
        <f t="shared" si="3"/>
        <v>1</v>
      </c>
      <c r="AB11" s="50">
        <f t="shared" si="4"/>
        <v>1</v>
      </c>
      <c r="AC11" s="50">
        <f t="shared" si="5"/>
        <v>1</v>
      </c>
    </row>
    <row r="12" spans="1:29" s="102" customFormat="1" ht="15.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415"/>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98">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408" t="s">
        <v>1691</v>
      </c>
      <c r="Q14" s="1263" t="str">
        <f t="shared" si="6"/>
        <v>交通便捷度</v>
      </c>
      <c r="R14" s="667" t="s">
        <v>14</v>
      </c>
      <c r="S14" s="668">
        <f t="shared" si="0"/>
        <v>100</v>
      </c>
      <c r="T14" s="667" t="s">
        <v>14</v>
      </c>
      <c r="U14" s="668">
        <f t="shared" si="1"/>
        <v>100</v>
      </c>
      <c r="V14" s="667" t="s">
        <v>14</v>
      </c>
      <c r="W14" s="668">
        <f t="shared" si="2"/>
        <v>100</v>
      </c>
      <c r="X14" s="1265"/>
      <c r="Y14" s="3408" t="s">
        <v>1691</v>
      </c>
      <c r="Z14" s="1264" t="str">
        <f t="shared" si="7"/>
        <v>交通便捷度</v>
      </c>
      <c r="AA14" s="1264">
        <f t="shared" si="3"/>
        <v>1</v>
      </c>
      <c r="AB14" s="1264">
        <f t="shared" si="4"/>
        <v>1</v>
      </c>
      <c r="AC14" s="1264">
        <f t="shared" si="5"/>
        <v>1</v>
      </c>
    </row>
    <row r="15" spans="1:29" ht="15.5">
      <c r="A15" s="367"/>
      <c r="B15" s="385"/>
      <c r="C15" s="386"/>
      <c r="D15" s="387"/>
      <c r="E15" s="386"/>
      <c r="F15" s="388"/>
      <c r="G15" s="386"/>
      <c r="H15" s="389"/>
      <c r="I15" s="386"/>
      <c r="J15" s="387"/>
      <c r="K15" s="541"/>
      <c r="L15" s="2491"/>
      <c r="M15" s="2486"/>
      <c r="N15" s="2486"/>
      <c r="O15" s="2541"/>
      <c r="P15" s="3409"/>
      <c r="Q15" s="1263"/>
      <c r="R15" s="667"/>
      <c r="S15" s="668"/>
      <c r="T15" s="667"/>
      <c r="U15" s="668"/>
      <c r="V15" s="667"/>
      <c r="W15" s="668"/>
      <c r="X15" s="1265"/>
      <c r="Y15" s="3409"/>
      <c r="Z15" s="1264"/>
      <c r="AA15" s="1264">
        <v>1</v>
      </c>
      <c r="AB15" s="1264">
        <v>1</v>
      </c>
      <c r="AC15" s="1264">
        <v>1</v>
      </c>
    </row>
    <row r="16" spans="1:29" ht="42">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409"/>
      <c r="Q16" s="1263" t="str">
        <f>B16</f>
        <v>公共配套设施</v>
      </c>
      <c r="R16" s="667" t="s">
        <v>14</v>
      </c>
      <c r="S16" s="668">
        <f>F16</f>
        <v>100</v>
      </c>
      <c r="T16" s="667" t="s">
        <v>14</v>
      </c>
      <c r="U16" s="668">
        <f>H16</f>
        <v>100</v>
      </c>
      <c r="V16" s="667" t="s">
        <v>14</v>
      </c>
      <c r="W16" s="668">
        <f>J16</f>
        <v>100</v>
      </c>
      <c r="X16" s="1265"/>
      <c r="Y16" s="3409"/>
      <c r="Z16" s="1264" t="str">
        <f>Q16</f>
        <v>公共配套设施</v>
      </c>
      <c r="AA16" s="1264">
        <f t="shared" si="3"/>
        <v>1</v>
      </c>
      <c r="AB16" s="1264">
        <f t="shared" si="4"/>
        <v>1</v>
      </c>
      <c r="AC16" s="1264">
        <f t="shared" si="5"/>
        <v>1</v>
      </c>
    </row>
    <row r="17" spans="1:29" ht="15.5">
      <c r="A17" s="367"/>
      <c r="B17" s="395"/>
      <c r="C17" s="1755"/>
      <c r="D17" s="387"/>
      <c r="E17" s="386"/>
      <c r="F17" s="388"/>
      <c r="G17" s="386"/>
      <c r="H17" s="387"/>
      <c r="I17" s="386"/>
      <c r="J17" s="387"/>
      <c r="K17" s="541"/>
      <c r="L17" s="2491"/>
      <c r="M17" s="2486"/>
      <c r="N17" s="2486"/>
      <c r="O17" s="2541"/>
      <c r="P17" s="3409"/>
      <c r="Q17" s="1263"/>
      <c r="R17" s="667"/>
      <c r="S17" s="668"/>
      <c r="T17" s="667"/>
      <c r="U17" s="668"/>
      <c r="V17" s="667"/>
      <c r="W17" s="668"/>
      <c r="X17" s="1265"/>
      <c r="Y17" s="3409"/>
      <c r="Z17" s="1264"/>
      <c r="AA17" s="1264">
        <v>1</v>
      </c>
      <c r="AB17" s="1264">
        <v>1</v>
      </c>
      <c r="AC17" s="1264">
        <v>1</v>
      </c>
    </row>
    <row r="18" spans="1:29" ht="42">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409"/>
      <c r="Q18" s="1263" t="str">
        <f>B18</f>
        <v>基础设施水平</v>
      </c>
      <c r="R18" s="667" t="s">
        <v>14</v>
      </c>
      <c r="S18" s="668">
        <f>F18</f>
        <v>100</v>
      </c>
      <c r="T18" s="667" t="s">
        <v>14</v>
      </c>
      <c r="U18" s="668">
        <f>H18</f>
        <v>100</v>
      </c>
      <c r="V18" s="667" t="s">
        <v>14</v>
      </c>
      <c r="W18" s="668">
        <f>J18</f>
        <v>100</v>
      </c>
      <c r="X18" s="1265"/>
      <c r="Y18" s="3409"/>
      <c r="Z18" s="1264" t="str">
        <f>Q18</f>
        <v>基础设施水平</v>
      </c>
      <c r="AA18" s="1264">
        <f t="shared" ref="AA18" si="8">D18/F18</f>
        <v>1</v>
      </c>
      <c r="AB18" s="1264">
        <f t="shared" ref="AB18" si="9">D18/H18</f>
        <v>1</v>
      </c>
      <c r="AC18" s="1264">
        <f t="shared" ref="AC18" si="10">D18/J18</f>
        <v>1</v>
      </c>
    </row>
    <row r="19" spans="1:29" ht="15.5">
      <c r="A19" s="367"/>
      <c r="B19" s="586"/>
      <c r="C19" s="1755"/>
      <c r="D19" s="389"/>
      <c r="E19" s="1755"/>
      <c r="F19" s="392"/>
      <c r="G19" s="1755"/>
      <c r="H19" s="387"/>
      <c r="I19" s="386"/>
      <c r="J19" s="387"/>
      <c r="K19" s="1064"/>
      <c r="L19" s="2491"/>
      <c r="M19" s="2486"/>
      <c r="N19" s="2486"/>
      <c r="O19" s="2541"/>
      <c r="P19" s="3409"/>
      <c r="Q19" s="1263"/>
      <c r="R19" s="667"/>
      <c r="S19" s="668"/>
      <c r="T19" s="667"/>
      <c r="U19" s="668"/>
      <c r="V19" s="667"/>
      <c r="W19" s="668"/>
      <c r="X19" s="1265"/>
      <c r="Y19" s="3409"/>
      <c r="Z19" s="1264"/>
      <c r="AA19" s="1264">
        <v>1</v>
      </c>
      <c r="AB19" s="1264">
        <v>1</v>
      </c>
      <c r="AC19" s="1264">
        <v>1</v>
      </c>
    </row>
    <row r="20" spans="1:29" ht="56">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409"/>
      <c r="Q20" s="1263" t="str">
        <f>B20</f>
        <v>自然及人文环境</v>
      </c>
      <c r="R20" s="667" t="s">
        <v>14</v>
      </c>
      <c r="S20" s="668">
        <f>F20</f>
        <v>100</v>
      </c>
      <c r="T20" s="667" t="s">
        <v>14</v>
      </c>
      <c r="U20" s="668">
        <f>H20</f>
        <v>100</v>
      </c>
      <c r="V20" s="667" t="s">
        <v>14</v>
      </c>
      <c r="W20" s="668">
        <f>J20</f>
        <v>100</v>
      </c>
      <c r="X20" s="1265"/>
      <c r="Y20" s="3409"/>
      <c r="Z20" s="1264" t="str">
        <f>Q20</f>
        <v>自然及人文环境</v>
      </c>
      <c r="AA20" s="1264">
        <f t="shared" si="3"/>
        <v>1</v>
      </c>
      <c r="AB20" s="1264">
        <f t="shared" si="4"/>
        <v>1</v>
      </c>
      <c r="AC20" s="1264">
        <f t="shared" si="5"/>
        <v>1</v>
      </c>
    </row>
    <row r="21" spans="1:29" ht="15.5">
      <c r="A21" s="367"/>
      <c r="B21" s="395"/>
      <c r="C21" s="386"/>
      <c r="D21" s="387"/>
      <c r="E21" s="386"/>
      <c r="F21" s="388"/>
      <c r="G21" s="386"/>
      <c r="H21" s="387"/>
      <c r="I21" s="386"/>
      <c r="J21" s="387"/>
      <c r="K21" s="541"/>
      <c r="L21" s="2491"/>
      <c r="M21" s="2486"/>
      <c r="N21" s="2486"/>
      <c r="O21" s="2541"/>
      <c r="P21" s="3409"/>
      <c r="Q21" s="1263"/>
      <c r="R21" s="667"/>
      <c r="S21" s="668"/>
      <c r="T21" s="667"/>
      <c r="U21" s="668"/>
      <c r="V21" s="667"/>
      <c r="W21" s="668"/>
      <c r="X21" s="1265"/>
      <c r="Y21" s="3409"/>
      <c r="Z21" s="1264"/>
      <c r="AA21" s="1264">
        <v>1</v>
      </c>
      <c r="AB21" s="1264">
        <v>1</v>
      </c>
      <c r="AC21" s="1264">
        <v>1</v>
      </c>
    </row>
    <row r="22" spans="1:29" ht="15.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409"/>
      <c r="Q22" s="1263" t="str">
        <f>B22</f>
        <v>楼层</v>
      </c>
      <c r="R22" s="667" t="s">
        <v>14</v>
      </c>
      <c r="S22" s="668">
        <f>F22</f>
        <v>100</v>
      </c>
      <c r="T22" s="667" t="s">
        <v>14</v>
      </c>
      <c r="U22" s="668">
        <f>H22</f>
        <v>100</v>
      </c>
      <c r="V22" s="667" t="s">
        <v>14</v>
      </c>
      <c r="W22" s="668">
        <f>J22</f>
        <v>100</v>
      </c>
      <c r="X22" s="1265"/>
      <c r="Y22" s="3409"/>
      <c r="Z22" s="1264" t="str">
        <f>Q22</f>
        <v>楼层</v>
      </c>
      <c r="AA22" s="1264">
        <f t="shared" si="3"/>
        <v>1</v>
      </c>
      <c r="AB22" s="1264">
        <f t="shared" si="4"/>
        <v>1</v>
      </c>
      <c r="AC22" s="1264">
        <f t="shared" si="5"/>
        <v>1</v>
      </c>
    </row>
    <row r="23" spans="1:29" ht="15.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409"/>
      <c r="Q23" s="1263">
        <f>B23</f>
        <v>111</v>
      </c>
      <c r="R23" s="667" t="s">
        <v>14</v>
      </c>
      <c r="S23" s="668">
        <f>F23</f>
        <v>100</v>
      </c>
      <c r="T23" s="667" t="s">
        <v>14</v>
      </c>
      <c r="U23" s="668">
        <f>H23</f>
        <v>100</v>
      </c>
      <c r="V23" s="667" t="s">
        <v>14</v>
      </c>
      <c r="W23" s="668">
        <f>J23</f>
        <v>100</v>
      </c>
      <c r="X23" s="1265"/>
      <c r="Y23" s="3409"/>
      <c r="Z23" s="1264">
        <f>Q23</f>
        <v>111</v>
      </c>
      <c r="AA23" s="1264">
        <f t="shared" si="3"/>
        <v>1</v>
      </c>
      <c r="AB23" s="1264">
        <f t="shared" si="4"/>
        <v>1</v>
      </c>
      <c r="AC23" s="1264">
        <f t="shared" si="5"/>
        <v>1</v>
      </c>
    </row>
    <row r="24" spans="1:29" ht="15.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409"/>
      <c r="Q24" s="1263">
        <f t="shared" ref="Q24:Q34" si="11">B24</f>
        <v>111</v>
      </c>
      <c r="R24" s="667" t="s">
        <v>14</v>
      </c>
      <c r="S24" s="668">
        <f>F24</f>
        <v>100</v>
      </c>
      <c r="T24" s="667" t="s">
        <v>14</v>
      </c>
      <c r="U24" s="668">
        <f>H24</f>
        <v>100</v>
      </c>
      <c r="V24" s="667" t="s">
        <v>14</v>
      </c>
      <c r="W24" s="668">
        <f>J24</f>
        <v>100</v>
      </c>
      <c r="X24" s="1265"/>
      <c r="Y24" s="3409"/>
      <c r="Z24" s="1264">
        <f>Q24</f>
        <v>111</v>
      </c>
      <c r="AA24" s="1264">
        <f t="shared" si="3"/>
        <v>1</v>
      </c>
      <c r="AB24" s="1264">
        <f t="shared" si="4"/>
        <v>1</v>
      </c>
      <c r="AC24" s="1264">
        <f t="shared" si="5"/>
        <v>1</v>
      </c>
    </row>
    <row r="25" spans="1:29" s="102" customFormat="1" ht="1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409"/>
      <c r="Q25" s="530">
        <f t="shared" si="11"/>
        <v>111</v>
      </c>
      <c r="R25" s="664" t="s">
        <v>14</v>
      </c>
      <c r="S25" s="665">
        <f>F25</f>
        <v>100</v>
      </c>
      <c r="T25" s="664" t="s">
        <v>14</v>
      </c>
      <c r="U25" s="665">
        <f>H25</f>
        <v>100</v>
      </c>
      <c r="V25" s="664" t="s">
        <v>14</v>
      </c>
      <c r="W25" s="665">
        <f>J25</f>
        <v>100</v>
      </c>
      <c r="X25" s="666"/>
      <c r="Y25" s="3409"/>
      <c r="Z25" s="50">
        <f>Q25</f>
        <v>111</v>
      </c>
      <c r="AA25" s="1264">
        <f>D25/F25</f>
        <v>1</v>
      </c>
      <c r="AB25" s="1264">
        <f>D25/H25</f>
        <v>1</v>
      </c>
      <c r="AC25" s="1264">
        <f>D25/J25</f>
        <v>1</v>
      </c>
    </row>
    <row r="26" spans="1:29" ht="29">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54"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413" t="s">
        <v>1696</v>
      </c>
      <c r="Z26" s="1264" t="str">
        <f t="shared" ref="Z26:Z34" si="15">Q26</f>
        <v>公共部分装修</v>
      </c>
      <c r="AA26" s="1264">
        <f t="shared" si="3"/>
        <v>1</v>
      </c>
      <c r="AB26" s="1264">
        <f t="shared" si="4"/>
        <v>1</v>
      </c>
      <c r="AC26" s="1264">
        <f t="shared" si="5"/>
        <v>1</v>
      </c>
    </row>
    <row r="27" spans="1:29" s="408" customFormat="1" ht="15.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413"/>
      <c r="Q27" s="531" t="str">
        <f t="shared" si="11"/>
        <v>成新率</v>
      </c>
      <c r="R27" s="669" t="s">
        <v>14</v>
      </c>
      <c r="S27" s="670" t="e">
        <f t="shared" si="12"/>
        <v>#N/A</v>
      </c>
      <c r="T27" s="669" t="s">
        <v>14</v>
      </c>
      <c r="U27" s="670" t="e">
        <f t="shared" si="13"/>
        <v>#N/A</v>
      </c>
      <c r="V27" s="669" t="s">
        <v>14</v>
      </c>
      <c r="W27" s="670" t="e">
        <f t="shared" si="14"/>
        <v>#N/A</v>
      </c>
      <c r="X27" s="671"/>
      <c r="Y27" s="3413"/>
      <c r="Z27" s="672" t="str">
        <f t="shared" si="15"/>
        <v>成新率</v>
      </c>
      <c r="AA27" s="1264" t="e">
        <f t="shared" si="3"/>
        <v>#N/A</v>
      </c>
      <c r="AB27" s="1264" t="e">
        <f t="shared" si="4"/>
        <v>#N/A</v>
      </c>
      <c r="AC27" s="1264" t="e">
        <f t="shared" si="5"/>
        <v>#N/A</v>
      </c>
    </row>
    <row r="28" spans="1:29" ht="15.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413"/>
      <c r="Q28" s="1263" t="str">
        <f t="shared" si="11"/>
        <v>物业等级</v>
      </c>
      <c r="R28" s="667" t="s">
        <v>14</v>
      </c>
      <c r="S28" s="668">
        <f t="shared" si="12"/>
        <v>100</v>
      </c>
      <c r="T28" s="667" t="s">
        <v>14</v>
      </c>
      <c r="U28" s="668">
        <f t="shared" si="13"/>
        <v>100</v>
      </c>
      <c r="V28" s="667" t="s">
        <v>14</v>
      </c>
      <c r="W28" s="668">
        <f t="shared" si="14"/>
        <v>100</v>
      </c>
      <c r="X28" s="1265"/>
      <c r="Y28" s="3413"/>
      <c r="Z28" s="1264" t="str">
        <f t="shared" si="15"/>
        <v>物业等级</v>
      </c>
      <c r="AA28" s="1264">
        <f t="shared" si="3"/>
        <v>1</v>
      </c>
      <c r="AB28" s="1264">
        <f t="shared" si="4"/>
        <v>1</v>
      </c>
      <c r="AC28" s="1264">
        <f t="shared" si="5"/>
        <v>1</v>
      </c>
    </row>
    <row r="29" spans="1:29" ht="15.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413"/>
      <c r="Q29" s="1263" t="str">
        <f t="shared" si="11"/>
        <v>有无电梯</v>
      </c>
      <c r="R29" s="667" t="s">
        <v>14</v>
      </c>
      <c r="S29" s="668">
        <f t="shared" si="12"/>
        <v>100</v>
      </c>
      <c r="T29" s="667" t="s">
        <v>14</v>
      </c>
      <c r="U29" s="668">
        <f t="shared" si="13"/>
        <v>100</v>
      </c>
      <c r="V29" s="667" t="s">
        <v>14</v>
      </c>
      <c r="W29" s="668">
        <f t="shared" si="14"/>
        <v>100</v>
      </c>
      <c r="X29" s="1265"/>
      <c r="Y29" s="3413"/>
      <c r="Z29" s="1264" t="str">
        <f t="shared" si="15"/>
        <v>有无电梯</v>
      </c>
      <c r="AA29" s="1264">
        <f t="shared" si="3"/>
        <v>1</v>
      </c>
      <c r="AB29" s="1264">
        <f t="shared" si="4"/>
        <v>1</v>
      </c>
      <c r="AC29" s="1264">
        <f t="shared" si="5"/>
        <v>1</v>
      </c>
    </row>
    <row r="30" spans="1:29" ht="15.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413"/>
      <c r="Q30" s="1263" t="str">
        <f t="shared" si="11"/>
        <v>建筑面积</v>
      </c>
      <c r="R30" s="667" t="s">
        <v>14</v>
      </c>
      <c r="S30" s="668" t="e">
        <f t="shared" si="12"/>
        <v>#N/A</v>
      </c>
      <c r="T30" s="667" t="s">
        <v>14</v>
      </c>
      <c r="U30" s="668" t="e">
        <f t="shared" si="13"/>
        <v>#N/A</v>
      </c>
      <c r="V30" s="667" t="s">
        <v>14</v>
      </c>
      <c r="W30" s="668" t="e">
        <f t="shared" si="14"/>
        <v>#N/A</v>
      </c>
      <c r="X30" s="1265"/>
      <c r="Y30" s="3413"/>
      <c r="Z30" s="1264" t="str">
        <f t="shared" si="15"/>
        <v>建筑面积</v>
      </c>
      <c r="AA30" s="1264" t="e">
        <f t="shared" si="3"/>
        <v>#N/A</v>
      </c>
      <c r="AB30" s="1264" t="e">
        <f t="shared" si="4"/>
        <v>#N/A</v>
      </c>
      <c r="AC30" s="1264" t="e">
        <f t="shared" si="5"/>
        <v>#N/A</v>
      </c>
    </row>
    <row r="31" spans="1:29" s="102" customFormat="1" ht="15.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413"/>
      <c r="Q31" s="530" t="str">
        <f t="shared" si="11"/>
        <v>是否封闭</v>
      </c>
      <c r="R31" s="664" t="s">
        <v>14</v>
      </c>
      <c r="S31" s="665">
        <f t="shared" si="12"/>
        <v>100</v>
      </c>
      <c r="T31" s="664" t="s">
        <v>14</v>
      </c>
      <c r="U31" s="665">
        <f t="shared" si="13"/>
        <v>100</v>
      </c>
      <c r="V31" s="664" t="s">
        <v>14</v>
      </c>
      <c r="W31" s="665">
        <f t="shared" si="14"/>
        <v>100</v>
      </c>
      <c r="X31" s="666"/>
      <c r="Y31" s="3413"/>
      <c r="Z31" s="50" t="str">
        <f t="shared" si="15"/>
        <v>是否封闭</v>
      </c>
      <c r="AA31" s="50">
        <f t="shared" si="3"/>
        <v>1</v>
      </c>
      <c r="AB31" s="50">
        <f t="shared" si="4"/>
        <v>1</v>
      </c>
      <c r="AC31" s="50">
        <f t="shared" si="5"/>
        <v>1</v>
      </c>
    </row>
    <row r="32" spans="1:29" ht="15.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413" t="s">
        <v>1696</v>
      </c>
      <c r="Q32" s="1263">
        <f t="shared" si="11"/>
        <v>111</v>
      </c>
      <c r="R32" s="667" t="s">
        <v>14</v>
      </c>
      <c r="S32" s="668">
        <f t="shared" si="12"/>
        <v>100</v>
      </c>
      <c r="T32" s="667" t="s">
        <v>14</v>
      </c>
      <c r="U32" s="668">
        <f t="shared" si="13"/>
        <v>100</v>
      </c>
      <c r="V32" s="667" t="s">
        <v>14</v>
      </c>
      <c r="W32" s="668">
        <f t="shared" si="14"/>
        <v>100</v>
      </c>
      <c r="X32" s="1265"/>
      <c r="Y32" s="3413" t="s">
        <v>1696</v>
      </c>
      <c r="Z32" s="1264">
        <f t="shared" si="15"/>
        <v>111</v>
      </c>
      <c r="AA32" s="1264">
        <f t="shared" si="3"/>
        <v>1</v>
      </c>
      <c r="AB32" s="1264">
        <f t="shared" si="4"/>
        <v>1</v>
      </c>
      <c r="AC32" s="1264">
        <f t="shared" si="5"/>
        <v>1</v>
      </c>
    </row>
    <row r="33" spans="1:30" ht="15.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413"/>
      <c r="Q33" s="1263">
        <f t="shared" si="11"/>
        <v>111</v>
      </c>
      <c r="R33" s="667" t="s">
        <v>14</v>
      </c>
      <c r="S33" s="668">
        <f t="shared" si="12"/>
        <v>100</v>
      </c>
      <c r="T33" s="667" t="s">
        <v>14</v>
      </c>
      <c r="U33" s="668">
        <f t="shared" si="13"/>
        <v>100</v>
      </c>
      <c r="V33" s="667" t="s">
        <v>14</v>
      </c>
      <c r="W33" s="668">
        <f t="shared" si="14"/>
        <v>100</v>
      </c>
      <c r="X33" s="1265"/>
      <c r="Y33" s="3413"/>
      <c r="Z33" s="1264">
        <f t="shared" si="15"/>
        <v>111</v>
      </c>
      <c r="AA33" s="1264">
        <f t="shared" si="3"/>
        <v>1</v>
      </c>
      <c r="AB33" s="1264">
        <f t="shared" si="4"/>
        <v>1</v>
      </c>
      <c r="AC33" s="1264">
        <f t="shared" si="5"/>
        <v>1</v>
      </c>
    </row>
    <row r="34" spans="1:30" ht="1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413"/>
      <c r="Q34" s="1263">
        <f t="shared" si="11"/>
        <v>111</v>
      </c>
      <c r="R34" s="667" t="s">
        <v>14</v>
      </c>
      <c r="S34" s="668">
        <f t="shared" si="12"/>
        <v>100</v>
      </c>
      <c r="T34" s="667" t="s">
        <v>14</v>
      </c>
      <c r="U34" s="668">
        <f t="shared" si="13"/>
        <v>100</v>
      </c>
      <c r="V34" s="667" t="s">
        <v>14</v>
      </c>
      <c r="W34" s="668">
        <f t="shared" si="14"/>
        <v>100</v>
      </c>
      <c r="X34" s="1265"/>
      <c r="Y34" s="3413"/>
      <c r="Z34" s="1264">
        <f t="shared" si="15"/>
        <v>111</v>
      </c>
      <c r="AA34" s="1264">
        <f t="shared" si="3"/>
        <v>1</v>
      </c>
      <c r="AB34" s="1264">
        <f t="shared" si="4"/>
        <v>1</v>
      </c>
      <c r="AC34" s="1264">
        <f t="shared" si="5"/>
        <v>1</v>
      </c>
    </row>
    <row r="35" spans="1:30">
      <c r="A35" s="416" t="s">
        <v>1708</v>
      </c>
      <c r="B35" s="417"/>
      <c r="C35" s="1081" t="s">
        <v>0</v>
      </c>
      <c r="D35" s="418"/>
      <c r="E35" s="419"/>
      <c r="F35" s="420"/>
      <c r="G35" s="421"/>
      <c r="H35" s="422"/>
      <c r="I35" s="419"/>
      <c r="J35" s="422"/>
      <c r="K35" s="674"/>
      <c r="L35" s="2493"/>
      <c r="M35" s="2486"/>
      <c r="N35" s="2486"/>
      <c r="O35" s="2486"/>
      <c r="P35" s="3415" t="str">
        <f>A35</f>
        <v>成交单价（元/平方米）</v>
      </c>
      <c r="Q35" s="3415"/>
      <c r="R35" s="3403">
        <f>E35</f>
        <v>0</v>
      </c>
      <c r="S35" s="3403"/>
      <c r="T35" s="3403">
        <f>G35</f>
        <v>0</v>
      </c>
      <c r="U35" s="3403"/>
      <c r="V35" s="3403">
        <f>I35</f>
        <v>0</v>
      </c>
      <c r="W35" s="3403"/>
      <c r="X35" s="385"/>
      <c r="Y35" s="673"/>
      <c r="Z35" s="385"/>
      <c r="AA35" s="385"/>
      <c r="AB35" s="385"/>
      <c r="AC35" s="385"/>
    </row>
    <row r="36" spans="1:30" ht="14.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415" t="str">
        <f>A36</f>
        <v>比较价值（元/平方米）</v>
      </c>
      <c r="Q36" s="3415"/>
      <c r="R36" s="3403" t="e">
        <f>IF(F1="售价",ROUND(PRODUCT(R35,AA7:AA34),0),ROUND(PRODUCT(R35,AA7:AA34),1))</f>
        <v>#DIV/0!</v>
      </c>
      <c r="S36" s="3403"/>
      <c r="T36" s="3403" t="e">
        <f>IF(F1="售价",ROUND(PRODUCT(T35,AB7:AB34),0),ROUND(PRODUCT(T35,AB7:AB34),1))</f>
        <v>#DIV/0!</v>
      </c>
      <c r="U36" s="3403"/>
      <c r="V36" s="3403" t="e">
        <f>IF(F1="售价",ROUND(PRODUCT(V35,AC7:AC34),0),ROUND(PRODUCT(V35,AC7:AC34),1))</f>
        <v>#DIV/0!</v>
      </c>
      <c r="W36" s="3403"/>
      <c r="X36" s="385"/>
      <c r="Y36" s="385"/>
      <c r="Z36" s="385"/>
      <c r="AA36" s="385"/>
      <c r="AB36" s="385"/>
      <c r="AC36" s="385"/>
    </row>
    <row r="37" spans="1:30" ht="14.5" thickBot="1">
      <c r="A37" s="427" t="s">
        <v>1794</v>
      </c>
      <c r="B37" s="428"/>
      <c r="C37" s="351" t="e">
        <f>R37</f>
        <v>#DIV/0!</v>
      </c>
      <c r="D37" s="351"/>
      <c r="E37" s="351"/>
      <c r="F37" s="351"/>
      <c r="G37" s="351"/>
      <c r="H37" s="351"/>
      <c r="I37" s="351"/>
      <c r="J37" s="351"/>
      <c r="K37" s="675"/>
      <c r="L37" s="2493"/>
      <c r="M37" s="2486"/>
      <c r="N37" s="2486"/>
      <c r="O37" s="2486"/>
      <c r="P37" s="3451" t="str">
        <f>A37</f>
        <v>估价对象XX用房的比较价值（楼面单价，元/平方米）</v>
      </c>
      <c r="Q37" s="3452"/>
      <c r="R37" s="3455" t="e">
        <f>IF(F1="售价",ROUND(IF(D36="简单平均",AVERAGE(R36:W36),R36*F36+T36*H36+V36*J36),0),ROUND(IF(D36="简单平均",AVERAGE(R36:V36),R36*F36+T36*H36+V36*J36),1))</f>
        <v>#DIV/0!</v>
      </c>
      <c r="S37" s="3455"/>
      <c r="T37" s="3455"/>
      <c r="U37" s="3455"/>
      <c r="V37" s="3455"/>
      <c r="W37" s="3455"/>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1.5"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c r="A46" s="440" t="s">
        <v>1679</v>
      </c>
      <c r="B46" s="441"/>
      <c r="C46" s="1103" t="str">
        <f>YEAR(C7)&amp;"-"&amp;MONTH(C7)</f>
        <v>2025-10</v>
      </c>
      <c r="D46" s="1104">
        <f>EDATE(C46,-1)</f>
        <v>45901</v>
      </c>
      <c r="E46" s="1104">
        <f t="shared" ref="E46:O46" si="16">EDATE(D46,-1)</f>
        <v>45870</v>
      </c>
      <c r="F46" s="1104">
        <f t="shared" si="16"/>
        <v>45839</v>
      </c>
      <c r="G46" s="1104">
        <f t="shared" si="16"/>
        <v>45809</v>
      </c>
      <c r="H46" s="1104">
        <f t="shared" si="16"/>
        <v>45778</v>
      </c>
      <c r="I46" s="1104">
        <f t="shared" si="16"/>
        <v>45748</v>
      </c>
      <c r="J46" s="1104">
        <f t="shared" si="16"/>
        <v>45717</v>
      </c>
      <c r="K46" s="1104">
        <f t="shared" si="16"/>
        <v>45689</v>
      </c>
      <c r="L46" s="1104">
        <f t="shared" si="16"/>
        <v>45658</v>
      </c>
      <c r="M46" s="1104">
        <f t="shared" si="16"/>
        <v>45627</v>
      </c>
      <c r="N46" s="1104">
        <f t="shared" si="16"/>
        <v>45597</v>
      </c>
      <c r="O46" s="1104">
        <f t="shared" si="16"/>
        <v>45566</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4.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5"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5"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8.5"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5"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5"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5"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5"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5"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5"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5"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4.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5"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8.5"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5"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4.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5"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4.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5"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4.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5"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5"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5"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5"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5"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5"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5"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4.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5"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4.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5"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4.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5"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4.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5"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4.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5"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4.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5"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5"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5"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5"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5"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5"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5"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5"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4.0898437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0" t="s">
        <v>1770</v>
      </c>
      <c r="D4" s="3391"/>
      <c r="E4" s="3392" t="s">
        <v>1771</v>
      </c>
      <c r="F4" s="3393"/>
      <c r="G4" s="3390" t="s">
        <v>1772</v>
      </c>
      <c r="H4" s="3391"/>
      <c r="I4" s="3390" t="s">
        <v>1773</v>
      </c>
      <c r="J4" s="3391"/>
      <c r="K4" s="537" t="s">
        <v>1774</v>
      </c>
      <c r="L4" s="2485"/>
      <c r="M4" s="2486"/>
      <c r="N4" s="2486"/>
      <c r="O4" s="2486"/>
      <c r="P4" s="3447" t="s">
        <v>1775</v>
      </c>
      <c r="Q4" s="3448"/>
      <c r="R4" s="3441" t="s">
        <v>1771</v>
      </c>
      <c r="S4" s="3442"/>
      <c r="T4" s="3441" t="s">
        <v>1772</v>
      </c>
      <c r="U4" s="3442"/>
      <c r="V4" s="3403" t="s">
        <v>1773</v>
      </c>
      <c r="W4" s="3403"/>
      <c r="X4" s="1265"/>
      <c r="Y4" s="3441" t="s">
        <v>1775</v>
      </c>
      <c r="Z4" s="3442"/>
      <c r="AA4" s="3440" t="s">
        <v>1771</v>
      </c>
      <c r="AB4" s="3372" t="s">
        <v>1772</v>
      </c>
      <c r="AC4" s="3440" t="s">
        <v>1773</v>
      </c>
    </row>
    <row r="5" spans="1:29">
      <c r="A5" s="348"/>
      <c r="B5" s="349"/>
      <c r="C5" s="3445" t="s">
        <v>1673</v>
      </c>
      <c r="D5" s="3446"/>
      <c r="E5" s="3443" t="s">
        <v>1674</v>
      </c>
      <c r="F5" s="3444"/>
      <c r="G5" s="3445" t="s">
        <v>1675</v>
      </c>
      <c r="H5" s="3446"/>
      <c r="I5" s="3445" t="s">
        <v>1676</v>
      </c>
      <c r="J5" s="3446"/>
      <c r="K5" s="537"/>
      <c r="L5" s="2485"/>
      <c r="M5" s="2486"/>
      <c r="N5" s="2486"/>
      <c r="O5" s="2486"/>
      <c r="P5" s="3449"/>
      <c r="Q5" s="3397"/>
      <c r="R5" s="3378"/>
      <c r="S5" s="3379"/>
      <c r="T5" s="3378"/>
      <c r="U5" s="3379"/>
      <c r="V5" s="3403"/>
      <c r="W5" s="3403"/>
      <c r="X5" s="1265"/>
      <c r="Y5" s="3378"/>
      <c r="Z5" s="3379"/>
      <c r="AA5" s="3372"/>
      <c r="AB5" s="3372"/>
      <c r="AC5" s="3372"/>
    </row>
    <row r="6" spans="1:29" ht="15" thickBot="1">
      <c r="A6" s="350"/>
      <c r="B6" s="351"/>
      <c r="C6" s="3382" t="s">
        <v>1677</v>
      </c>
      <c r="D6" s="3383"/>
      <c r="E6" s="3384" t="s">
        <v>1677</v>
      </c>
      <c r="F6" s="3385"/>
      <c r="G6" s="3382" t="s">
        <v>1677</v>
      </c>
      <c r="H6" s="3383"/>
      <c r="I6" s="3382" t="s">
        <v>1677</v>
      </c>
      <c r="J6" s="3383"/>
      <c r="K6" s="537" t="s">
        <v>1678</v>
      </c>
      <c r="L6" s="2485"/>
      <c r="M6" s="2486"/>
      <c r="N6" s="2486"/>
      <c r="O6" s="2486"/>
      <c r="P6" s="3450"/>
      <c r="Q6" s="3399"/>
      <c r="R6" s="3378"/>
      <c r="S6" s="3379"/>
      <c r="T6" s="3400"/>
      <c r="U6" s="3401"/>
      <c r="V6" s="3403"/>
      <c r="W6" s="3403"/>
      <c r="X6" s="1265"/>
      <c r="Y6" s="3400"/>
      <c r="Z6" s="3401"/>
      <c r="AA6" s="3373"/>
      <c r="AB6" s="3373"/>
      <c r="AC6" s="3373"/>
    </row>
    <row r="7" spans="1:29" s="102" customFormat="1" ht="14.5" thickBot="1">
      <c r="A7" s="352" t="s">
        <v>1679</v>
      </c>
      <c r="B7" s="353"/>
      <c r="C7" s="354">
        <f>'数据-取费表'!B2</f>
        <v>45950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74" t="s">
        <v>1680</v>
      </c>
      <c r="Q7" s="3405"/>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4.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74" t="s">
        <v>1683</v>
      </c>
      <c r="Q8" s="3375"/>
      <c r="R8" s="664" t="s">
        <v>14</v>
      </c>
      <c r="S8" s="665">
        <f t="shared" si="0"/>
        <v>0</v>
      </c>
      <c r="T8" s="664" t="s">
        <v>14</v>
      </c>
      <c r="U8" s="665">
        <f t="shared" si="1"/>
        <v>0</v>
      </c>
      <c r="V8" s="664" t="s">
        <v>14</v>
      </c>
      <c r="W8" s="665">
        <f t="shared" si="2"/>
        <v>0</v>
      </c>
      <c r="X8" s="666"/>
      <c r="Y8" s="3374" t="s">
        <v>1683</v>
      </c>
      <c r="Z8" s="3375"/>
      <c r="AA8" s="50" t="e">
        <f t="shared" ref="AA8:AA45" si="3">D8/F8</f>
        <v>#DIV/0!</v>
      </c>
      <c r="AB8" s="50" t="e">
        <f t="shared" ref="AB8:AB45" si="4">D8/H8</f>
        <v>#DIV/0!</v>
      </c>
      <c r="AC8" s="50" t="e">
        <f t="shared" ref="AC8:AC45" si="5">D8/J8</f>
        <v>#DIV/0!</v>
      </c>
    </row>
    <row r="9" spans="1:29" s="102" customFormat="1">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415"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8">
      <c r="A10" s="363"/>
      <c r="B10" s="364" t="s">
        <v>1688</v>
      </c>
      <c r="C10" s="371"/>
      <c r="D10" s="119">
        <v>100</v>
      </c>
      <c r="E10" s="403"/>
      <c r="F10" s="119">
        <f>ROUND(100/'数据-取费表'!G16,0)</f>
        <v>121</v>
      </c>
      <c r="G10" s="402"/>
      <c r="H10" s="119">
        <f>ROUND(100/'数据-取费表'!G16,0)</f>
        <v>121</v>
      </c>
      <c r="I10" s="402"/>
      <c r="J10" s="119">
        <f>ROUND(100/'数据-取费表'!G16,0)</f>
        <v>121</v>
      </c>
      <c r="K10" s="592"/>
      <c r="L10" s="2488"/>
      <c r="M10" s="2489"/>
      <c r="N10" s="2489"/>
      <c r="O10" s="2540"/>
      <c r="P10" s="3415"/>
      <c r="Q10" s="530" t="str">
        <f t="shared" si="6"/>
        <v>土地使用年限（年）</v>
      </c>
      <c r="R10" s="664" t="s">
        <v>14</v>
      </c>
      <c r="S10" s="665">
        <f t="shared" si="0"/>
        <v>121</v>
      </c>
      <c r="T10" s="664" t="s">
        <v>14</v>
      </c>
      <c r="U10" s="665">
        <f t="shared" si="1"/>
        <v>121</v>
      </c>
      <c r="V10" s="664" t="s">
        <v>14</v>
      </c>
      <c r="W10" s="665">
        <f t="shared" si="2"/>
        <v>121</v>
      </c>
      <c r="X10" s="666"/>
      <c r="Y10" s="3339"/>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415"/>
      <c r="Q11" s="530" t="str">
        <f t="shared" si="6"/>
        <v>容积率</v>
      </c>
      <c r="R11" s="664" t="s">
        <v>14</v>
      </c>
      <c r="S11" s="665" t="e">
        <f t="shared" si="0"/>
        <v>#N/A</v>
      </c>
      <c r="T11" s="664" t="s">
        <v>14</v>
      </c>
      <c r="U11" s="665" t="e">
        <f t="shared" si="1"/>
        <v>#N/A</v>
      </c>
      <c r="V11" s="664" t="s">
        <v>14</v>
      </c>
      <c r="W11" s="665" t="e">
        <f t="shared" si="2"/>
        <v>#N/A</v>
      </c>
      <c r="X11" s="666"/>
      <c r="Y11" s="3339"/>
      <c r="Z11" s="50" t="str">
        <f t="shared" si="7"/>
        <v>容积率</v>
      </c>
      <c r="AA11" s="50" t="e">
        <f t="shared" si="3"/>
        <v>#N/A</v>
      </c>
      <c r="AB11" s="50" t="e">
        <f t="shared" si="4"/>
        <v>#N/A</v>
      </c>
      <c r="AC11" s="50" t="e">
        <f t="shared" si="5"/>
        <v>#N/A</v>
      </c>
    </row>
    <row r="12" spans="1:29" s="102" customFormat="1" ht="15.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415"/>
      <c r="Q12" s="530" t="str">
        <f t="shared" si="6"/>
        <v>配建</v>
      </c>
      <c r="R12" s="664" t="s">
        <v>14</v>
      </c>
      <c r="S12" s="665">
        <f t="shared" si="0"/>
        <v>100</v>
      </c>
      <c r="T12" s="664" t="s">
        <v>14</v>
      </c>
      <c r="U12" s="665">
        <f t="shared" si="1"/>
        <v>100</v>
      </c>
      <c r="V12" s="664" t="s">
        <v>14</v>
      </c>
      <c r="W12" s="665">
        <f t="shared" si="2"/>
        <v>100</v>
      </c>
      <c r="X12" s="666"/>
      <c r="Y12" s="3339"/>
      <c r="Z12" s="50" t="str">
        <f t="shared" si="7"/>
        <v>配建</v>
      </c>
      <c r="AA12" s="50">
        <f>D12/F12</f>
        <v>1</v>
      </c>
      <c r="AB12" s="50">
        <f>D12/H12</f>
        <v>1</v>
      </c>
      <c r="AC12" s="50">
        <f>D12/J12</f>
        <v>1</v>
      </c>
    </row>
    <row r="13" spans="1:29" ht="15.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39"/>
      <c r="Z13" s="50">
        <f t="shared" si="7"/>
        <v>111</v>
      </c>
      <c r="AA13" s="50">
        <f>D13/F13</f>
        <v>1</v>
      </c>
      <c r="AB13" s="50">
        <f>D13/H13</f>
        <v>1</v>
      </c>
      <c r="AC13" s="50">
        <f>D13/J13</f>
        <v>1</v>
      </c>
    </row>
    <row r="14" spans="1:29" ht="1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415"/>
      <c r="Q14" s="530">
        <f t="shared" si="6"/>
        <v>111</v>
      </c>
      <c r="R14" s="664" t="s">
        <v>14</v>
      </c>
      <c r="S14" s="665">
        <f t="shared" si="0"/>
        <v>100</v>
      </c>
      <c r="T14" s="664" t="s">
        <v>14</v>
      </c>
      <c r="U14" s="665">
        <f t="shared" si="1"/>
        <v>100</v>
      </c>
      <c r="V14" s="664" t="s">
        <v>14</v>
      </c>
      <c r="W14" s="665">
        <f t="shared" si="2"/>
        <v>100</v>
      </c>
      <c r="X14" s="666"/>
      <c r="Y14" s="3339"/>
      <c r="Z14" s="50">
        <f t="shared" si="7"/>
        <v>111</v>
      </c>
      <c r="AA14" s="50">
        <f>D14/F14</f>
        <v>1</v>
      </c>
      <c r="AB14" s="50">
        <f>D14/H14</f>
        <v>1</v>
      </c>
      <c r="AC14" s="50">
        <f>D14/J14</f>
        <v>1</v>
      </c>
    </row>
    <row r="15" spans="1:29" ht="98">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408" t="s">
        <v>1691</v>
      </c>
      <c r="Q15" s="1263" t="str">
        <f t="shared" si="6"/>
        <v>居住社区成熟度</v>
      </c>
      <c r="R15" s="667" t="s">
        <v>14</v>
      </c>
      <c r="S15" s="668">
        <f t="shared" si="0"/>
        <v>100</v>
      </c>
      <c r="T15" s="667" t="s">
        <v>14</v>
      </c>
      <c r="U15" s="668">
        <f t="shared" si="1"/>
        <v>100</v>
      </c>
      <c r="V15" s="667" t="s">
        <v>14</v>
      </c>
      <c r="W15" s="668">
        <f t="shared" si="2"/>
        <v>100</v>
      </c>
      <c r="X15" s="1265"/>
      <c r="Y15" s="3408" t="s">
        <v>1691</v>
      </c>
      <c r="Z15" s="1264" t="str">
        <f t="shared" si="7"/>
        <v>居住社区成熟度</v>
      </c>
      <c r="AA15" s="1264">
        <f t="shared" si="3"/>
        <v>1</v>
      </c>
      <c r="AB15" s="1264">
        <f t="shared" si="4"/>
        <v>1</v>
      </c>
      <c r="AC15" s="1264">
        <f t="shared" si="5"/>
        <v>1</v>
      </c>
    </row>
    <row r="16" spans="1:29" ht="15.5">
      <c r="A16" s="367"/>
      <c r="B16" s="385"/>
      <c r="C16" s="386"/>
      <c r="D16" s="387"/>
      <c r="E16" s="1752"/>
      <c r="F16" s="387"/>
      <c r="G16" s="1752"/>
      <c r="H16" s="389"/>
      <c r="I16" s="1751"/>
      <c r="J16" s="387"/>
      <c r="K16" s="592"/>
      <c r="L16" s="2491"/>
      <c r="M16" s="2486"/>
      <c r="N16" s="2486"/>
      <c r="O16" s="2541"/>
      <c r="P16" s="3409"/>
      <c r="Q16" s="1263"/>
      <c r="R16" s="667"/>
      <c r="S16" s="668"/>
      <c r="T16" s="667"/>
      <c r="U16" s="668"/>
      <c r="V16" s="667"/>
      <c r="W16" s="668"/>
      <c r="X16" s="1265"/>
      <c r="Y16" s="3409"/>
      <c r="Z16" s="1264"/>
      <c r="AA16" s="1264">
        <v>1</v>
      </c>
      <c r="AB16" s="1264">
        <v>1</v>
      </c>
      <c r="AC16" s="1264">
        <v>1</v>
      </c>
    </row>
    <row r="17" spans="1:29" ht="84">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409"/>
      <c r="Q17" s="1263" t="str">
        <f>B17</f>
        <v>商业繁华度</v>
      </c>
      <c r="R17" s="667" t="s">
        <v>14</v>
      </c>
      <c r="S17" s="668">
        <f>F17</f>
        <v>100</v>
      </c>
      <c r="T17" s="667" t="s">
        <v>14</v>
      </c>
      <c r="U17" s="668">
        <f>H17</f>
        <v>100</v>
      </c>
      <c r="V17" s="667" t="s">
        <v>14</v>
      </c>
      <c r="W17" s="668">
        <f>J17</f>
        <v>100</v>
      </c>
      <c r="X17" s="1265"/>
      <c r="Y17" s="3409"/>
      <c r="Z17" s="1264" t="str">
        <f>Q17</f>
        <v>商业繁华度</v>
      </c>
      <c r="AA17" s="1264">
        <f t="shared" si="3"/>
        <v>1</v>
      </c>
      <c r="AB17" s="1264">
        <f t="shared" si="4"/>
        <v>1</v>
      </c>
      <c r="AC17" s="1264">
        <f t="shared" si="5"/>
        <v>1</v>
      </c>
    </row>
    <row r="18" spans="1:29" ht="15.5">
      <c r="A18" s="367"/>
      <c r="B18" s="395"/>
      <c r="C18" s="1755"/>
      <c r="D18" s="389"/>
      <c r="E18" s="1757"/>
      <c r="F18" s="389"/>
      <c r="G18" s="1757"/>
      <c r="H18" s="387"/>
      <c r="I18" s="1756"/>
      <c r="J18" s="387"/>
      <c r="K18" s="592"/>
      <c r="L18" s="2491"/>
      <c r="M18" s="2486"/>
      <c r="N18" s="2486"/>
      <c r="O18" s="2541"/>
      <c r="P18" s="3409"/>
      <c r="Q18" s="1263"/>
      <c r="R18" s="667"/>
      <c r="S18" s="668"/>
      <c r="T18" s="667"/>
      <c r="U18" s="668"/>
      <c r="V18" s="667"/>
      <c r="W18" s="668"/>
      <c r="X18" s="1265"/>
      <c r="Y18" s="3409"/>
      <c r="Z18" s="1264"/>
      <c r="AA18" s="1264">
        <v>1</v>
      </c>
      <c r="AB18" s="1264">
        <v>1</v>
      </c>
      <c r="AC18" s="1264">
        <v>1</v>
      </c>
    </row>
    <row r="19" spans="1:29" ht="84">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409"/>
      <c r="Q19" s="1263" t="str">
        <f>B19</f>
        <v>办公集聚程度</v>
      </c>
      <c r="R19" s="667" t="s">
        <v>14</v>
      </c>
      <c r="S19" s="668">
        <f>F19</f>
        <v>100</v>
      </c>
      <c r="T19" s="667" t="s">
        <v>14</v>
      </c>
      <c r="U19" s="668">
        <f>H19</f>
        <v>100</v>
      </c>
      <c r="V19" s="667" t="s">
        <v>14</v>
      </c>
      <c r="W19" s="668">
        <f>J19</f>
        <v>100</v>
      </c>
      <c r="X19" s="1265"/>
      <c r="Y19" s="3409"/>
      <c r="Z19" s="1264" t="str">
        <f>Q19</f>
        <v>办公集聚程度</v>
      </c>
      <c r="AA19" s="1264">
        <f t="shared" si="3"/>
        <v>1</v>
      </c>
      <c r="AB19" s="1264">
        <f t="shared" si="4"/>
        <v>1</v>
      </c>
      <c r="AC19" s="1264">
        <f t="shared" si="5"/>
        <v>1</v>
      </c>
    </row>
    <row r="20" spans="1:29" ht="15.5">
      <c r="A20" s="367"/>
      <c r="B20" s="395"/>
      <c r="C20" s="386"/>
      <c r="D20" s="387"/>
      <c r="E20" s="1752"/>
      <c r="F20" s="387"/>
      <c r="G20" s="1752"/>
      <c r="H20" s="387"/>
      <c r="I20" s="1751"/>
      <c r="J20" s="387"/>
      <c r="K20" s="592"/>
      <c r="L20" s="2491"/>
      <c r="M20" s="2486"/>
      <c r="N20" s="2486"/>
      <c r="O20" s="2541"/>
      <c r="P20" s="3409"/>
      <c r="Q20" s="1263"/>
      <c r="R20" s="667"/>
      <c r="S20" s="668"/>
      <c r="T20" s="667"/>
      <c r="U20" s="668"/>
      <c r="V20" s="667"/>
      <c r="W20" s="668"/>
      <c r="X20" s="1265"/>
      <c r="Y20" s="3409"/>
      <c r="Z20" s="1264"/>
      <c r="AA20" s="1264">
        <v>1</v>
      </c>
      <c r="AB20" s="1264">
        <v>1</v>
      </c>
      <c r="AC20" s="1264">
        <v>1</v>
      </c>
    </row>
    <row r="21" spans="1:29" ht="98">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409"/>
      <c r="Q21" s="1263" t="str">
        <f>B21</f>
        <v>交通便捷度</v>
      </c>
      <c r="R21" s="667" t="s">
        <v>14</v>
      </c>
      <c r="S21" s="668">
        <f>F21</f>
        <v>100</v>
      </c>
      <c r="T21" s="667" t="s">
        <v>14</v>
      </c>
      <c r="U21" s="668">
        <f>H21</f>
        <v>100</v>
      </c>
      <c r="V21" s="667" t="s">
        <v>14</v>
      </c>
      <c r="W21" s="668">
        <f>J21</f>
        <v>100</v>
      </c>
      <c r="X21" s="1265"/>
      <c r="Y21" s="3409"/>
      <c r="Z21" s="1264" t="str">
        <f>Q21</f>
        <v>交通便捷度</v>
      </c>
      <c r="AA21" s="1264">
        <f t="shared" si="3"/>
        <v>1</v>
      </c>
      <c r="AB21" s="1264">
        <f t="shared" si="4"/>
        <v>1</v>
      </c>
      <c r="AC21" s="1264">
        <f t="shared" si="5"/>
        <v>1</v>
      </c>
    </row>
    <row r="22" spans="1:29" ht="15.5">
      <c r="A22" s="367"/>
      <c r="B22" s="586"/>
      <c r="C22" s="386"/>
      <c r="D22" s="389"/>
      <c r="E22" s="1752"/>
      <c r="F22" s="387"/>
      <c r="G22" s="1752"/>
      <c r="H22" s="387"/>
      <c r="I22" s="1751"/>
      <c r="J22" s="387"/>
      <c r="K22" s="592"/>
      <c r="L22" s="2491"/>
      <c r="M22" s="2486"/>
      <c r="N22" s="2486"/>
      <c r="O22" s="2541"/>
      <c r="P22" s="3409"/>
      <c r="Q22" s="1263"/>
      <c r="R22" s="667"/>
      <c r="S22" s="668"/>
      <c r="T22" s="667"/>
      <c r="U22" s="668"/>
      <c r="V22" s="667"/>
      <c r="W22" s="668"/>
      <c r="X22" s="1265"/>
      <c r="Y22" s="3409"/>
      <c r="Z22" s="1264"/>
      <c r="AA22" s="1264">
        <v>1</v>
      </c>
      <c r="AB22" s="1264">
        <v>1</v>
      </c>
      <c r="AC22" s="1264">
        <v>1</v>
      </c>
    </row>
    <row r="23" spans="1:29" ht="2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409"/>
      <c r="Q23" s="1263" t="str">
        <f t="shared" ref="Q23:Q37" si="8">B23</f>
        <v>区域土地利用方向</v>
      </c>
      <c r="R23" s="667" t="s">
        <v>14</v>
      </c>
      <c r="S23" s="668">
        <f>F23</f>
        <v>100</v>
      </c>
      <c r="T23" s="667" t="s">
        <v>14</v>
      </c>
      <c r="U23" s="668">
        <f>H23</f>
        <v>100</v>
      </c>
      <c r="V23" s="667" t="s">
        <v>14</v>
      </c>
      <c r="W23" s="668">
        <f>J23</f>
        <v>100</v>
      </c>
      <c r="X23" s="1265"/>
      <c r="Y23" s="3409"/>
      <c r="Z23" s="1264" t="str">
        <f>Q23</f>
        <v>区域土地利用方向</v>
      </c>
      <c r="AA23" s="1264">
        <f t="shared" si="3"/>
        <v>1</v>
      </c>
      <c r="AB23" s="1264">
        <f t="shared" si="4"/>
        <v>1</v>
      </c>
      <c r="AC23" s="1264">
        <f t="shared" si="5"/>
        <v>1</v>
      </c>
    </row>
    <row r="24" spans="1:29" ht="15.5">
      <c r="A24" s="348"/>
      <c r="B24" s="395"/>
      <c r="C24" s="542"/>
      <c r="D24" s="387"/>
      <c r="E24" s="1752"/>
      <c r="F24" s="387"/>
      <c r="G24" s="1751"/>
      <c r="H24" s="387"/>
      <c r="I24" s="1751"/>
      <c r="J24" s="387"/>
      <c r="K24" s="698"/>
      <c r="L24" s="2491"/>
      <c r="M24" s="2486"/>
      <c r="N24" s="2486"/>
      <c r="O24" s="2541"/>
      <c r="P24" s="3409"/>
      <c r="Q24" s="1263"/>
      <c r="R24" s="667"/>
      <c r="S24" s="668"/>
      <c r="T24" s="667"/>
      <c r="U24" s="668"/>
      <c r="V24" s="667"/>
      <c r="W24" s="668"/>
      <c r="X24" s="1265"/>
      <c r="Y24" s="3409"/>
      <c r="Z24" s="1264"/>
      <c r="AA24" s="1264"/>
      <c r="AB24" s="1264"/>
      <c r="AC24" s="1264"/>
    </row>
    <row r="25" spans="1:29" ht="56">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409"/>
      <c r="Q25" s="1263" t="str">
        <f t="shared" si="8"/>
        <v>自然及人文环境状况</v>
      </c>
      <c r="R25" s="667" t="s">
        <v>14</v>
      </c>
      <c r="S25" s="668">
        <f>F25</f>
        <v>100</v>
      </c>
      <c r="T25" s="667" t="s">
        <v>14</v>
      </c>
      <c r="U25" s="668">
        <f>H25</f>
        <v>100</v>
      </c>
      <c r="V25" s="667" t="s">
        <v>14</v>
      </c>
      <c r="W25" s="668">
        <f>J25</f>
        <v>100</v>
      </c>
      <c r="X25" s="1265"/>
      <c r="Y25" s="3409"/>
      <c r="Z25" s="1264" t="str">
        <f>Q25</f>
        <v>自然及人文环境状况</v>
      </c>
      <c r="AA25" s="1264">
        <f t="shared" si="3"/>
        <v>1</v>
      </c>
      <c r="AB25" s="1264">
        <f t="shared" si="4"/>
        <v>1</v>
      </c>
      <c r="AC25" s="1264">
        <f t="shared" si="5"/>
        <v>1</v>
      </c>
    </row>
    <row r="26" spans="1:29" ht="15.5">
      <c r="A26" s="348"/>
      <c r="B26" s="395"/>
      <c r="C26" s="386"/>
      <c r="D26" s="387"/>
      <c r="E26" s="1758"/>
      <c r="F26" s="387"/>
      <c r="G26" s="1758"/>
      <c r="H26" s="387"/>
      <c r="I26" s="386"/>
      <c r="J26" s="387"/>
      <c r="K26" s="592"/>
      <c r="L26" s="2491"/>
      <c r="M26" s="2486"/>
      <c r="N26" s="2486"/>
      <c r="O26" s="2541"/>
      <c r="P26" s="3409"/>
      <c r="Q26" s="1263"/>
      <c r="R26" s="667"/>
      <c r="S26" s="668"/>
      <c r="T26" s="667"/>
      <c r="U26" s="668"/>
      <c r="V26" s="667"/>
      <c r="W26" s="668"/>
      <c r="X26" s="1265"/>
      <c r="Y26" s="3409"/>
      <c r="Z26" s="1264"/>
      <c r="AA26" s="1264">
        <v>1</v>
      </c>
      <c r="AB26" s="1264">
        <v>1</v>
      </c>
      <c r="AC26" s="1264">
        <v>1</v>
      </c>
    </row>
    <row r="27" spans="1:29" s="102" customFormat="1" ht="42">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409"/>
      <c r="Q27" s="530" t="str">
        <f t="shared" si="8"/>
        <v>公共配套设施</v>
      </c>
      <c r="R27" s="664" t="s">
        <v>14</v>
      </c>
      <c r="S27" s="665">
        <f>F27</f>
        <v>100</v>
      </c>
      <c r="T27" s="664" t="s">
        <v>14</v>
      </c>
      <c r="U27" s="665">
        <f>H27</f>
        <v>100</v>
      </c>
      <c r="V27" s="664" t="s">
        <v>14</v>
      </c>
      <c r="W27" s="665">
        <f>J27</f>
        <v>100</v>
      </c>
      <c r="X27" s="666"/>
      <c r="Y27" s="3409"/>
      <c r="Z27" s="50" t="str">
        <f>Q27</f>
        <v>公共配套设施</v>
      </c>
      <c r="AA27" s="1264">
        <f>D27/F27</f>
        <v>1</v>
      </c>
      <c r="AB27" s="1264">
        <f>D27/H27</f>
        <v>1</v>
      </c>
      <c r="AC27" s="1264">
        <f>D27/J27</f>
        <v>1</v>
      </c>
    </row>
    <row r="28" spans="1:29" s="102" customFormat="1" ht="15.5">
      <c r="A28" s="443"/>
      <c r="B28" s="395"/>
      <c r="C28" s="1826"/>
      <c r="D28" s="387"/>
      <c r="E28" s="1758"/>
      <c r="F28" s="387"/>
      <c r="G28" s="1758"/>
      <c r="H28" s="387"/>
      <c r="I28" s="386"/>
      <c r="J28" s="387"/>
      <c r="K28" s="592"/>
      <c r="L28" s="2487"/>
      <c r="M28" s="2439"/>
      <c r="N28" s="2439"/>
      <c r="O28" s="2539"/>
      <c r="P28" s="3409"/>
      <c r="Q28" s="530"/>
      <c r="R28" s="664"/>
      <c r="S28" s="665"/>
      <c r="T28" s="664"/>
      <c r="U28" s="665"/>
      <c r="V28" s="664"/>
      <c r="W28" s="665"/>
      <c r="X28" s="666"/>
      <c r="Y28" s="3409"/>
      <c r="Z28" s="50"/>
      <c r="AA28" s="1264">
        <v>1</v>
      </c>
      <c r="AB28" s="1264">
        <v>1</v>
      </c>
      <c r="AC28" s="1264">
        <v>1</v>
      </c>
    </row>
    <row r="29" spans="1:29" s="102" customFormat="1" ht="42">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409"/>
      <c r="Q29" s="530" t="str">
        <f t="shared" ref="Q29" si="9">B29</f>
        <v>基础设施水平</v>
      </c>
      <c r="R29" s="664" t="s">
        <v>14</v>
      </c>
      <c r="S29" s="665">
        <f>F29</f>
        <v>100</v>
      </c>
      <c r="T29" s="664" t="s">
        <v>14</v>
      </c>
      <c r="U29" s="665">
        <f>H29</f>
        <v>100</v>
      </c>
      <c r="V29" s="664" t="s">
        <v>14</v>
      </c>
      <c r="W29" s="665">
        <f>J29</f>
        <v>100</v>
      </c>
      <c r="X29" s="666"/>
      <c r="Y29" s="3409"/>
      <c r="Z29" s="50" t="str">
        <f>Q29</f>
        <v>基础设施水平</v>
      </c>
      <c r="AA29" s="1264">
        <f>D29/F29</f>
        <v>1</v>
      </c>
      <c r="AB29" s="1264">
        <f>D29/H29</f>
        <v>1</v>
      </c>
      <c r="AC29" s="1264">
        <f>D29/J29</f>
        <v>1</v>
      </c>
    </row>
    <row r="30" spans="1:29" s="102" customFormat="1" ht="15.5">
      <c r="A30" s="443"/>
      <c r="B30" s="395"/>
      <c r="C30" s="1826"/>
      <c r="D30" s="387"/>
      <c r="E30" s="1827"/>
      <c r="F30" s="387"/>
      <c r="G30" s="1827"/>
      <c r="H30" s="387"/>
      <c r="I30" s="1827"/>
      <c r="J30" s="387"/>
      <c r="K30" s="592"/>
      <c r="L30" s="2487"/>
      <c r="M30" s="2439"/>
      <c r="N30" s="2439"/>
      <c r="O30" s="2539"/>
      <c r="P30" s="3409"/>
      <c r="Q30" s="530"/>
      <c r="R30" s="664"/>
      <c r="S30" s="665"/>
      <c r="T30" s="664"/>
      <c r="U30" s="665"/>
      <c r="V30" s="664"/>
      <c r="W30" s="665"/>
      <c r="X30" s="666"/>
      <c r="Y30" s="3409"/>
      <c r="Z30" s="50"/>
      <c r="AA30" s="1264">
        <v>1</v>
      </c>
      <c r="AB30" s="1264">
        <v>1</v>
      </c>
      <c r="AC30" s="1264">
        <v>1</v>
      </c>
    </row>
    <row r="31" spans="1:29" ht="15.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409"/>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409"/>
      <c r="Z31" s="1264" t="str">
        <f t="shared" ref="Z31:Z45" si="13">Q31</f>
        <v>临街状况</v>
      </c>
      <c r="AA31" s="1264">
        <f t="shared" si="3"/>
        <v>1</v>
      </c>
      <c r="AB31" s="1264">
        <f t="shared" si="4"/>
        <v>1</v>
      </c>
      <c r="AC31" s="1264">
        <f t="shared" si="5"/>
        <v>1</v>
      </c>
    </row>
    <row r="32" spans="1:29" ht="2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409"/>
      <c r="Q32" s="1263" t="str">
        <f t="shared" si="8"/>
        <v>毗邻道路的类型与等级</v>
      </c>
      <c r="R32" s="667" t="s">
        <v>14</v>
      </c>
      <c r="S32" s="668">
        <f t="shared" si="10"/>
        <v>100</v>
      </c>
      <c r="T32" s="667" t="s">
        <v>14</v>
      </c>
      <c r="U32" s="668">
        <f t="shared" si="11"/>
        <v>100</v>
      </c>
      <c r="V32" s="667" t="s">
        <v>14</v>
      </c>
      <c r="W32" s="668">
        <f t="shared" si="12"/>
        <v>100</v>
      </c>
      <c r="X32" s="1265"/>
      <c r="Y32" s="3409"/>
      <c r="Z32" s="1264" t="str">
        <f t="shared" si="13"/>
        <v>毗邻道路的类型与等级</v>
      </c>
      <c r="AA32" s="1264">
        <f t="shared" si="3"/>
        <v>1</v>
      </c>
      <c r="AB32" s="1264">
        <f t="shared" si="4"/>
        <v>1</v>
      </c>
      <c r="AC32" s="1264">
        <f t="shared" si="5"/>
        <v>1</v>
      </c>
    </row>
    <row r="33" spans="1:29" ht="15.5">
      <c r="A33" s="367"/>
      <c r="B33" s="395"/>
      <c r="C33" s="386"/>
      <c r="D33" s="387"/>
      <c r="E33" s="1758"/>
      <c r="F33" s="387"/>
      <c r="G33" s="1758"/>
      <c r="H33" s="387"/>
      <c r="I33" s="386"/>
      <c r="J33" s="387"/>
      <c r="K33" s="539"/>
      <c r="L33" s="2491"/>
      <c r="M33" s="2486"/>
      <c r="N33" s="2486"/>
      <c r="O33" s="2541"/>
      <c r="P33" s="3409"/>
      <c r="Q33" s="1263"/>
      <c r="R33" s="667"/>
      <c r="S33" s="668"/>
      <c r="T33" s="667"/>
      <c r="U33" s="668"/>
      <c r="V33" s="667"/>
      <c r="W33" s="668"/>
      <c r="X33" s="1265"/>
      <c r="Y33" s="3409"/>
      <c r="Z33" s="1264"/>
      <c r="AA33" s="1264">
        <v>1</v>
      </c>
      <c r="AB33" s="1264">
        <v>1</v>
      </c>
      <c r="AC33" s="1264">
        <v>1</v>
      </c>
    </row>
    <row r="34" spans="1:29" ht="15.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409"/>
      <c r="Q34" s="1263" t="str">
        <f t="shared" si="8"/>
        <v>土地级别</v>
      </c>
      <c r="R34" s="667" t="s">
        <v>14</v>
      </c>
      <c r="S34" s="668">
        <f t="shared" si="10"/>
        <v>100</v>
      </c>
      <c r="T34" s="667" t="s">
        <v>14</v>
      </c>
      <c r="U34" s="668">
        <f t="shared" si="11"/>
        <v>100</v>
      </c>
      <c r="V34" s="667" t="s">
        <v>14</v>
      </c>
      <c r="W34" s="668">
        <f t="shared" si="12"/>
        <v>100</v>
      </c>
      <c r="X34" s="1265"/>
      <c r="Y34" s="3409"/>
      <c r="Z34" s="1264" t="str">
        <f t="shared" si="13"/>
        <v>土地级别</v>
      </c>
      <c r="AA34" s="1264">
        <f t="shared" si="3"/>
        <v>1</v>
      </c>
      <c r="AB34" s="1264">
        <f t="shared" si="4"/>
        <v>1</v>
      </c>
      <c r="AC34" s="1264">
        <f t="shared" si="5"/>
        <v>1</v>
      </c>
    </row>
    <row r="35" spans="1:29" ht="15.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409"/>
      <c r="Q35" s="1263">
        <f t="shared" si="8"/>
        <v>111</v>
      </c>
      <c r="R35" s="667" t="s">
        <v>14</v>
      </c>
      <c r="S35" s="668">
        <f t="shared" si="10"/>
        <v>100</v>
      </c>
      <c r="T35" s="667" t="s">
        <v>14</v>
      </c>
      <c r="U35" s="668">
        <f t="shared" si="11"/>
        <v>100</v>
      </c>
      <c r="V35" s="667" t="s">
        <v>14</v>
      </c>
      <c r="W35" s="668">
        <f t="shared" si="12"/>
        <v>100</v>
      </c>
      <c r="X35" s="1265"/>
      <c r="Y35" s="3409"/>
      <c r="Z35" s="1264">
        <f t="shared" si="13"/>
        <v>111</v>
      </c>
      <c r="AA35" s="1264">
        <f t="shared" si="3"/>
        <v>1</v>
      </c>
      <c r="AB35" s="1264">
        <f t="shared" si="4"/>
        <v>1</v>
      </c>
      <c r="AC35" s="1264">
        <f t="shared" si="5"/>
        <v>1</v>
      </c>
    </row>
    <row r="36" spans="1:29" ht="15.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54" t="s">
        <v>1696</v>
      </c>
      <c r="Q36" s="1263">
        <f t="shared" si="8"/>
        <v>111</v>
      </c>
      <c r="R36" s="667" t="s">
        <v>14</v>
      </c>
      <c r="S36" s="668">
        <f t="shared" si="10"/>
        <v>100</v>
      </c>
      <c r="T36" s="667" t="s">
        <v>14</v>
      </c>
      <c r="U36" s="668">
        <f t="shared" si="11"/>
        <v>100</v>
      </c>
      <c r="V36" s="667" t="s">
        <v>14</v>
      </c>
      <c r="W36" s="668">
        <f t="shared" si="12"/>
        <v>100</v>
      </c>
      <c r="X36" s="1265"/>
      <c r="Y36" s="3413" t="s">
        <v>1696</v>
      </c>
      <c r="Z36" s="1264">
        <f t="shared" si="13"/>
        <v>111</v>
      </c>
      <c r="AA36" s="1264">
        <f t="shared" si="3"/>
        <v>1</v>
      </c>
      <c r="AB36" s="1264">
        <f t="shared" si="4"/>
        <v>1</v>
      </c>
      <c r="AC36" s="1264">
        <f t="shared" si="5"/>
        <v>1</v>
      </c>
    </row>
    <row r="37" spans="1:29" s="408" customFormat="1" ht="1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413"/>
      <c r="Q37" s="1263">
        <f t="shared" si="8"/>
        <v>111</v>
      </c>
      <c r="R37" s="669" t="s">
        <v>14</v>
      </c>
      <c r="S37" s="670">
        <f t="shared" si="10"/>
        <v>100</v>
      </c>
      <c r="T37" s="669" t="s">
        <v>14</v>
      </c>
      <c r="U37" s="670">
        <f t="shared" si="11"/>
        <v>100</v>
      </c>
      <c r="V37" s="669" t="s">
        <v>14</v>
      </c>
      <c r="W37" s="670">
        <f t="shared" si="12"/>
        <v>100</v>
      </c>
      <c r="X37" s="671"/>
      <c r="Y37" s="3413"/>
      <c r="Z37" s="672">
        <f t="shared" si="13"/>
        <v>111</v>
      </c>
      <c r="AA37" s="1264">
        <f t="shared" si="3"/>
        <v>1</v>
      </c>
      <c r="AB37" s="1264">
        <f t="shared" si="4"/>
        <v>1</v>
      </c>
      <c r="AC37" s="1264">
        <f t="shared" si="5"/>
        <v>1</v>
      </c>
    </row>
    <row r="38" spans="1:29" ht="15.5">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413"/>
      <c r="Q38" s="1263" t="str">
        <f>B38</f>
        <v>宗地面积</v>
      </c>
      <c r="R38" s="667" t="s">
        <v>14</v>
      </c>
      <c r="S38" s="668" t="e">
        <f t="shared" si="10"/>
        <v>#N/A</v>
      </c>
      <c r="T38" s="667" t="s">
        <v>14</v>
      </c>
      <c r="U38" s="668" t="e">
        <f t="shared" si="11"/>
        <v>#N/A</v>
      </c>
      <c r="V38" s="667" t="s">
        <v>14</v>
      </c>
      <c r="W38" s="668" t="e">
        <f t="shared" si="12"/>
        <v>#N/A</v>
      </c>
      <c r="X38" s="1265"/>
      <c r="Y38" s="3413"/>
      <c r="Z38" s="1264" t="str">
        <f t="shared" si="13"/>
        <v>宗地面积</v>
      </c>
      <c r="AA38" s="1264" t="e">
        <f t="shared" si="3"/>
        <v>#N/A</v>
      </c>
      <c r="AB38" s="1264" t="e">
        <f t="shared" si="4"/>
        <v>#N/A</v>
      </c>
      <c r="AC38" s="1264" t="e">
        <f t="shared" si="5"/>
        <v>#N/A</v>
      </c>
    </row>
    <row r="39" spans="1:29" ht="15.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413"/>
      <c r="Q39" s="1263" t="str">
        <f t="shared" ref="Q39:Q45" si="14">B39</f>
        <v>宗地形状</v>
      </c>
      <c r="R39" s="667" t="s">
        <v>14</v>
      </c>
      <c r="S39" s="668">
        <f t="shared" si="10"/>
        <v>100</v>
      </c>
      <c r="T39" s="667" t="s">
        <v>14</v>
      </c>
      <c r="U39" s="668">
        <f t="shared" si="11"/>
        <v>100</v>
      </c>
      <c r="V39" s="667" t="s">
        <v>14</v>
      </c>
      <c r="W39" s="668">
        <f t="shared" si="12"/>
        <v>100</v>
      </c>
      <c r="X39" s="1265"/>
      <c r="Y39" s="3413"/>
      <c r="Z39" s="1264" t="str">
        <f t="shared" si="13"/>
        <v>宗地形状</v>
      </c>
      <c r="AA39" s="1264">
        <f t="shared" si="3"/>
        <v>1</v>
      </c>
      <c r="AB39" s="1264">
        <f t="shared" si="4"/>
        <v>1</v>
      </c>
      <c r="AC39" s="1264">
        <f t="shared" si="5"/>
        <v>1</v>
      </c>
    </row>
    <row r="40" spans="1:29" ht="15.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413"/>
      <c r="Q40" s="1263" t="str">
        <f t="shared" si="14"/>
        <v>临街宽度及深度</v>
      </c>
      <c r="R40" s="667" t="s">
        <v>14</v>
      </c>
      <c r="S40" s="668">
        <f t="shared" si="10"/>
        <v>100</v>
      </c>
      <c r="T40" s="667" t="s">
        <v>14</v>
      </c>
      <c r="U40" s="668">
        <f t="shared" si="11"/>
        <v>100</v>
      </c>
      <c r="V40" s="667" t="s">
        <v>14</v>
      </c>
      <c r="W40" s="668">
        <f t="shared" si="12"/>
        <v>100</v>
      </c>
      <c r="X40" s="1265"/>
      <c r="Y40" s="3413"/>
      <c r="Z40" s="1264" t="str">
        <f t="shared" si="13"/>
        <v>临街宽度及深度</v>
      </c>
      <c r="AA40" s="1264">
        <f t="shared" si="3"/>
        <v>1</v>
      </c>
      <c r="AB40" s="1264">
        <f t="shared" si="4"/>
        <v>1</v>
      </c>
      <c r="AC40" s="1264">
        <f t="shared" si="5"/>
        <v>1</v>
      </c>
    </row>
    <row r="41" spans="1:29" s="102" customFormat="1" ht="15.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413"/>
      <c r="Q41" s="1263" t="str">
        <f t="shared" si="14"/>
        <v>宗地开发程度</v>
      </c>
      <c r="R41" s="664" t="s">
        <v>14</v>
      </c>
      <c r="S41" s="665">
        <f t="shared" si="10"/>
        <v>100</v>
      </c>
      <c r="T41" s="664" t="s">
        <v>14</v>
      </c>
      <c r="U41" s="665">
        <f t="shared" si="11"/>
        <v>100</v>
      </c>
      <c r="V41" s="664" t="s">
        <v>14</v>
      </c>
      <c r="W41" s="665">
        <f t="shared" si="12"/>
        <v>100</v>
      </c>
      <c r="X41" s="666"/>
      <c r="Y41" s="3413"/>
      <c r="Z41" s="50" t="str">
        <f t="shared" si="13"/>
        <v>宗地开发程度</v>
      </c>
      <c r="AA41" s="50">
        <f t="shared" si="3"/>
        <v>1</v>
      </c>
      <c r="AB41" s="50">
        <f t="shared" si="4"/>
        <v>1</v>
      </c>
      <c r="AC41" s="50">
        <f t="shared" si="5"/>
        <v>1</v>
      </c>
    </row>
    <row r="42" spans="1:29" ht="15.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413" t="s">
        <v>1696</v>
      </c>
      <c r="Q42" s="1263" t="str">
        <f t="shared" si="14"/>
        <v>工程地质条件</v>
      </c>
      <c r="R42" s="667" t="s">
        <v>14</v>
      </c>
      <c r="S42" s="668">
        <f t="shared" si="10"/>
        <v>100</v>
      </c>
      <c r="T42" s="667" t="s">
        <v>14</v>
      </c>
      <c r="U42" s="668">
        <f t="shared" si="11"/>
        <v>100</v>
      </c>
      <c r="V42" s="667" t="s">
        <v>14</v>
      </c>
      <c r="W42" s="668">
        <f t="shared" si="12"/>
        <v>100</v>
      </c>
      <c r="X42" s="1265"/>
      <c r="Y42" s="3413" t="s">
        <v>1696</v>
      </c>
      <c r="Z42" s="1264" t="str">
        <f t="shared" si="13"/>
        <v>工程地质条件</v>
      </c>
      <c r="AA42" s="1264">
        <f t="shared" si="3"/>
        <v>1</v>
      </c>
      <c r="AB42" s="1264">
        <f t="shared" si="4"/>
        <v>1</v>
      </c>
      <c r="AC42" s="1264">
        <f t="shared" si="5"/>
        <v>1</v>
      </c>
    </row>
    <row r="43" spans="1:29" ht="15.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413"/>
      <c r="Q43" s="1263">
        <f t="shared" si="14"/>
        <v>111</v>
      </c>
      <c r="R43" s="667" t="s">
        <v>14</v>
      </c>
      <c r="S43" s="668">
        <f t="shared" si="10"/>
        <v>100</v>
      </c>
      <c r="T43" s="667" t="s">
        <v>14</v>
      </c>
      <c r="U43" s="668">
        <f t="shared" si="11"/>
        <v>100</v>
      </c>
      <c r="V43" s="667" t="s">
        <v>14</v>
      </c>
      <c r="W43" s="668">
        <f t="shared" si="12"/>
        <v>100</v>
      </c>
      <c r="X43" s="1265"/>
      <c r="Y43" s="3413"/>
      <c r="Z43" s="1264">
        <f t="shared" si="13"/>
        <v>111</v>
      </c>
      <c r="AA43" s="1264">
        <f t="shared" si="3"/>
        <v>1</v>
      </c>
      <c r="AB43" s="1264">
        <f t="shared" si="4"/>
        <v>1</v>
      </c>
      <c r="AC43" s="1264">
        <f t="shared" si="5"/>
        <v>1</v>
      </c>
    </row>
    <row r="44" spans="1:29" ht="15.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413"/>
      <c r="Q44" s="1263">
        <f t="shared" si="14"/>
        <v>111</v>
      </c>
      <c r="R44" s="667" t="s">
        <v>14</v>
      </c>
      <c r="S44" s="668">
        <f t="shared" si="10"/>
        <v>100</v>
      </c>
      <c r="T44" s="667" t="s">
        <v>14</v>
      </c>
      <c r="U44" s="668">
        <f t="shared" si="11"/>
        <v>100</v>
      </c>
      <c r="V44" s="667" t="s">
        <v>14</v>
      </c>
      <c r="W44" s="668">
        <f t="shared" si="12"/>
        <v>100</v>
      </c>
      <c r="X44" s="1265"/>
      <c r="Y44" s="3413"/>
      <c r="Z44" s="1264">
        <f t="shared" si="13"/>
        <v>111</v>
      </c>
      <c r="AA44" s="1264">
        <f t="shared" si="3"/>
        <v>1</v>
      </c>
      <c r="AB44" s="1264">
        <f t="shared" si="4"/>
        <v>1</v>
      </c>
      <c r="AC44" s="1264">
        <f t="shared" si="5"/>
        <v>1</v>
      </c>
    </row>
    <row r="45" spans="1:29" s="408" customFormat="1" ht="1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413"/>
      <c r="Q45" s="1263">
        <f t="shared" si="14"/>
        <v>111</v>
      </c>
      <c r="R45" s="669" t="s">
        <v>14</v>
      </c>
      <c r="S45" s="670">
        <f t="shared" si="10"/>
        <v>100</v>
      </c>
      <c r="T45" s="669" t="s">
        <v>14</v>
      </c>
      <c r="U45" s="670">
        <f t="shared" si="11"/>
        <v>100</v>
      </c>
      <c r="V45" s="669" t="s">
        <v>14</v>
      </c>
      <c r="W45" s="670">
        <f t="shared" si="12"/>
        <v>100</v>
      </c>
      <c r="X45" s="671"/>
      <c r="Y45" s="3413"/>
      <c r="Z45" s="672">
        <f t="shared" si="13"/>
        <v>111</v>
      </c>
      <c r="AA45" s="1264">
        <f t="shared" si="3"/>
        <v>1</v>
      </c>
      <c r="AB45" s="1264">
        <f t="shared" si="4"/>
        <v>1</v>
      </c>
      <c r="AC45" s="1264">
        <f t="shared" si="5"/>
        <v>1</v>
      </c>
    </row>
    <row r="46" spans="1:29">
      <c r="A46" s="416" t="s">
        <v>1844</v>
      </c>
      <c r="B46" s="1830" t="s">
        <v>1879</v>
      </c>
      <c r="C46" s="602" t="s">
        <v>0</v>
      </c>
      <c r="D46" s="418"/>
      <c r="E46" s="419"/>
      <c r="F46" s="420"/>
      <c r="G46" s="421"/>
      <c r="H46" s="422"/>
      <c r="I46" s="419"/>
      <c r="J46" s="422"/>
      <c r="K46" s="674"/>
      <c r="L46" s="2493"/>
      <c r="M46" s="2486"/>
      <c r="N46" s="2486"/>
      <c r="O46" s="2486"/>
      <c r="P46" s="3415" t="str">
        <f>A46</f>
        <v>成交单价</v>
      </c>
      <c r="Q46" s="3415"/>
      <c r="R46" s="3403">
        <f>E46</f>
        <v>0</v>
      </c>
      <c r="S46" s="3403"/>
      <c r="T46" s="3403">
        <f>G46</f>
        <v>0</v>
      </c>
      <c r="U46" s="3403"/>
      <c r="V46" s="3403">
        <f>I46</f>
        <v>0</v>
      </c>
      <c r="W46" s="3403"/>
      <c r="X46" s="385"/>
      <c r="Y46" s="673"/>
      <c r="Z46" s="385"/>
      <c r="AA46" s="385"/>
      <c r="AB46" s="385"/>
      <c r="AC46" s="385"/>
    </row>
    <row r="47" spans="1:29" ht="14.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415" t="str">
        <f>A47</f>
        <v>比较价值（元/平方米）</v>
      </c>
      <c r="Q47" s="3415"/>
      <c r="R47" s="3456" t="e">
        <f>ROUND(PRODUCT(R46,AA7:AA45),0)</f>
        <v>#DIV/0!</v>
      </c>
      <c r="S47" s="3456"/>
      <c r="T47" s="3456" t="e">
        <f>ROUND(PRODUCT(T46,AB7:AB45),0)</f>
        <v>#DIV/0!</v>
      </c>
      <c r="U47" s="3456"/>
      <c r="V47" s="3456" t="e">
        <f>ROUND(PRODUCT(V46,AC7:AC45),0)</f>
        <v>#DIV/0!</v>
      </c>
      <c r="W47" s="3456"/>
      <c r="X47" s="385"/>
      <c r="Y47" s="385"/>
      <c r="Z47" s="385"/>
      <c r="AA47" s="385"/>
      <c r="AB47" s="385"/>
      <c r="AC47" s="385"/>
    </row>
    <row r="48" spans="1:29" ht="14.5" thickBot="1">
      <c r="A48" s="427" t="s">
        <v>1880</v>
      </c>
      <c r="B48" s="428"/>
      <c r="C48" s="429" t="e">
        <f>R48</f>
        <v>#DIV/0!</v>
      </c>
      <c r="D48" s="429"/>
      <c r="E48" s="429"/>
      <c r="F48" s="429"/>
      <c r="G48" s="429"/>
      <c r="H48" s="429"/>
      <c r="I48" s="429"/>
      <c r="J48" s="429"/>
      <c r="K48" s="675"/>
      <c r="L48" s="2493"/>
      <c r="M48" s="2486"/>
      <c r="N48" s="2486"/>
      <c r="O48" s="2486"/>
      <c r="P48" s="3451" t="str">
        <f>A48</f>
        <v>估价对象XX用房的比较价值（楼面单价，元/平方米）</v>
      </c>
      <c r="Q48" s="3452"/>
      <c r="R48" s="3457" t="e">
        <f>ROUND(IF(D47="简单平均",AVERAGE(R47:W47),R47*F47+T47*H47+V47*J47),0)</f>
        <v>#DIV/0!</v>
      </c>
      <c r="S48" s="3457"/>
      <c r="T48" s="3457"/>
      <c r="U48" s="3457"/>
      <c r="V48" s="3457"/>
      <c r="W48" s="3457"/>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5"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90" t="s">
        <v>1887</v>
      </c>
      <c r="H55" s="3458"/>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55.89</v>
      </c>
      <c r="F56" s="833" t="e">
        <f t="shared" ref="F56:F64" si="15">ROUND(B56*E56/10000,0)</f>
        <v>#DIV/0!</v>
      </c>
      <c r="G56" s="3386"/>
      <c r="H56" s="3415"/>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SUMIF(修正!A59:A70,H57,修正!B59:B70)</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SUMIF(修正!A59:A70,H58,修正!C59:C70)</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SUMIF(修正!A59:A70,H59,修正!D59:D70)</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四级</v>
      </c>
      <c r="I60" s="838">
        <f>SUMIF(修正!A59:A70,H60,修正!E59:E70)</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四级</v>
      </c>
      <c r="I61" s="838">
        <f>SUMIF(修正!A59:A70,H61,修正!F59:F70)</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SUMIF(修正!A59:A70,H62,修正!G59:G70)</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SUMIF(修正!A59:A70,H63,修正!G59:G70)</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5" thickBot="1">
      <c r="A64" s="613" t="s">
        <v>1902</v>
      </c>
      <c r="B64" s="210" t="e">
        <f t="shared" si="17"/>
        <v>#DIV/0!</v>
      </c>
      <c r="C64" s="163">
        <f t="shared" si="16"/>
        <v>0.15</v>
      </c>
      <c r="D64" s="891">
        <v>0.25</v>
      </c>
      <c r="E64" s="209">
        <f>'数据-汇总表'!E15</f>
        <v>0</v>
      </c>
      <c r="F64" s="833" t="e">
        <f t="shared" si="15"/>
        <v>#DIV/0!</v>
      </c>
      <c r="G64" s="1836" t="s">
        <v>1896</v>
      </c>
      <c r="H64" s="844" t="str">
        <f>项目基本情况!C37</f>
        <v>四级</v>
      </c>
      <c r="I64" s="840">
        <f>SUMIF(修正!A59:A70,H64,修正!G59:G70)</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55.89</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2025-10-1</v>
      </c>
      <c r="D67" s="656">
        <f>EDATE(C67,-3)</f>
        <v>45839</v>
      </c>
      <c r="E67" s="656">
        <f>EDATE(D67,-3)</f>
        <v>45748</v>
      </c>
      <c r="F67" s="656">
        <f t="shared" ref="F67:O67" si="18">EDATE(E67,-3)</f>
        <v>45658</v>
      </c>
      <c r="G67" s="656">
        <f t="shared" si="18"/>
        <v>45566</v>
      </c>
      <c r="H67" s="656">
        <f t="shared" si="18"/>
        <v>45474</v>
      </c>
      <c r="I67" s="656">
        <f t="shared" si="18"/>
        <v>45383</v>
      </c>
      <c r="J67" s="656">
        <f t="shared" si="18"/>
        <v>45292</v>
      </c>
      <c r="K67" s="656">
        <f t="shared" si="18"/>
        <v>45200</v>
      </c>
      <c r="L67" s="656">
        <f t="shared" si="18"/>
        <v>45108</v>
      </c>
      <c r="M67" s="656">
        <f t="shared" si="18"/>
        <v>45017</v>
      </c>
      <c r="N67" s="656">
        <f t="shared" si="18"/>
        <v>44927</v>
      </c>
      <c r="O67" s="656">
        <f t="shared" si="18"/>
        <v>44835</v>
      </c>
      <c r="P67" s="2486"/>
      <c r="Q67" s="2486"/>
      <c r="R67" s="2486"/>
      <c r="S67" s="2486"/>
      <c r="T67" s="2486"/>
      <c r="U67" s="2486"/>
      <c r="V67" s="2486"/>
      <c r="W67" s="2486"/>
      <c r="X67" s="2486"/>
      <c r="Y67" s="2486"/>
      <c r="Z67" s="2486"/>
      <c r="AA67" s="2486"/>
      <c r="AB67" s="2486"/>
      <c r="AC67" s="2486"/>
    </row>
    <row r="68" spans="1:29" ht="21.5"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c r="A69" s="1630" t="s">
        <v>1904</v>
      </c>
      <c r="B69" s="1046"/>
      <c r="C69" s="1101" t="str">
        <f>YEAR(C67)&amp;"-"&amp;ROUNDUP(MONTH(C67)/3,0)</f>
        <v>2025-4</v>
      </c>
      <c r="D69" s="1101" t="str">
        <f>YEAR(D67)&amp;"-"&amp;ROUNDUP(MONTH(D67)/3,0)</f>
        <v>2025-3</v>
      </c>
      <c r="E69" s="1101" t="str">
        <f t="shared" ref="E69:O69" si="19">YEAR(E67)&amp;"-"&amp;ROUNDUP(MONTH(E67)/3,0)</f>
        <v>2025-2</v>
      </c>
      <c r="F69" s="1101" t="str">
        <f t="shared" si="19"/>
        <v>2025-1</v>
      </c>
      <c r="G69" s="1101" t="str">
        <f t="shared" si="19"/>
        <v>2024-4</v>
      </c>
      <c r="H69" s="1101" t="str">
        <f t="shared" si="19"/>
        <v>2024-3</v>
      </c>
      <c r="I69" s="1101" t="str">
        <f t="shared" si="19"/>
        <v>2024-2</v>
      </c>
      <c r="J69" s="1101" t="str">
        <f t="shared" si="19"/>
        <v>2024-1</v>
      </c>
      <c r="K69" s="1101" t="str">
        <f t="shared" si="19"/>
        <v>2023-4</v>
      </c>
      <c r="L69" s="1101" t="str">
        <f t="shared" si="19"/>
        <v>2023-3</v>
      </c>
      <c r="M69" s="1101" t="str">
        <f t="shared" si="19"/>
        <v>2023-2</v>
      </c>
      <c r="N69" s="1101" t="str">
        <f t="shared" si="19"/>
        <v>2023-1</v>
      </c>
      <c r="O69" s="1101" t="str">
        <f t="shared" si="19"/>
        <v>2022-4</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4.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5"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5"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8.5"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5"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4.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5"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5"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5"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5"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5"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5"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5"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5"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4.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5"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4.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5"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4.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5"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8.5"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5"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8.5"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5"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4.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5"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4.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5"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4.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5"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8.5"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5"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4.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5"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5"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5"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5"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5"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5"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5"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5"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4.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5"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4.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5"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4.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5"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4.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5"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5"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5"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5"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5"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5"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5"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4"/>
  <cols>
    <col min="1" max="1" width="14.36328125" style="347" customWidth="1"/>
    <col min="2" max="2" width="15.7265625" style="347" customWidth="1"/>
    <col min="3" max="3" width="14.36328125" style="347" customWidth="1"/>
    <col min="4" max="4" width="12.26953125" style="347" customWidth="1"/>
    <col min="5" max="5" width="14.36328125" style="347" customWidth="1"/>
    <col min="6" max="6" width="12.26953125" style="347" customWidth="1"/>
    <col min="7" max="7" width="14.453125" style="347" customWidth="1"/>
    <col min="8" max="8" width="12.26953125" style="347" customWidth="1"/>
    <col min="9" max="9" width="14.453125" style="347" customWidth="1"/>
    <col min="10" max="10" width="12.26953125" style="347" customWidth="1"/>
    <col min="11" max="11" width="12.26953125" style="430" customWidth="1"/>
    <col min="12" max="12" width="12.26953125" style="431" customWidth="1"/>
    <col min="13" max="15" width="12.26953125" style="347" customWidth="1"/>
    <col min="16" max="16" width="4.7265625" style="347" customWidth="1"/>
    <col min="17" max="17" width="19.453125" style="347" customWidth="1"/>
    <col min="18" max="22" width="6.08984375" style="347" customWidth="1"/>
    <col min="23" max="23" width="5.7265625" style="347" customWidth="1"/>
    <col min="24" max="24" width="4.26953125" style="347" customWidth="1"/>
    <col min="25" max="25" width="3.453125" style="347" customWidth="1"/>
    <col min="26" max="26" width="19.7265625" style="347" customWidth="1"/>
    <col min="27" max="28" width="9.36328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c r="A4" s="345" t="s">
        <v>1769</v>
      </c>
      <c r="B4" s="346"/>
      <c r="C4" s="3390" t="s">
        <v>1770</v>
      </c>
      <c r="D4" s="3391"/>
      <c r="E4" s="3392" t="s">
        <v>1771</v>
      </c>
      <c r="F4" s="3393"/>
      <c r="G4" s="3390" t="s">
        <v>1772</v>
      </c>
      <c r="H4" s="3391"/>
      <c r="I4" s="3390" t="s">
        <v>1773</v>
      </c>
      <c r="J4" s="3391"/>
      <c r="K4" s="537" t="s">
        <v>1774</v>
      </c>
      <c r="L4" s="2485"/>
      <c r="M4" s="2486"/>
      <c r="N4" s="2486"/>
      <c r="O4" s="2486"/>
      <c r="P4" s="3447" t="s">
        <v>1775</v>
      </c>
      <c r="Q4" s="3448"/>
      <c r="R4" s="3441" t="s">
        <v>1771</v>
      </c>
      <c r="S4" s="3442"/>
      <c r="T4" s="3441" t="s">
        <v>1772</v>
      </c>
      <c r="U4" s="3442"/>
      <c r="V4" s="3403" t="s">
        <v>1773</v>
      </c>
      <c r="W4" s="3403"/>
      <c r="X4" s="1265"/>
      <c r="Y4" s="3441" t="s">
        <v>1775</v>
      </c>
      <c r="Z4" s="3442"/>
      <c r="AA4" s="3440" t="s">
        <v>1771</v>
      </c>
      <c r="AB4" s="3372" t="s">
        <v>1772</v>
      </c>
      <c r="AC4" s="3440" t="s">
        <v>1773</v>
      </c>
    </row>
    <row r="5" spans="1:29">
      <c r="A5" s="348"/>
      <c r="B5" s="349"/>
      <c r="C5" s="3445" t="s">
        <v>1673</v>
      </c>
      <c r="D5" s="3446"/>
      <c r="E5" s="3443" t="s">
        <v>1674</v>
      </c>
      <c r="F5" s="3444"/>
      <c r="G5" s="3445" t="s">
        <v>1675</v>
      </c>
      <c r="H5" s="3446"/>
      <c r="I5" s="3445" t="s">
        <v>1676</v>
      </c>
      <c r="J5" s="3446"/>
      <c r="K5" s="537"/>
      <c r="L5" s="2485"/>
      <c r="M5" s="2486"/>
      <c r="N5" s="2486"/>
      <c r="O5" s="2486"/>
      <c r="P5" s="3449"/>
      <c r="Q5" s="3397"/>
      <c r="R5" s="3378"/>
      <c r="S5" s="3379"/>
      <c r="T5" s="3378"/>
      <c r="U5" s="3379"/>
      <c r="V5" s="3403"/>
      <c r="W5" s="3403"/>
      <c r="X5" s="1265"/>
      <c r="Y5" s="3378"/>
      <c r="Z5" s="3379"/>
      <c r="AA5" s="3372"/>
      <c r="AB5" s="3372"/>
      <c r="AC5" s="3372"/>
    </row>
    <row r="6" spans="1:29" ht="15" thickBot="1">
      <c r="A6" s="350"/>
      <c r="B6" s="351"/>
      <c r="C6" s="3459" t="s">
        <v>1919</v>
      </c>
      <c r="D6" s="3460"/>
      <c r="E6" s="3461" t="s">
        <v>1919</v>
      </c>
      <c r="F6" s="3462"/>
      <c r="G6" s="3459" t="s">
        <v>1919</v>
      </c>
      <c r="H6" s="3460"/>
      <c r="I6" s="3459" t="s">
        <v>1919</v>
      </c>
      <c r="J6" s="3460"/>
      <c r="K6" s="537" t="s">
        <v>1678</v>
      </c>
      <c r="L6" s="2485"/>
      <c r="M6" s="2486"/>
      <c r="N6" s="2486"/>
      <c r="O6" s="2486"/>
      <c r="P6" s="3450"/>
      <c r="Q6" s="3399"/>
      <c r="R6" s="3378"/>
      <c r="S6" s="3379"/>
      <c r="T6" s="3400"/>
      <c r="U6" s="3401"/>
      <c r="V6" s="3403"/>
      <c r="W6" s="3403"/>
      <c r="X6" s="1265"/>
      <c r="Y6" s="3400"/>
      <c r="Z6" s="3401"/>
      <c r="AA6" s="3373"/>
      <c r="AB6" s="3373"/>
      <c r="AC6" s="3373"/>
    </row>
    <row r="7" spans="1:29" s="102" customFormat="1" ht="14.5" thickBot="1">
      <c r="A7" s="352" t="s">
        <v>1679</v>
      </c>
      <c r="B7" s="353"/>
      <c r="C7" s="354">
        <f>'数据-取费表'!B2</f>
        <v>45950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74" t="s">
        <v>1680</v>
      </c>
      <c r="Q7" s="3405"/>
      <c r="R7" s="664" t="s">
        <v>14</v>
      </c>
      <c r="S7" s="665">
        <f t="shared" ref="S7:S15" si="0">F7</f>
        <v>0</v>
      </c>
      <c r="T7" s="664" t="s">
        <v>14</v>
      </c>
      <c r="U7" s="665">
        <f t="shared" ref="U7:U15" si="1">H7</f>
        <v>0</v>
      </c>
      <c r="V7" s="664" t="s">
        <v>14</v>
      </c>
      <c r="W7" s="665">
        <f t="shared" ref="W7:W15" si="2">J7</f>
        <v>0</v>
      </c>
      <c r="X7" s="666"/>
      <c r="Y7" s="3374" t="s">
        <v>1680</v>
      </c>
      <c r="Z7" s="3375"/>
      <c r="AA7" s="50" t="e">
        <f>D7/F7</f>
        <v>#DIV/0!</v>
      </c>
      <c r="AB7" s="50" t="e">
        <f>D7/H7</f>
        <v>#DIV/0!</v>
      </c>
      <c r="AC7" s="50" t="e">
        <f>D7/J7</f>
        <v>#DIV/0!</v>
      </c>
    </row>
    <row r="8" spans="1:29" s="102" customFormat="1" ht="14.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74" t="s">
        <v>1683</v>
      </c>
      <c r="Q8" s="3375"/>
      <c r="R8" s="664" t="s">
        <v>14</v>
      </c>
      <c r="S8" s="665">
        <f t="shared" si="0"/>
        <v>0</v>
      </c>
      <c r="T8" s="664" t="s">
        <v>14</v>
      </c>
      <c r="U8" s="665">
        <f t="shared" si="1"/>
        <v>0</v>
      </c>
      <c r="V8" s="664" t="s">
        <v>14</v>
      </c>
      <c r="W8" s="665">
        <f t="shared" si="2"/>
        <v>0</v>
      </c>
      <c r="X8" s="666"/>
      <c r="Y8" s="3374" t="s">
        <v>1683</v>
      </c>
      <c r="Z8" s="3375"/>
      <c r="AA8" s="50" t="e">
        <f t="shared" ref="AA8:AA40" si="3">D8/F8</f>
        <v>#DIV/0!</v>
      </c>
      <c r="AB8" s="50" t="e">
        <f t="shared" ref="AB8:AB40" si="4">D8/H8</f>
        <v>#DIV/0!</v>
      </c>
      <c r="AC8" s="50" t="e">
        <f t="shared" ref="AC8:AC40" si="5">D8/J8</f>
        <v>#DIV/0!</v>
      </c>
    </row>
    <row r="9" spans="1:29" s="102" customFormat="1">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415" t="s">
        <v>1686</v>
      </c>
      <c r="Q9" s="530" t="str">
        <f t="shared" ref="Q9:Q15" si="6">B9</f>
        <v>用途</v>
      </c>
      <c r="R9" s="664" t="s">
        <v>14</v>
      </c>
      <c r="S9" s="665">
        <f t="shared" si="0"/>
        <v>100</v>
      </c>
      <c r="T9" s="664" t="s">
        <v>14</v>
      </c>
      <c r="U9" s="665">
        <f t="shared" si="1"/>
        <v>100</v>
      </c>
      <c r="V9" s="664" t="s">
        <v>14</v>
      </c>
      <c r="W9" s="665">
        <f t="shared" si="2"/>
        <v>100</v>
      </c>
      <c r="X9" s="666"/>
      <c r="Y9" s="3339" t="s">
        <v>1687</v>
      </c>
      <c r="Z9" s="50" t="str">
        <f t="shared" ref="Z9:Z15" si="7">Q9</f>
        <v>用途</v>
      </c>
      <c r="AA9" s="50">
        <f t="shared" si="3"/>
        <v>1</v>
      </c>
      <c r="AB9" s="50">
        <f t="shared" si="4"/>
        <v>1</v>
      </c>
      <c r="AC9" s="50">
        <f t="shared" si="5"/>
        <v>1</v>
      </c>
    </row>
    <row r="10" spans="1:29" s="366" customFormat="1" ht="28">
      <c r="A10" s="363"/>
      <c r="B10" s="364" t="s">
        <v>1688</v>
      </c>
      <c r="C10" s="371"/>
      <c r="D10" s="119">
        <v>100</v>
      </c>
      <c r="E10" s="371"/>
      <c r="F10" s="119">
        <f>ROUND(100/'数据-取费表'!G16,0)</f>
        <v>121</v>
      </c>
      <c r="G10" s="371"/>
      <c r="H10" s="119">
        <f>ROUND(100/'数据-取费表'!G16,0)</f>
        <v>121</v>
      </c>
      <c r="I10" s="371"/>
      <c r="J10" s="119">
        <f>ROUND(100/'数据-取费表'!G16,0)</f>
        <v>121</v>
      </c>
      <c r="K10" s="592"/>
      <c r="L10" s="2488"/>
      <c r="M10" s="2489"/>
      <c r="N10" s="2489"/>
      <c r="O10" s="2540"/>
      <c r="P10" s="3415"/>
      <c r="Q10" s="530" t="str">
        <f t="shared" si="6"/>
        <v>土地使用年限（年）</v>
      </c>
      <c r="R10" s="664" t="s">
        <v>14</v>
      </c>
      <c r="S10" s="665">
        <f t="shared" si="0"/>
        <v>121</v>
      </c>
      <c r="T10" s="664" t="s">
        <v>14</v>
      </c>
      <c r="U10" s="665">
        <f t="shared" si="1"/>
        <v>121</v>
      </c>
      <c r="V10" s="664" t="s">
        <v>14</v>
      </c>
      <c r="W10" s="665">
        <f t="shared" si="2"/>
        <v>121</v>
      </c>
      <c r="X10" s="666"/>
      <c r="Y10" s="3339"/>
      <c r="Z10" s="50" t="str">
        <f t="shared" si="7"/>
        <v>土地使用年限（年）</v>
      </c>
      <c r="AA10" s="50">
        <f t="shared" si="3"/>
        <v>0.82644628099173556</v>
      </c>
      <c r="AB10" s="50">
        <f t="shared" si="4"/>
        <v>0.82644628099173556</v>
      </c>
      <c r="AC10" s="50">
        <f t="shared" si="5"/>
        <v>0.82644628099173556</v>
      </c>
    </row>
    <row r="11" spans="1:29" ht="15.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415"/>
      <c r="Q11" s="530" t="str">
        <f t="shared" si="6"/>
        <v>容积率</v>
      </c>
      <c r="R11" s="664" t="s">
        <v>14</v>
      </c>
      <c r="S11" s="665" t="e">
        <f t="shared" si="0"/>
        <v>#N/A</v>
      </c>
      <c r="T11" s="664" t="s">
        <v>14</v>
      </c>
      <c r="U11" s="665" t="e">
        <f t="shared" si="1"/>
        <v>#N/A</v>
      </c>
      <c r="V11" s="664" t="s">
        <v>14</v>
      </c>
      <c r="W11" s="665" t="e">
        <f t="shared" si="2"/>
        <v>#N/A</v>
      </c>
      <c r="X11" s="666"/>
      <c r="Y11" s="3339"/>
      <c r="Z11" s="50" t="str">
        <f t="shared" si="7"/>
        <v>容积率</v>
      </c>
      <c r="AA11" s="50" t="e">
        <f t="shared" si="3"/>
        <v>#N/A</v>
      </c>
      <c r="AB11" s="50" t="e">
        <f t="shared" si="4"/>
        <v>#N/A</v>
      </c>
      <c r="AC11" s="50" t="e">
        <f t="shared" si="5"/>
        <v>#N/A</v>
      </c>
    </row>
    <row r="12" spans="1:29" s="102" customFormat="1" ht="15.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415"/>
      <c r="Q12" s="530">
        <f t="shared" si="6"/>
        <v>111</v>
      </c>
      <c r="R12" s="664" t="s">
        <v>14</v>
      </c>
      <c r="S12" s="665">
        <f t="shared" si="0"/>
        <v>100</v>
      </c>
      <c r="T12" s="664" t="s">
        <v>14</v>
      </c>
      <c r="U12" s="665">
        <f t="shared" si="1"/>
        <v>100</v>
      </c>
      <c r="V12" s="664" t="s">
        <v>14</v>
      </c>
      <c r="W12" s="665">
        <f t="shared" si="2"/>
        <v>100</v>
      </c>
      <c r="X12" s="666"/>
      <c r="Y12" s="3339"/>
      <c r="Z12" s="50">
        <f t="shared" si="7"/>
        <v>111</v>
      </c>
      <c r="AA12" s="50">
        <f>D12/F12</f>
        <v>1</v>
      </c>
      <c r="AB12" s="50">
        <f>D12/H12</f>
        <v>1</v>
      </c>
      <c r="AC12" s="50">
        <f>D12/J12</f>
        <v>1</v>
      </c>
    </row>
    <row r="13" spans="1:29" ht="15.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415"/>
      <c r="Q13" s="530">
        <f t="shared" si="6"/>
        <v>111</v>
      </c>
      <c r="R13" s="664" t="s">
        <v>14</v>
      </c>
      <c r="S13" s="665">
        <f t="shared" si="0"/>
        <v>100</v>
      </c>
      <c r="T13" s="664" t="s">
        <v>14</v>
      </c>
      <c r="U13" s="665">
        <f t="shared" si="1"/>
        <v>100</v>
      </c>
      <c r="V13" s="664" t="s">
        <v>14</v>
      </c>
      <c r="W13" s="665">
        <f t="shared" si="2"/>
        <v>100</v>
      </c>
      <c r="X13" s="666"/>
      <c r="Y13" s="3339"/>
      <c r="Z13" s="50">
        <f t="shared" si="7"/>
        <v>111</v>
      </c>
      <c r="AA13" s="50">
        <f t="shared" si="3"/>
        <v>1</v>
      </c>
      <c r="AB13" s="50">
        <f t="shared" si="4"/>
        <v>1</v>
      </c>
      <c r="AC13" s="50">
        <f t="shared" si="5"/>
        <v>1</v>
      </c>
    </row>
    <row r="14" spans="1:29" ht="1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415"/>
      <c r="Q14" s="530">
        <f t="shared" si="6"/>
        <v>111</v>
      </c>
      <c r="R14" s="664" t="s">
        <v>14</v>
      </c>
      <c r="S14" s="665">
        <f t="shared" si="0"/>
        <v>100</v>
      </c>
      <c r="T14" s="664" t="s">
        <v>14</v>
      </c>
      <c r="U14" s="665">
        <f t="shared" si="1"/>
        <v>100</v>
      </c>
      <c r="V14" s="664" t="s">
        <v>14</v>
      </c>
      <c r="W14" s="665">
        <f t="shared" si="2"/>
        <v>100</v>
      </c>
      <c r="X14" s="666"/>
      <c r="Y14" s="3339"/>
      <c r="Z14" s="50">
        <f t="shared" si="7"/>
        <v>111</v>
      </c>
      <c r="AA14" s="50">
        <f t="shared" si="3"/>
        <v>1</v>
      </c>
      <c r="AB14" s="50">
        <f t="shared" si="4"/>
        <v>1</v>
      </c>
      <c r="AC14" s="50">
        <f t="shared" si="5"/>
        <v>1</v>
      </c>
    </row>
    <row r="15" spans="1:29" ht="70">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408" t="s">
        <v>1691</v>
      </c>
      <c r="Q15" s="1263" t="str">
        <f t="shared" si="6"/>
        <v>产业集聚程度</v>
      </c>
      <c r="R15" s="667" t="s">
        <v>14</v>
      </c>
      <c r="S15" s="668">
        <f t="shared" si="0"/>
        <v>100</v>
      </c>
      <c r="T15" s="667" t="s">
        <v>14</v>
      </c>
      <c r="U15" s="668">
        <f t="shared" si="1"/>
        <v>100</v>
      </c>
      <c r="V15" s="667" t="s">
        <v>14</v>
      </c>
      <c r="W15" s="668">
        <f t="shared" si="2"/>
        <v>100</v>
      </c>
      <c r="X15" s="1265"/>
      <c r="Y15" s="3408" t="s">
        <v>1691</v>
      </c>
      <c r="Z15" s="1264" t="str">
        <f t="shared" si="7"/>
        <v>产业集聚程度</v>
      </c>
      <c r="AA15" s="1264">
        <f t="shared" si="3"/>
        <v>1</v>
      </c>
      <c r="AB15" s="1264">
        <f t="shared" si="4"/>
        <v>1</v>
      </c>
      <c r="AC15" s="1264">
        <f t="shared" si="5"/>
        <v>1</v>
      </c>
    </row>
    <row r="16" spans="1:29" ht="15.5">
      <c r="A16" s="367"/>
      <c r="B16" s="555"/>
      <c r="C16" s="386"/>
      <c r="D16" s="387"/>
      <c r="E16" s="1758"/>
      <c r="F16" s="387"/>
      <c r="G16" s="1758"/>
      <c r="H16" s="389"/>
      <c r="I16" s="1758"/>
      <c r="J16" s="387"/>
      <c r="K16" s="592"/>
      <c r="L16" s="2491"/>
      <c r="M16" s="2486"/>
      <c r="N16" s="2486"/>
      <c r="O16" s="2541"/>
      <c r="P16" s="3409"/>
      <c r="Q16" s="1263"/>
      <c r="R16" s="667"/>
      <c r="S16" s="668"/>
      <c r="T16" s="667"/>
      <c r="U16" s="668"/>
      <c r="V16" s="667"/>
      <c r="W16" s="668"/>
      <c r="X16" s="1265"/>
      <c r="Y16" s="3409"/>
      <c r="Z16" s="1264"/>
      <c r="AA16" s="1264">
        <v>1</v>
      </c>
      <c r="AB16" s="1264">
        <v>1</v>
      </c>
      <c r="AC16" s="1264">
        <v>1</v>
      </c>
    </row>
    <row r="17" spans="1:29" ht="98">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409"/>
      <c r="Q17" s="1263" t="str">
        <f>B17</f>
        <v>交通便捷度</v>
      </c>
      <c r="R17" s="667" t="s">
        <v>14</v>
      </c>
      <c r="S17" s="668">
        <f>F17</f>
        <v>100</v>
      </c>
      <c r="T17" s="667" t="s">
        <v>14</v>
      </c>
      <c r="U17" s="668">
        <f>H17</f>
        <v>100</v>
      </c>
      <c r="V17" s="667" t="s">
        <v>14</v>
      </c>
      <c r="W17" s="668">
        <f>J17</f>
        <v>100</v>
      </c>
      <c r="X17" s="1265"/>
      <c r="Y17" s="3409"/>
      <c r="Z17" s="1264" t="str">
        <f>Q17</f>
        <v>交通便捷度</v>
      </c>
      <c r="AA17" s="1264">
        <f t="shared" si="3"/>
        <v>1</v>
      </c>
      <c r="AB17" s="1264">
        <f t="shared" si="4"/>
        <v>1</v>
      </c>
      <c r="AC17" s="1264">
        <f t="shared" si="5"/>
        <v>1</v>
      </c>
    </row>
    <row r="18" spans="1:29" ht="15.5">
      <c r="A18" s="367"/>
      <c r="B18" s="401"/>
      <c r="C18" s="386"/>
      <c r="D18" s="387"/>
      <c r="E18" s="1752"/>
      <c r="F18" s="387"/>
      <c r="G18" s="1752"/>
      <c r="H18" s="387"/>
      <c r="I18" s="1751"/>
      <c r="J18" s="387"/>
      <c r="K18" s="592"/>
      <c r="L18" s="2491"/>
      <c r="M18" s="2486"/>
      <c r="N18" s="2486"/>
      <c r="O18" s="2541"/>
      <c r="P18" s="3409"/>
      <c r="Q18" s="1263"/>
      <c r="R18" s="667"/>
      <c r="S18" s="668"/>
      <c r="T18" s="667"/>
      <c r="U18" s="668"/>
      <c r="V18" s="667"/>
      <c r="W18" s="668"/>
      <c r="X18" s="1265"/>
      <c r="Y18" s="3409"/>
      <c r="Z18" s="1264"/>
      <c r="AA18" s="1264">
        <v>1</v>
      </c>
      <c r="AB18" s="1264">
        <v>1</v>
      </c>
      <c r="AC18" s="1264">
        <v>1</v>
      </c>
    </row>
    <row r="19" spans="1:29" ht="2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409"/>
      <c r="Q19" s="1263" t="str">
        <f t="shared" ref="Q19:Q33" si="8">B19</f>
        <v>区域土地利用方向</v>
      </c>
      <c r="R19" s="667" t="s">
        <v>14</v>
      </c>
      <c r="S19" s="668">
        <f>F19</f>
        <v>100</v>
      </c>
      <c r="T19" s="667" t="s">
        <v>14</v>
      </c>
      <c r="U19" s="668">
        <f>H19</f>
        <v>100</v>
      </c>
      <c r="V19" s="667" t="s">
        <v>14</v>
      </c>
      <c r="W19" s="668">
        <f>J19</f>
        <v>100</v>
      </c>
      <c r="X19" s="1265"/>
      <c r="Y19" s="3409"/>
      <c r="Z19" s="1264" t="str">
        <f>Q19</f>
        <v>区域土地利用方向</v>
      </c>
      <c r="AA19" s="1264">
        <f t="shared" si="3"/>
        <v>1</v>
      </c>
      <c r="AB19" s="1264">
        <f t="shared" si="4"/>
        <v>1</v>
      </c>
      <c r="AC19" s="1264">
        <f t="shared" si="5"/>
        <v>1</v>
      </c>
    </row>
    <row r="20" spans="1:29" ht="15.5">
      <c r="A20" s="348"/>
      <c r="B20" s="401"/>
      <c r="C20" s="386"/>
      <c r="D20" s="387"/>
      <c r="E20" s="1752"/>
      <c r="F20" s="387"/>
      <c r="G20" s="1752"/>
      <c r="H20" s="387"/>
      <c r="I20" s="1752"/>
      <c r="J20" s="387"/>
      <c r="K20" s="698"/>
      <c r="L20" s="2491"/>
      <c r="M20" s="2486"/>
      <c r="N20" s="2486"/>
      <c r="O20" s="2541"/>
      <c r="P20" s="3409"/>
      <c r="Q20" s="1263"/>
      <c r="R20" s="667"/>
      <c r="S20" s="668"/>
      <c r="T20" s="667"/>
      <c r="U20" s="668"/>
      <c r="V20" s="667"/>
      <c r="W20" s="668"/>
      <c r="X20" s="1265"/>
      <c r="Y20" s="3409"/>
      <c r="Z20" s="1264"/>
      <c r="AA20" s="1264"/>
      <c r="AB20" s="1264"/>
      <c r="AC20" s="1264"/>
    </row>
    <row r="21" spans="1:29" ht="84">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409"/>
      <c r="Q21" s="1263" t="str">
        <f t="shared" si="8"/>
        <v>环境状况</v>
      </c>
      <c r="R21" s="667" t="s">
        <v>14</v>
      </c>
      <c r="S21" s="668">
        <f>F21</f>
        <v>100</v>
      </c>
      <c r="T21" s="667" t="s">
        <v>14</v>
      </c>
      <c r="U21" s="668">
        <f>H21</f>
        <v>100</v>
      </c>
      <c r="V21" s="667" t="s">
        <v>14</v>
      </c>
      <c r="W21" s="668">
        <f>J21</f>
        <v>100</v>
      </c>
      <c r="X21" s="1265"/>
      <c r="Y21" s="3409"/>
      <c r="Z21" s="1264" t="str">
        <f>Q21</f>
        <v>环境状况</v>
      </c>
      <c r="AA21" s="1264">
        <f t="shared" si="3"/>
        <v>1</v>
      </c>
      <c r="AB21" s="1264">
        <f t="shared" si="4"/>
        <v>1</v>
      </c>
      <c r="AC21" s="1264">
        <f t="shared" si="5"/>
        <v>1</v>
      </c>
    </row>
    <row r="22" spans="1:29" ht="15.5">
      <c r="A22" s="348"/>
      <c r="B22" s="401"/>
      <c r="C22" s="386"/>
      <c r="D22" s="387"/>
      <c r="E22" s="1758"/>
      <c r="F22" s="387"/>
      <c r="G22" s="1758"/>
      <c r="H22" s="387"/>
      <c r="I22" s="386"/>
      <c r="J22" s="387"/>
      <c r="K22" s="592"/>
      <c r="L22" s="2491"/>
      <c r="M22" s="2486"/>
      <c r="N22" s="2486"/>
      <c r="O22" s="2541"/>
      <c r="P22" s="3409"/>
      <c r="Q22" s="1263"/>
      <c r="R22" s="667"/>
      <c r="S22" s="668"/>
      <c r="T22" s="667"/>
      <c r="U22" s="668"/>
      <c r="V22" s="667"/>
      <c r="W22" s="668"/>
      <c r="X22" s="1265"/>
      <c r="Y22" s="3409"/>
      <c r="Z22" s="1264"/>
      <c r="AA22" s="1264">
        <v>1</v>
      </c>
      <c r="AB22" s="1264">
        <v>1</v>
      </c>
      <c r="AC22" s="1264">
        <v>1</v>
      </c>
    </row>
    <row r="23" spans="1:29" s="102" customFormat="1" ht="42">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409"/>
      <c r="Q23" s="530" t="str">
        <f t="shared" si="8"/>
        <v>公共配套设施</v>
      </c>
      <c r="R23" s="664" t="s">
        <v>14</v>
      </c>
      <c r="S23" s="665">
        <f>F23</f>
        <v>100</v>
      </c>
      <c r="T23" s="664" t="s">
        <v>14</v>
      </c>
      <c r="U23" s="665">
        <f>H23</f>
        <v>100</v>
      </c>
      <c r="V23" s="664" t="s">
        <v>14</v>
      </c>
      <c r="W23" s="665">
        <f>J23</f>
        <v>100</v>
      </c>
      <c r="X23" s="666"/>
      <c r="Y23" s="3409"/>
      <c r="Z23" s="50" t="str">
        <f>Q23</f>
        <v>公共配套设施</v>
      </c>
      <c r="AA23" s="1264">
        <f>D23/F23</f>
        <v>1</v>
      </c>
      <c r="AB23" s="1264">
        <f>D23/H23</f>
        <v>1</v>
      </c>
      <c r="AC23" s="1264">
        <f>D23/J23</f>
        <v>1</v>
      </c>
    </row>
    <row r="24" spans="1:29" s="102" customFormat="1" ht="15.5">
      <c r="A24" s="443"/>
      <c r="B24" s="401"/>
      <c r="C24" s="1826"/>
      <c r="D24" s="387"/>
      <c r="E24" s="1758"/>
      <c r="F24" s="387"/>
      <c r="G24" s="1758"/>
      <c r="H24" s="387"/>
      <c r="I24" s="386"/>
      <c r="J24" s="387"/>
      <c r="K24" s="592"/>
      <c r="L24" s="2487"/>
      <c r="M24" s="2439"/>
      <c r="N24" s="2439"/>
      <c r="O24" s="2539"/>
      <c r="P24" s="3409"/>
      <c r="Q24" s="530"/>
      <c r="R24" s="664"/>
      <c r="S24" s="665"/>
      <c r="T24" s="664"/>
      <c r="U24" s="665"/>
      <c r="V24" s="664"/>
      <c r="W24" s="665"/>
      <c r="X24" s="666"/>
      <c r="Y24" s="3409"/>
      <c r="Z24" s="50"/>
      <c r="AA24" s="50">
        <v>1</v>
      </c>
      <c r="AB24" s="50">
        <v>1</v>
      </c>
      <c r="AC24" s="50">
        <v>1</v>
      </c>
    </row>
    <row r="25" spans="1:29" s="102" customFormat="1" ht="42">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409"/>
      <c r="Q25" s="530" t="str">
        <f t="shared" ref="Q25" si="9">B25</f>
        <v>基础设施水平</v>
      </c>
      <c r="R25" s="664" t="s">
        <v>14</v>
      </c>
      <c r="S25" s="665">
        <f>F25</f>
        <v>100</v>
      </c>
      <c r="T25" s="664" t="s">
        <v>14</v>
      </c>
      <c r="U25" s="665">
        <f>H25</f>
        <v>100</v>
      </c>
      <c r="V25" s="664" t="s">
        <v>14</v>
      </c>
      <c r="W25" s="665">
        <f>J25</f>
        <v>100</v>
      </c>
      <c r="X25" s="666"/>
      <c r="Y25" s="3409"/>
      <c r="Z25" s="50" t="str">
        <f>Q25</f>
        <v>基础设施水平</v>
      </c>
      <c r="AA25" s="1264">
        <f>D25/F25</f>
        <v>1</v>
      </c>
      <c r="AB25" s="1264">
        <f>D25/H25</f>
        <v>1</v>
      </c>
      <c r="AC25" s="1264">
        <f>D25/J25</f>
        <v>1</v>
      </c>
    </row>
    <row r="26" spans="1:29" s="102" customFormat="1" ht="15.5">
      <c r="A26" s="443"/>
      <c r="B26" s="401"/>
      <c r="C26" s="1826"/>
      <c r="D26" s="387"/>
      <c r="E26" s="1827"/>
      <c r="F26" s="387"/>
      <c r="G26" s="1827"/>
      <c r="H26" s="387"/>
      <c r="I26" s="1827"/>
      <c r="J26" s="387"/>
      <c r="K26" s="592"/>
      <c r="L26" s="2487"/>
      <c r="M26" s="2439"/>
      <c r="N26" s="2439"/>
      <c r="O26" s="2539"/>
      <c r="P26" s="3409"/>
      <c r="Q26" s="530"/>
      <c r="R26" s="664"/>
      <c r="S26" s="665"/>
      <c r="T26" s="664"/>
      <c r="U26" s="665"/>
      <c r="V26" s="664"/>
      <c r="W26" s="665"/>
      <c r="X26" s="666"/>
      <c r="Y26" s="3409"/>
      <c r="Z26" s="50"/>
      <c r="AA26" s="50">
        <v>1</v>
      </c>
      <c r="AB26" s="50">
        <v>1</v>
      </c>
      <c r="AC26" s="50">
        <v>1</v>
      </c>
    </row>
    <row r="27" spans="1:29" ht="15.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409"/>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409"/>
      <c r="Z27" s="1264" t="str">
        <f t="shared" ref="Z27:Z40" si="13">Q27</f>
        <v>临街状况</v>
      </c>
      <c r="AA27" s="1264">
        <f t="shared" si="3"/>
        <v>1</v>
      </c>
      <c r="AB27" s="1264">
        <f t="shared" si="4"/>
        <v>1</v>
      </c>
      <c r="AC27" s="1264">
        <f t="shared" si="5"/>
        <v>1</v>
      </c>
    </row>
    <row r="28" spans="1:29" ht="2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409"/>
      <c r="Q28" s="1263" t="str">
        <f t="shared" si="8"/>
        <v>毗邻道路的类型与等级</v>
      </c>
      <c r="R28" s="667" t="s">
        <v>14</v>
      </c>
      <c r="S28" s="668">
        <f t="shared" si="10"/>
        <v>100</v>
      </c>
      <c r="T28" s="667" t="s">
        <v>14</v>
      </c>
      <c r="U28" s="668">
        <f t="shared" si="11"/>
        <v>100</v>
      </c>
      <c r="V28" s="667" t="s">
        <v>14</v>
      </c>
      <c r="W28" s="668">
        <f t="shared" si="12"/>
        <v>100</v>
      </c>
      <c r="X28" s="1265"/>
      <c r="Y28" s="3409"/>
      <c r="Z28" s="1264" t="str">
        <f t="shared" si="13"/>
        <v>毗邻道路的类型与等级</v>
      </c>
      <c r="AA28" s="1264">
        <f t="shared" si="3"/>
        <v>1</v>
      </c>
      <c r="AB28" s="1264">
        <f t="shared" si="4"/>
        <v>1</v>
      </c>
      <c r="AC28" s="1264">
        <f t="shared" si="5"/>
        <v>1</v>
      </c>
    </row>
    <row r="29" spans="1:29" ht="15.5">
      <c r="A29" s="367"/>
      <c r="B29" s="401"/>
      <c r="C29" s="386"/>
      <c r="D29" s="387"/>
      <c r="E29" s="1758"/>
      <c r="F29" s="387"/>
      <c r="G29" s="1758"/>
      <c r="H29" s="387"/>
      <c r="I29" s="1758"/>
      <c r="J29" s="387"/>
      <c r="K29" s="539"/>
      <c r="L29" s="2491"/>
      <c r="M29" s="2486"/>
      <c r="N29" s="2486"/>
      <c r="O29" s="2541"/>
      <c r="P29" s="3409"/>
      <c r="Q29" s="1263"/>
      <c r="R29" s="667"/>
      <c r="S29" s="668"/>
      <c r="T29" s="667"/>
      <c r="U29" s="668"/>
      <c r="V29" s="667"/>
      <c r="W29" s="668"/>
      <c r="X29" s="1265"/>
      <c r="Y29" s="3409"/>
      <c r="Z29" s="1264"/>
      <c r="AA29" s="1264">
        <v>1</v>
      </c>
      <c r="AB29" s="1264">
        <v>1</v>
      </c>
      <c r="AC29" s="1264">
        <v>1</v>
      </c>
    </row>
    <row r="30" spans="1:29" ht="15.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409"/>
      <c r="Q30" s="1263" t="str">
        <f t="shared" si="8"/>
        <v>土地级别</v>
      </c>
      <c r="R30" s="667" t="s">
        <v>14</v>
      </c>
      <c r="S30" s="668">
        <f t="shared" si="10"/>
        <v>100</v>
      </c>
      <c r="T30" s="667" t="s">
        <v>14</v>
      </c>
      <c r="U30" s="668">
        <f t="shared" si="11"/>
        <v>100</v>
      </c>
      <c r="V30" s="667" t="s">
        <v>14</v>
      </c>
      <c r="W30" s="668">
        <f t="shared" si="12"/>
        <v>100</v>
      </c>
      <c r="X30" s="1265"/>
      <c r="Y30" s="3409"/>
      <c r="Z30" s="1264" t="str">
        <f t="shared" si="13"/>
        <v>土地级别</v>
      </c>
      <c r="AA30" s="1264">
        <f t="shared" si="3"/>
        <v>1</v>
      </c>
      <c r="AB30" s="1264">
        <f t="shared" si="4"/>
        <v>1</v>
      </c>
      <c r="AC30" s="1264">
        <f t="shared" si="5"/>
        <v>1</v>
      </c>
    </row>
    <row r="31" spans="1:29" ht="15.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409"/>
      <c r="Q31" s="1263">
        <f t="shared" si="8"/>
        <v>111</v>
      </c>
      <c r="R31" s="667" t="s">
        <v>14</v>
      </c>
      <c r="S31" s="668">
        <f t="shared" si="10"/>
        <v>100</v>
      </c>
      <c r="T31" s="667" t="s">
        <v>14</v>
      </c>
      <c r="U31" s="668">
        <f t="shared" si="11"/>
        <v>100</v>
      </c>
      <c r="V31" s="667" t="s">
        <v>14</v>
      </c>
      <c r="W31" s="668">
        <f t="shared" si="12"/>
        <v>100</v>
      </c>
      <c r="X31" s="1265"/>
      <c r="Y31" s="3409"/>
      <c r="Z31" s="1264">
        <f t="shared" si="13"/>
        <v>111</v>
      </c>
      <c r="AA31" s="1264">
        <f t="shared" si="3"/>
        <v>1</v>
      </c>
      <c r="AB31" s="1264">
        <f t="shared" si="4"/>
        <v>1</v>
      </c>
      <c r="AC31" s="1264">
        <f t="shared" si="5"/>
        <v>1</v>
      </c>
    </row>
    <row r="32" spans="1:29" ht="15.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54" t="s">
        <v>1696</v>
      </c>
      <c r="Q32" s="1263">
        <f t="shared" si="8"/>
        <v>111</v>
      </c>
      <c r="R32" s="667" t="s">
        <v>14</v>
      </c>
      <c r="S32" s="668">
        <f t="shared" si="10"/>
        <v>100</v>
      </c>
      <c r="T32" s="667" t="s">
        <v>14</v>
      </c>
      <c r="U32" s="668">
        <f t="shared" si="11"/>
        <v>100</v>
      </c>
      <c r="V32" s="667" t="s">
        <v>14</v>
      </c>
      <c r="W32" s="668">
        <f t="shared" si="12"/>
        <v>100</v>
      </c>
      <c r="X32" s="1265"/>
      <c r="Y32" s="3413" t="s">
        <v>1696</v>
      </c>
      <c r="Z32" s="1264">
        <f t="shared" si="13"/>
        <v>111</v>
      </c>
      <c r="AA32" s="1264">
        <f t="shared" si="3"/>
        <v>1</v>
      </c>
      <c r="AB32" s="1264">
        <f t="shared" si="4"/>
        <v>1</v>
      </c>
      <c r="AC32" s="1264">
        <f t="shared" si="5"/>
        <v>1</v>
      </c>
    </row>
    <row r="33" spans="1:31" s="408" customFormat="1" ht="1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413"/>
      <c r="Q33" s="1263">
        <f t="shared" si="8"/>
        <v>111</v>
      </c>
      <c r="R33" s="669" t="s">
        <v>14</v>
      </c>
      <c r="S33" s="670">
        <f t="shared" si="10"/>
        <v>100</v>
      </c>
      <c r="T33" s="669" t="s">
        <v>14</v>
      </c>
      <c r="U33" s="670">
        <f t="shared" si="11"/>
        <v>100</v>
      </c>
      <c r="V33" s="669" t="s">
        <v>14</v>
      </c>
      <c r="W33" s="670">
        <f t="shared" si="12"/>
        <v>100</v>
      </c>
      <c r="X33" s="671"/>
      <c r="Y33" s="3413"/>
      <c r="Z33" s="672">
        <f t="shared" si="13"/>
        <v>111</v>
      </c>
      <c r="AA33" s="1264">
        <f t="shared" si="3"/>
        <v>1</v>
      </c>
      <c r="AB33" s="1264">
        <f t="shared" si="4"/>
        <v>1</v>
      </c>
      <c r="AC33" s="1264">
        <f t="shared" si="5"/>
        <v>1</v>
      </c>
    </row>
    <row r="34" spans="1:31" ht="15.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413"/>
      <c r="Q34" s="1263" t="str">
        <f>B34</f>
        <v>宗地面积</v>
      </c>
      <c r="R34" s="667" t="s">
        <v>14</v>
      </c>
      <c r="S34" s="668" t="e">
        <f t="shared" si="10"/>
        <v>#N/A</v>
      </c>
      <c r="T34" s="667" t="s">
        <v>14</v>
      </c>
      <c r="U34" s="668" t="e">
        <f t="shared" si="11"/>
        <v>#N/A</v>
      </c>
      <c r="V34" s="667" t="s">
        <v>14</v>
      </c>
      <c r="W34" s="668" t="e">
        <f t="shared" si="12"/>
        <v>#N/A</v>
      </c>
      <c r="X34" s="1265"/>
      <c r="Y34" s="3413"/>
      <c r="Z34" s="1264" t="str">
        <f t="shared" si="13"/>
        <v>宗地面积</v>
      </c>
      <c r="AA34" s="1264" t="e">
        <f t="shared" si="3"/>
        <v>#N/A</v>
      </c>
      <c r="AB34" s="1264" t="e">
        <f t="shared" si="4"/>
        <v>#N/A</v>
      </c>
      <c r="AC34" s="1264" t="e">
        <f t="shared" si="5"/>
        <v>#N/A</v>
      </c>
    </row>
    <row r="35" spans="1:31" ht="15.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413"/>
      <c r="Q35" s="1263" t="str">
        <f t="shared" ref="Q35:Q40" si="14">B35</f>
        <v>宗地形状</v>
      </c>
      <c r="R35" s="667" t="s">
        <v>14</v>
      </c>
      <c r="S35" s="668">
        <f t="shared" si="10"/>
        <v>100</v>
      </c>
      <c r="T35" s="667" t="s">
        <v>14</v>
      </c>
      <c r="U35" s="668">
        <f t="shared" si="11"/>
        <v>100</v>
      </c>
      <c r="V35" s="667" t="s">
        <v>14</v>
      </c>
      <c r="W35" s="668">
        <f t="shared" si="12"/>
        <v>100</v>
      </c>
      <c r="X35" s="1265"/>
      <c r="Y35" s="3413"/>
      <c r="Z35" s="1264" t="str">
        <f t="shared" si="13"/>
        <v>宗地形状</v>
      </c>
      <c r="AA35" s="1264">
        <f t="shared" si="3"/>
        <v>1</v>
      </c>
      <c r="AB35" s="1264">
        <f t="shared" si="4"/>
        <v>1</v>
      </c>
      <c r="AC35" s="1264">
        <f t="shared" si="5"/>
        <v>1</v>
      </c>
    </row>
    <row r="36" spans="1:31" s="102" customFormat="1" ht="15.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413"/>
      <c r="Q36" s="1263" t="str">
        <f t="shared" si="14"/>
        <v>宗地开发程度</v>
      </c>
      <c r="R36" s="664" t="s">
        <v>14</v>
      </c>
      <c r="S36" s="665">
        <f t="shared" si="10"/>
        <v>100</v>
      </c>
      <c r="T36" s="664" t="s">
        <v>14</v>
      </c>
      <c r="U36" s="665">
        <f t="shared" si="11"/>
        <v>100</v>
      </c>
      <c r="V36" s="664" t="s">
        <v>14</v>
      </c>
      <c r="W36" s="665">
        <f t="shared" si="12"/>
        <v>100</v>
      </c>
      <c r="X36" s="666"/>
      <c r="Y36" s="3413"/>
      <c r="Z36" s="50" t="str">
        <f t="shared" si="13"/>
        <v>宗地开发程度</v>
      </c>
      <c r="AA36" s="50">
        <f t="shared" si="3"/>
        <v>1</v>
      </c>
      <c r="AB36" s="50">
        <f t="shared" si="4"/>
        <v>1</v>
      </c>
      <c r="AC36" s="50">
        <f t="shared" si="5"/>
        <v>1</v>
      </c>
    </row>
    <row r="37" spans="1:31" ht="15.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413" t="s">
        <v>1696</v>
      </c>
      <c r="Q37" s="1263" t="str">
        <f t="shared" si="14"/>
        <v>工程地质条件</v>
      </c>
      <c r="R37" s="667" t="s">
        <v>14</v>
      </c>
      <c r="S37" s="668">
        <f t="shared" si="10"/>
        <v>100</v>
      </c>
      <c r="T37" s="667" t="s">
        <v>14</v>
      </c>
      <c r="U37" s="668">
        <f t="shared" si="11"/>
        <v>100</v>
      </c>
      <c r="V37" s="667" t="s">
        <v>14</v>
      </c>
      <c r="W37" s="668">
        <f t="shared" si="12"/>
        <v>100</v>
      </c>
      <c r="X37" s="1265"/>
      <c r="Y37" s="3413" t="s">
        <v>1696</v>
      </c>
      <c r="Z37" s="1264" t="str">
        <f t="shared" si="13"/>
        <v>工程地质条件</v>
      </c>
      <c r="AA37" s="1264">
        <f t="shared" si="3"/>
        <v>1</v>
      </c>
      <c r="AB37" s="1264">
        <f t="shared" si="4"/>
        <v>1</v>
      </c>
      <c r="AC37" s="1264">
        <f t="shared" si="5"/>
        <v>1</v>
      </c>
    </row>
    <row r="38" spans="1:31" ht="15.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413"/>
      <c r="Q38" s="1263">
        <f t="shared" si="14"/>
        <v>111</v>
      </c>
      <c r="R38" s="667" t="s">
        <v>14</v>
      </c>
      <c r="S38" s="668">
        <f t="shared" si="10"/>
        <v>100</v>
      </c>
      <c r="T38" s="667" t="s">
        <v>14</v>
      </c>
      <c r="U38" s="668">
        <f t="shared" si="11"/>
        <v>100</v>
      </c>
      <c r="V38" s="667" t="s">
        <v>14</v>
      </c>
      <c r="W38" s="668">
        <f t="shared" si="12"/>
        <v>100</v>
      </c>
      <c r="X38" s="1265"/>
      <c r="Y38" s="3413"/>
      <c r="Z38" s="1264">
        <f t="shared" si="13"/>
        <v>111</v>
      </c>
      <c r="AA38" s="1264">
        <f t="shared" si="3"/>
        <v>1</v>
      </c>
      <c r="AB38" s="1264">
        <f t="shared" si="4"/>
        <v>1</v>
      </c>
      <c r="AC38" s="1264">
        <f t="shared" si="5"/>
        <v>1</v>
      </c>
    </row>
    <row r="39" spans="1:31" ht="15.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413"/>
      <c r="Q39" s="1263">
        <f t="shared" si="14"/>
        <v>111</v>
      </c>
      <c r="R39" s="667" t="s">
        <v>14</v>
      </c>
      <c r="S39" s="668">
        <f t="shared" si="10"/>
        <v>100</v>
      </c>
      <c r="T39" s="667" t="s">
        <v>14</v>
      </c>
      <c r="U39" s="668">
        <f t="shared" si="11"/>
        <v>100</v>
      </c>
      <c r="V39" s="667" t="s">
        <v>14</v>
      </c>
      <c r="W39" s="668">
        <f t="shared" si="12"/>
        <v>100</v>
      </c>
      <c r="X39" s="1265"/>
      <c r="Y39" s="3413"/>
      <c r="Z39" s="1264">
        <f t="shared" si="13"/>
        <v>111</v>
      </c>
      <c r="AA39" s="1264">
        <f t="shared" si="3"/>
        <v>1</v>
      </c>
      <c r="AB39" s="1264">
        <f t="shared" si="4"/>
        <v>1</v>
      </c>
      <c r="AC39" s="1264">
        <f t="shared" si="5"/>
        <v>1</v>
      </c>
    </row>
    <row r="40" spans="1:31" s="408" customFormat="1" ht="1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413"/>
      <c r="Q40" s="1263">
        <f t="shared" si="14"/>
        <v>111</v>
      </c>
      <c r="R40" s="669" t="s">
        <v>14</v>
      </c>
      <c r="S40" s="670">
        <f t="shared" si="10"/>
        <v>100</v>
      </c>
      <c r="T40" s="669" t="s">
        <v>14</v>
      </c>
      <c r="U40" s="670">
        <f t="shared" si="11"/>
        <v>100</v>
      </c>
      <c r="V40" s="669" t="s">
        <v>14</v>
      </c>
      <c r="W40" s="670">
        <f t="shared" si="12"/>
        <v>100</v>
      </c>
      <c r="X40" s="671"/>
      <c r="Y40" s="3413"/>
      <c r="Z40" s="672">
        <f t="shared" si="13"/>
        <v>111</v>
      </c>
      <c r="AA40" s="1264">
        <f t="shared" si="3"/>
        <v>1</v>
      </c>
      <c r="AB40" s="1264">
        <f t="shared" si="4"/>
        <v>1</v>
      </c>
      <c r="AC40" s="1264">
        <f t="shared" si="5"/>
        <v>1</v>
      </c>
    </row>
    <row r="41" spans="1:31">
      <c r="A41" s="416" t="s">
        <v>1844</v>
      </c>
      <c r="B41" s="1830" t="s">
        <v>1922</v>
      </c>
      <c r="C41" s="602" t="s">
        <v>0</v>
      </c>
      <c r="D41" s="418"/>
      <c r="E41" s="419"/>
      <c r="F41" s="420"/>
      <c r="G41" s="421"/>
      <c r="H41" s="422"/>
      <c r="I41" s="419"/>
      <c r="J41" s="422"/>
      <c r="K41" s="674"/>
      <c r="L41" s="2493"/>
      <c r="M41" s="2486"/>
      <c r="N41" s="2486"/>
      <c r="O41" s="2486"/>
      <c r="P41" s="3415" t="str">
        <f>A41</f>
        <v>成交单价</v>
      </c>
      <c r="Q41" s="3415"/>
      <c r="R41" s="3403">
        <f>E41</f>
        <v>0</v>
      </c>
      <c r="S41" s="3403"/>
      <c r="T41" s="3403">
        <f>G41</f>
        <v>0</v>
      </c>
      <c r="U41" s="3403"/>
      <c r="V41" s="3403">
        <f>I41</f>
        <v>0</v>
      </c>
      <c r="W41" s="3403"/>
      <c r="X41" s="385"/>
      <c r="Y41" s="673"/>
      <c r="Z41" s="385"/>
      <c r="AA41" s="385"/>
      <c r="AB41" s="385"/>
      <c r="AC41" s="385"/>
    </row>
    <row r="42" spans="1:31" ht="14.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415" t="str">
        <f>A42</f>
        <v>比较价值（元/平方米）</v>
      </c>
      <c r="Q42" s="3415"/>
      <c r="R42" s="3456" t="e">
        <f>ROUND(PRODUCT(R41,AA7:AA40),0)</f>
        <v>#DIV/0!</v>
      </c>
      <c r="S42" s="3456"/>
      <c r="T42" s="3456" t="e">
        <f>ROUND(PRODUCT(T41,AB7:AB40),0)</f>
        <v>#DIV/0!</v>
      </c>
      <c r="U42" s="3456"/>
      <c r="V42" s="3456" t="e">
        <f>ROUND(PRODUCT(V41,AC7:AC40),0)</f>
        <v>#DIV/0!</v>
      </c>
      <c r="W42" s="3456"/>
      <c r="X42" s="385"/>
      <c r="Y42" s="385"/>
      <c r="Z42" s="385"/>
      <c r="AA42" s="385"/>
      <c r="AB42" s="385"/>
      <c r="AC42" s="385"/>
    </row>
    <row r="43" spans="1:31" ht="14.5" thickBot="1">
      <c r="A43" s="427" t="s">
        <v>1794</v>
      </c>
      <c r="B43" s="428"/>
      <c r="C43" s="429" t="e">
        <f>R43</f>
        <v>#DIV/0!</v>
      </c>
      <c r="D43" s="429"/>
      <c r="E43" s="429"/>
      <c r="F43" s="429"/>
      <c r="G43" s="429"/>
      <c r="H43" s="429"/>
      <c r="I43" s="429"/>
      <c r="J43" s="429"/>
      <c r="K43" s="675"/>
      <c r="L43" s="2493"/>
      <c r="M43" s="2486"/>
      <c r="N43" s="2486"/>
      <c r="O43" s="2486"/>
      <c r="P43" s="3451" t="str">
        <f>A43</f>
        <v>估价对象XX用房的比较价值（楼面单价，元/平方米）</v>
      </c>
      <c r="Q43" s="3452"/>
      <c r="R43" s="3457" t="e">
        <f>ROUND(IF(D42="简单平均",AVERAGE(R42:W42),R42*F42+T42*H42+V42*J42),0)</f>
        <v>#DIV/0!</v>
      </c>
      <c r="S43" s="3457"/>
      <c r="T43" s="3457"/>
      <c r="U43" s="3457"/>
      <c r="V43" s="3457"/>
      <c r="W43" s="3457"/>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5"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
      <c r="A50" s="604" t="s">
        <v>1881</v>
      </c>
      <c r="B50" s="605" t="s">
        <v>1882</v>
      </c>
      <c r="C50" s="1831" t="s">
        <v>1883</v>
      </c>
      <c r="D50" s="1832" t="s">
        <v>1884</v>
      </c>
      <c r="E50" s="606" t="s">
        <v>1885</v>
      </c>
      <c r="F50" s="607" t="s">
        <v>1886</v>
      </c>
      <c r="G50" s="3390" t="s">
        <v>1887</v>
      </c>
      <c r="H50" s="3458"/>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55.89</v>
      </c>
      <c r="F51" s="611" t="e">
        <f t="shared" ref="F51:F60" si="15">ROUND(B51*E51/10000,0)</f>
        <v>#DIV/0!</v>
      </c>
      <c r="G51" s="3386"/>
      <c r="H51" s="3415"/>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SUMIF(修正!A59:A70,H52,修正!B59:B70)</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SUMIF(修正!A59:A70,H53,修正!C59:C70)</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SUMIF(修正!A59:A70,H54,修正!D59:D70)</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四级</v>
      </c>
      <c r="I56" s="727">
        <f>SUMIF(修正!A59:A70,H56,修正!E59:E70)</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四级</v>
      </c>
      <c r="I57" s="727">
        <f>SUMIF(修正!A59:A70,H57,修正!F59:F70)</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SUMIF(修正!A59:A70,H58,修正!G59:G70)</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SUMIF(修正!A59:A70,H59,修正!G59:G70)</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5" thickBot="1">
      <c r="A60" s="613" t="s">
        <v>1902</v>
      </c>
      <c r="B60" s="210" t="e">
        <f t="shared" si="17"/>
        <v>#DIV/0!</v>
      </c>
      <c r="C60" s="163">
        <f t="shared" si="16"/>
        <v>0.15</v>
      </c>
      <c r="D60" s="891">
        <v>0.25</v>
      </c>
      <c r="E60" s="209">
        <f>'数据-汇总表'!E15</f>
        <v>0</v>
      </c>
      <c r="F60" s="611" t="e">
        <f t="shared" si="15"/>
        <v>#DIV/0!</v>
      </c>
      <c r="G60" s="1836" t="s">
        <v>1896</v>
      </c>
      <c r="H60" s="844" t="str">
        <f>项目基本情况!C37</f>
        <v>四级</v>
      </c>
      <c r="I60" s="727">
        <f>SUMIF(修正!A59:A70,H60,修正!G59:G70)</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5"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2025-10-1</v>
      </c>
      <c r="D63" s="656">
        <f>EDATE(C63,-3)</f>
        <v>45839</v>
      </c>
      <c r="E63" s="656">
        <f>EDATE(D63,-3)</f>
        <v>45748</v>
      </c>
      <c r="F63" s="656">
        <f t="shared" ref="F63:O63" si="18">EDATE(E63,-3)</f>
        <v>45658</v>
      </c>
      <c r="G63" s="656">
        <f t="shared" si="18"/>
        <v>45566</v>
      </c>
      <c r="H63" s="656">
        <f t="shared" si="18"/>
        <v>45474</v>
      </c>
      <c r="I63" s="656">
        <f t="shared" si="18"/>
        <v>45383</v>
      </c>
      <c r="J63" s="656">
        <f t="shared" si="18"/>
        <v>45292</v>
      </c>
      <c r="K63" s="656">
        <f t="shared" si="18"/>
        <v>45200</v>
      </c>
      <c r="L63" s="656">
        <f t="shared" si="18"/>
        <v>45108</v>
      </c>
      <c r="M63" s="656">
        <f t="shared" si="18"/>
        <v>45017</v>
      </c>
      <c r="N63" s="656">
        <f t="shared" si="18"/>
        <v>44927</v>
      </c>
      <c r="O63" s="656">
        <f t="shared" si="18"/>
        <v>44835</v>
      </c>
      <c r="P63" s="2486"/>
      <c r="Q63" s="2486"/>
      <c r="R63" s="2486"/>
      <c r="S63" s="2486"/>
      <c r="T63" s="2486"/>
      <c r="U63" s="2486"/>
      <c r="V63" s="2486"/>
      <c r="W63" s="2486"/>
      <c r="X63" s="2486"/>
      <c r="Y63" s="2486"/>
      <c r="Z63" s="2486"/>
      <c r="AA63" s="2486"/>
      <c r="AB63" s="2486"/>
      <c r="AC63" s="2486"/>
      <c r="AD63" s="2486"/>
      <c r="AE63" s="2486"/>
    </row>
    <row r="64" spans="1:31" ht="21.5"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c r="A65" s="1630" t="s">
        <v>1904</v>
      </c>
      <c r="B65" s="1046"/>
      <c r="C65" s="1101" t="str">
        <f>YEAR(C63)&amp;"-"&amp;ROUNDUP(MONTH(C63)/3,0)</f>
        <v>2025-4</v>
      </c>
      <c r="D65" s="1101" t="str">
        <f t="shared" ref="D65:O65" si="19">YEAR(D63)&amp;"-"&amp;ROUNDUP(MONTH(D63)/3,0)</f>
        <v>2025-3</v>
      </c>
      <c r="E65" s="1101" t="str">
        <f t="shared" si="19"/>
        <v>2025-2</v>
      </c>
      <c r="F65" s="1101" t="str">
        <f t="shared" si="19"/>
        <v>2025-1</v>
      </c>
      <c r="G65" s="1101" t="str">
        <f t="shared" si="19"/>
        <v>2024-4</v>
      </c>
      <c r="H65" s="1101" t="str">
        <f t="shared" si="19"/>
        <v>2024-3</v>
      </c>
      <c r="I65" s="1101" t="str">
        <f t="shared" si="19"/>
        <v>2024-2</v>
      </c>
      <c r="J65" s="1101" t="str">
        <f t="shared" si="19"/>
        <v>2024-1</v>
      </c>
      <c r="K65" s="1101" t="str">
        <f t="shared" si="19"/>
        <v>2023-4</v>
      </c>
      <c r="L65" s="1101" t="str">
        <f t="shared" si="19"/>
        <v>2023-3</v>
      </c>
      <c r="M65" s="1101" t="str">
        <f t="shared" si="19"/>
        <v>2023-2</v>
      </c>
      <c r="N65" s="1101" t="str">
        <f t="shared" si="19"/>
        <v>2023-1</v>
      </c>
      <c r="O65" s="1101" t="str">
        <f t="shared" si="19"/>
        <v>2022-4</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4.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5"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5"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8.5"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5"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4.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5"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5"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5"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5"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5"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5"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5"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5"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4.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5"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8.5"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5"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8.5"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5"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4.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5"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4.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5"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4.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5"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8.5"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5"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4.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5"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5"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5"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5"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5"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5"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5"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5"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4.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5"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4.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5"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4.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5"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5"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5"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5"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5"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5"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5"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F39" sqref="F39:F48"/>
      <selection pane="bottomLeft" activeCell="F39" sqref="F39:F48"/>
    </sheetView>
  </sheetViews>
  <sheetFormatPr defaultColWidth="9" defaultRowHeight="12.5"/>
  <cols>
    <col min="1" max="1" width="11.453125" style="122" customWidth="1"/>
    <col min="2" max="2" width="9.269531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66" t="s">
        <v>2084</v>
      </c>
      <c r="D1" s="3467"/>
      <c r="E1" s="3467"/>
      <c r="F1" s="3467"/>
      <c r="G1" s="3467"/>
      <c r="H1" s="3467"/>
      <c r="I1" s="3467"/>
      <c r="J1" s="3467"/>
      <c r="K1" s="3467"/>
      <c r="L1" s="3467"/>
      <c r="M1" s="3467"/>
      <c r="N1" s="3467"/>
      <c r="O1" s="3467"/>
      <c r="P1" s="3467"/>
      <c r="Q1" s="3467"/>
      <c r="R1" s="3467"/>
      <c r="S1" s="3468"/>
      <c r="T1" s="929" t="s">
        <v>2085</v>
      </c>
    </row>
    <row r="2" spans="1:45" s="625" customFormat="1" ht="13">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5"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ht="13">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5"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ht="13">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5"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ht="13">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5"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ht="13">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5"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ht="13">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5"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ht="13">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5"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ht="13">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ht="13">
      <c r="A19" s="121"/>
      <c r="B19" s="151"/>
      <c r="C19" s="151"/>
      <c r="D19" s="1988" t="s">
        <v>2095</v>
      </c>
      <c r="E19" s="1253"/>
      <c r="F19" s="1253"/>
      <c r="G19" s="1253"/>
      <c r="H19" s="996"/>
      <c r="I19" s="151"/>
      <c r="J19" s="151"/>
      <c r="K19" s="151"/>
      <c r="L19" s="151"/>
      <c r="M19" s="151"/>
      <c r="N19" s="151"/>
      <c r="O19" s="151"/>
      <c r="P19" s="151"/>
      <c r="Q19" s="151"/>
      <c r="R19" s="151"/>
      <c r="S19" s="121"/>
    </row>
    <row r="20" spans="1:45" ht="16"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5">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ht="13">
      <c r="A22" s="308" t="s">
        <v>2099</v>
      </c>
      <c r="B22" s="21">
        <f>SUM(B24:B10000)</f>
        <v>0</v>
      </c>
      <c r="C22" s="3463" t="s">
        <v>27</v>
      </c>
      <c r="D22" s="3464"/>
      <c r="E22" s="3464"/>
      <c r="F22" s="3464"/>
      <c r="G22" s="3464"/>
      <c r="H22" s="3464"/>
      <c r="I22" s="3464"/>
      <c r="J22" s="3464"/>
      <c r="K22" s="3464"/>
      <c r="L22" s="3464"/>
      <c r="M22" s="3464"/>
      <c r="N22" s="3464"/>
      <c r="O22" s="3464"/>
      <c r="P22" s="3464"/>
      <c r="Q22" s="3465"/>
      <c r="R22" s="21" t="e">
        <f>ROUND(S22*10000/B22,0)</f>
        <v>#DIV/0!</v>
      </c>
      <c r="S22" s="21">
        <f>SUM(S24:S10000)</f>
        <v>0</v>
      </c>
    </row>
    <row r="23" spans="1:45" s="9" customFormat="1" ht="26">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ht="13">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ht="13">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ht="13">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ht="13">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ht="13">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ht="13">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ht="13">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ht="13">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ht="13">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ht="13">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ht="13">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ht="13">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ht="13">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ht="13">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ht="13">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ht="13">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ht="13">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ht="13">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ht="13">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ht="13">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ht="13">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ht="13">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ht="13">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ht="13">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ht="13">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ht="13">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ht="13">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ht="13">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ht="13">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ht="13">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ht="13">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ht="13">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ht="13">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ht="13">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ht="13">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ht="13">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ht="13">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ht="13">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ht="13">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ht="13">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ht="13">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ht="13">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ht="13">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ht="13">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ht="13">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ht="13">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ht="13">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ht="13">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ht="13">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ht="13">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ht="13">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ht="13">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ht="13">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ht="13">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ht="13">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ht="13">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ht="13">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ht="13">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ht="13">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ht="13">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ht="13">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ht="13">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ht="13">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ht="13">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ht="13">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ht="13">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ht="13">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ht="13">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ht="13">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ht="13">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ht="13">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ht="13">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ht="13">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ht="13">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ht="13">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ht="13">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ht="13">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ht="13">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ht="13">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ht="13">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ht="13">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ht="13">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ht="13">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ht="13">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ht="13">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ht="13">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ht="13">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ht="13">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ht="13">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ht="13">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ht="13">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ht="13">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ht="13">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ht="13">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ht="13">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ht="13">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ht="13">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ht="13">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ht="13">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ht="13">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ht="13">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ht="13">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ht="13">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ht="13">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ht="13">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ht="13">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ht="13">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ht="13">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ht="13">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ht="13">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ht="13">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ht="13">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ht="13">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ht="13">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ht="13">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ht="13">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ht="13">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ht="13">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ht="13">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ht="13">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ht="13">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ht="13">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ht="13">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ht="13">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ht="13">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ht="13">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ht="13">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ht="13">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ht="13">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ht="13">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ht="13">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ht="13">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ht="13">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ht="13">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ht="13">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ht="13">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ht="13">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ht="13">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ht="13">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ht="13">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ht="13">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ht="13">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ht="13">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ht="13">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ht="13">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ht="13">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ht="13">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ht="13">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ht="13">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ht="13">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ht="13">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ht="13">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ht="13">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ht="13">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ht="13">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ht="13">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ht="13">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ht="13">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ht="13">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ht="13">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ht="13">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ht="13">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ht="13">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ht="13">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ht="13">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ht="13">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ht="13">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ht="13">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ht="13">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ht="13">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ht="13">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ht="13">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ht="13">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ht="13">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ht="13">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ht="13">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ht="13">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ht="13">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ht="13">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ht="13">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ht="13">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ht="13">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ht="13">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ht="13">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ht="13">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ht="13">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ht="13">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ht="13">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ht="13">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ht="13">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ht="13">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ht="13">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ht="13">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ht="13">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ht="13">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ht="13">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ht="13">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ht="13">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ht="13">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ht="13">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ht="13">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ht="13">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ht="13">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ht="13">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ht="13">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ht="13">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ht="13">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ht="13">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ht="13">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ht="13">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ht="13">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ht="13">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ht="13">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ht="13">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ht="13">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ht="13">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ht="13">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ht="13">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ht="13">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ht="13">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ht="13">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ht="13">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ht="13">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ht="13">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ht="13">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ht="13">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ht="13">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ht="13">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ht="13">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ht="13">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ht="13">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ht="13">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ht="13">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ht="13">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ht="13">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ht="13">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ht="13">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ht="13">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ht="13">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ht="13">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ht="13">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ht="13">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ht="13">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ht="13">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ht="13">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ht="13">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ht="13">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ht="13">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ht="13">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ht="13">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ht="13">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ht="13">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ht="13">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ht="13">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ht="13">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ht="13">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ht="13">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ht="13">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ht="13">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ht="13">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ht="13">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ht="13">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ht="13">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ht="13">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ht="13">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ht="13">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ht="13">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ht="13">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ht="13">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ht="13">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ht="13">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ht="13">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ht="13">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ht="13">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ht="13">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ht="13">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ht="13">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ht="13">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ht="13">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ht="13">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ht="13">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ht="13">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ht="13">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ht="13">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ht="13">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ht="13">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ht="13">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ht="13">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ht="13">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ht="13">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ht="13">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ht="13">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ht="13">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ht="13">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ht="13">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ht="13">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ht="13">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ht="13">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ht="13">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ht="13">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ht="13">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ht="13">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ht="13">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ht="13">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ht="13">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ht="13">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ht="13">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ht="13">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ht="13">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ht="13">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ht="13">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ht="13">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ht="13">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ht="13">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ht="13">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ht="13">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ht="13">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ht="13">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ht="13">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ht="13">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ht="13">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ht="13">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ht="13">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ht="13">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ht="13">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ht="13">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ht="13">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ht="13">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ht="13">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ht="13">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ht="13">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ht="13">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ht="13">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ht="13">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ht="13">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ht="13">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ht="13">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ht="13">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ht="13">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ht="13">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ht="13">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ht="13">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ht="13">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ht="13">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ht="13">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ht="13">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ht="13">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ht="13">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ht="13">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ht="13">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ht="13">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ht="13">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ht="13">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ht="13">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ht="13">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ht="13">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ht="13">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ht="13">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ht="13">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ht="13">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ht="13">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ht="13">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ht="13">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ht="13">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ht="13">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ht="13">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ht="13">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ht="13">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ht="13">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ht="13">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ht="13">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ht="13">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ht="13">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ht="13">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ht="13">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ht="13">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ht="13">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ht="13">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ht="13">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ht="13">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ht="13">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ht="13">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ht="13">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ht="13">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ht="13">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ht="13">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ht="13">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ht="13">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ht="13">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ht="13">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ht="13">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ht="13">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ht="13">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ht="13">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ht="13">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ht="13">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ht="13">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ht="13">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ht="13">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ht="13">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ht="13">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ht="13">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ht="13">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ht="13">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ht="13">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ht="13">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ht="13">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ht="13">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ht="13">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ht="13">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ht="13">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ht="13">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ht="13">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ht="13">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ht="13">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ht="13">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ht="13">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ht="13">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ht="13">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ht="13">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ht="13">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ht="13">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ht="13">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ht="13">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ht="13">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ht="13">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ht="13">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ht="13">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ht="13">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ht="13">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ht="13">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ht="13">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ht="13">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ht="13">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ht="13">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ht="13">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ht="13">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ht="13">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ht="13">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ht="13">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ht="13">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ht="13">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ht="13">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ht="13">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ht="13">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ht="13">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ht="13">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ht="13">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ht="13">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ht="13">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ht="13">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ht="13">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ht="13">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ht="13">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ht="13">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ht="13">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ht="13">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ht="13">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ht="13">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ht="13">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ht="13">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ht="13">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ht="13">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ht="13">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ht="13">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ht="13">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ht="13">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ht="13">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ht="13">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ht="13">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ht="13">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ht="13">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ht="13">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ht="13">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ht="13">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ht="13">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ht="13">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ht="13">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ht="13">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ht="13">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ht="13">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ht="13">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ht="13">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ht="13">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ht="13">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ht="13">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ht="13">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ht="13">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ht="13">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ht="13">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ht="13">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ht="13">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ht="13">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ht="13">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ht="13">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ht="13">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ht="13">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ht="13">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ht="13">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ht="13">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ht="13">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F39" sqref="F39:F48"/>
    </sheetView>
  </sheetViews>
  <sheetFormatPr defaultColWidth="9" defaultRowHeight="14"/>
  <cols>
    <col min="1" max="1" width="23.36328125" style="642" customWidth="1"/>
    <col min="2" max="2" width="12.453125" style="642" customWidth="1"/>
    <col min="3" max="3" width="12.08984375" style="642" customWidth="1"/>
    <col min="4" max="4" width="14.08984375" style="642" customWidth="1"/>
    <col min="5" max="5" width="12.453125" style="642" customWidth="1"/>
    <col min="6" max="16384" width="9" style="642"/>
  </cols>
  <sheetData>
    <row r="1" spans="1:16" ht="21">
      <c r="A1" s="1725" t="s">
        <v>2081</v>
      </c>
      <c r="B1" s="4"/>
      <c r="C1" s="4"/>
      <c r="D1" s="4"/>
      <c r="E1" s="4"/>
      <c r="F1" s="2543"/>
      <c r="G1" s="2543"/>
      <c r="H1" s="2543"/>
      <c r="I1" s="2543"/>
      <c r="J1" s="2543"/>
      <c r="K1" s="2543"/>
      <c r="L1" s="2543"/>
      <c r="M1" s="2543"/>
      <c r="N1" s="2543"/>
      <c r="O1" s="2543"/>
      <c r="P1" s="2543"/>
    </row>
    <row r="2" spans="1:16" ht="15.5">
      <c r="A2" s="1984" t="s">
        <v>2073</v>
      </c>
      <c r="B2" s="2387">
        <f ca="1">SUMIF(B6:B13,"&lt;&gt;#ref!",B6:B13)</f>
        <v>86</v>
      </c>
      <c r="C2" s="1984" t="s">
        <v>2074</v>
      </c>
      <c r="D2" s="1984" t="s">
        <v>2075</v>
      </c>
      <c r="E2" s="2397">
        <f ca="1">SUMIF(E6:E13,"&lt;&gt;#ref!",E6:E13)</f>
        <v>55.89</v>
      </c>
      <c r="F2" s="2543"/>
      <c r="G2" s="2543"/>
      <c r="H2" s="2543"/>
      <c r="I2" s="2543"/>
      <c r="J2" s="2543"/>
      <c r="K2" s="2543"/>
      <c r="L2" s="2543"/>
      <c r="M2" s="2543"/>
      <c r="N2" s="2543"/>
      <c r="O2" s="2543"/>
      <c r="P2" s="2543"/>
    </row>
    <row r="3" spans="1:16" ht="15.5">
      <c r="A3" s="1984" t="s">
        <v>2076</v>
      </c>
      <c r="B3" s="2387">
        <f ca="1">ROUND(B2*10000/E2,0)</f>
        <v>15387</v>
      </c>
      <c r="C3" s="1984" t="s">
        <v>2082</v>
      </c>
      <c r="D3" s="2543"/>
      <c r="E3" s="2543"/>
      <c r="F3" s="2543"/>
      <c r="G3" s="2543"/>
      <c r="H3" s="2543"/>
      <c r="I3" s="2543"/>
      <c r="J3" s="2543"/>
      <c r="K3" s="2543"/>
      <c r="L3" s="2543"/>
      <c r="M3" s="2543"/>
      <c r="N3" s="2543"/>
      <c r="O3" s="2543"/>
      <c r="P3" s="2543"/>
    </row>
    <row r="4" spans="1:16" ht="15.5">
      <c r="A4" s="2555"/>
      <c r="B4" s="2543"/>
      <c r="C4" s="2543"/>
      <c r="D4" s="2543"/>
      <c r="E4" s="2543"/>
      <c r="F4" s="2543"/>
      <c r="G4" s="2543"/>
      <c r="H4" s="2543"/>
      <c r="I4" s="2543"/>
      <c r="J4" s="2543"/>
      <c r="K4" s="2543"/>
      <c r="L4" s="2543"/>
      <c r="M4" s="2543"/>
      <c r="N4" s="2543"/>
      <c r="O4" s="2543"/>
      <c r="P4" s="2543"/>
    </row>
    <row r="5" spans="1:16" ht="30">
      <c r="A5" s="2393" t="s">
        <v>2077</v>
      </c>
      <c r="B5" s="2395" t="s">
        <v>2078</v>
      </c>
      <c r="C5" s="1985"/>
      <c r="D5" s="2543"/>
      <c r="E5" s="2396" t="s">
        <v>2079</v>
      </c>
      <c r="F5" s="2543"/>
      <c r="G5" s="2543"/>
      <c r="H5" s="2543"/>
      <c r="I5" s="2543"/>
      <c r="J5" s="2543"/>
      <c r="K5" s="2543"/>
      <c r="L5" s="2543"/>
      <c r="M5" s="2543"/>
      <c r="N5" s="2543"/>
      <c r="O5" s="2543"/>
      <c r="P5" s="2543"/>
    </row>
    <row r="6" spans="1:16" ht="15.5">
      <c r="A6" s="2394" t="s">
        <v>2080</v>
      </c>
      <c r="B6" s="2387">
        <f ca="1">SUMIF(INDIRECT("'"&amp;A6&amp;"'"&amp;"!A:A"),"总价",INDIRECT("'"&amp;A6&amp;"'"&amp;"!B:B"))</f>
        <v>86</v>
      </c>
      <c r="C6" s="1984" t="s">
        <v>2074</v>
      </c>
      <c r="D6" s="2543"/>
      <c r="E6" s="2397">
        <f ca="1">SUMIF(INDIRECT("'"&amp;A6&amp;"'"&amp;"!C:C"),"建筑面积",INDIRECT("'"&amp;A6&amp;"'"&amp;"!D:D"))</f>
        <v>55.89</v>
      </c>
      <c r="F6" s="2543"/>
      <c r="G6" s="2543"/>
      <c r="H6" s="2543"/>
      <c r="I6" s="2543"/>
      <c r="J6" s="2543"/>
      <c r="K6" s="2543"/>
      <c r="L6" s="2543"/>
      <c r="M6" s="2543"/>
      <c r="N6" s="2543"/>
      <c r="O6" s="2543"/>
      <c r="P6" s="2543"/>
    </row>
    <row r="7" spans="1:16" ht="15.5">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5">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5">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5">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5">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5">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5">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C7" sqref="C7"/>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8" width="10.7265625" style="243" customWidth="1"/>
    <col min="9" max="254" width="9" style="243" customWidth="1"/>
    <col min="255" max="16384" width="8.36328125" style="243"/>
  </cols>
  <sheetData>
    <row r="1" spans="1:8" s="192" customFormat="1" ht="21">
      <c r="A1" s="188" t="s">
        <v>1461</v>
      </c>
      <c r="B1" s="1374" t="s">
        <v>21</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140.8416</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25200</v>
      </c>
      <c r="C3" s="191" t="s">
        <v>1465</v>
      </c>
      <c r="D3" s="191"/>
      <c r="E3" s="191"/>
      <c r="F3" s="191"/>
      <c r="G3" s="191"/>
    </row>
    <row r="4" spans="1:8" s="200" customFormat="1" ht="16">
      <c r="A4" s="197" t="s">
        <v>1466</v>
      </c>
      <c r="B4" s="198"/>
      <c r="C4" s="198"/>
      <c r="D4" s="198"/>
      <c r="E4" s="198"/>
      <c r="F4" s="198"/>
      <c r="G4" s="199"/>
    </row>
    <row r="5" spans="1:8" s="206" customFormat="1" ht="13.5" customHeight="1">
      <c r="A5" s="247" t="s">
        <v>1467</v>
      </c>
      <c r="B5" s="202" t="s">
        <v>1468</v>
      </c>
      <c r="C5" s="203">
        <f ca="1">C6+C7+C8</f>
        <v>896235</v>
      </c>
      <c r="D5" s="203" t="s">
        <v>1469</v>
      </c>
      <c r="E5" s="204" t="s">
        <v>1470</v>
      </c>
      <c r="F5" s="204" t="s">
        <v>1471</v>
      </c>
      <c r="G5" s="205"/>
    </row>
    <row r="6" spans="1:8" s="206" customFormat="1" ht="13.5" customHeight="1">
      <c r="A6" s="732" t="s">
        <v>1472</v>
      </c>
      <c r="B6" s="207" t="s">
        <v>1473</v>
      </c>
      <c r="C6" s="208">
        <f>ROUND(基准地价修正!C33*基准地价修正!D33,0)</f>
        <v>858862</v>
      </c>
      <c r="D6" s="209"/>
      <c r="E6" s="210"/>
      <c r="F6" s="210"/>
      <c r="G6" s="211"/>
    </row>
    <row r="7" spans="1:8" s="206" customFormat="1" ht="13.5" customHeight="1">
      <c r="A7" s="732" t="s">
        <v>1474</v>
      </c>
      <c r="B7" s="207" t="s">
        <v>1475</v>
      </c>
      <c r="C7" s="212">
        <f>ROUND(C6*F7,0)</f>
        <v>26195</v>
      </c>
      <c r="D7" s="212"/>
      <c r="E7" s="210"/>
      <c r="F7" s="213">
        <f>IF(项目基本情况!B8="出让",0,'数据-取费表'!B48+'数据-取费表'!B49)</f>
        <v>3.0499999999999999E-2</v>
      </c>
      <c r="G7" s="211"/>
    </row>
    <row r="8" spans="1:8" s="215" customFormat="1" ht="13">
      <c r="A8" s="732" t="s">
        <v>1476</v>
      </c>
      <c r="B8" s="207" t="s">
        <v>1477</v>
      </c>
      <c r="C8" s="212">
        <f ca="1">IF(G8="已包含在土地购买价格中",0,C9+C10)</f>
        <v>11178</v>
      </c>
      <c r="D8" s="214"/>
      <c r="E8" s="212"/>
      <c r="F8" s="213"/>
      <c r="G8" s="1714" t="s">
        <v>3435</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11178</v>
      </c>
      <c r="D10" s="795">
        <f ca="1">IF(B1="",'数据-汇总表'!E6,IF(INDIRECT("'数据-取费表'!c"&amp;$G$1)="住宅",INDIRECT("'数据-取费表'!s"&amp;$G$1),INDIRECT("'数据-取费表'!k"&amp;$G$1)+INDIRECT("'数据-取费表'!s"&amp;$G$1)))</f>
        <v>55.89</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55.89</v>
      </c>
      <c r="E19" s="203">
        <f>'数据-取费表'!B31</f>
        <v>200</v>
      </c>
      <c r="F19" s="223"/>
      <c r="G19" s="1714" t="s">
        <v>3436</v>
      </c>
    </row>
    <row r="20" spans="1:7" s="206" customFormat="1" ht="13.5" customHeight="1">
      <c r="A20" s="247" t="s">
        <v>1574</v>
      </c>
      <c r="B20" s="202" t="s">
        <v>1575</v>
      </c>
      <c r="C20" s="224">
        <f ca="1">ROUND((C5+C19)*F20,0)</f>
        <v>17925</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57543</v>
      </c>
      <c r="D22" s="227">
        <f ca="1">C26</f>
        <v>5.9999999999999995E-4</v>
      </c>
      <c r="E22" s="228" t="s">
        <v>1579</v>
      </c>
      <c r="F22" s="229">
        <f ca="1">'数据-取费表'!B40</f>
        <v>3.1300000000000001E-2</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56982</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6">
      <c r="A25" s="734" t="s">
        <v>1476</v>
      </c>
      <c r="B25" s="207" t="s">
        <v>1587</v>
      </c>
      <c r="C25" s="230">
        <f ca="1">ROUND(IF('数据-取费表'!B22&lt;=1,C20*F22*'数据-取费表'!B22/2,C20*(POWER((1+F22),'数据-取费表'!B22/2)-1)),0)</f>
        <v>561</v>
      </c>
      <c r="D25" s="230"/>
      <c r="E25" s="233"/>
      <c r="F25" s="231"/>
      <c r="G25" s="234" t="s">
        <v>1588</v>
      </c>
    </row>
    <row r="26" spans="1:7" s="206" customFormat="1" ht="13">
      <c r="A26" s="734" t="s">
        <v>350</v>
      </c>
      <c r="B26" s="207" t="s">
        <v>1511</v>
      </c>
      <c r="C26" s="230">
        <f ca="1">ROUND(IF('数据-取费表'!B22&lt;=1,F21*F22*'数据-取费表'!B22/2,F21*(POWER((1+F22),'数据-取费表'!B22/2)-1)),4)</f>
        <v>5.9999999999999995E-4</v>
      </c>
      <c r="D26" s="230"/>
      <c r="E26" s="233"/>
      <c r="F26" s="231"/>
      <c r="G26" s="235"/>
    </row>
    <row r="27" spans="1:7" s="206" customFormat="1" ht="27">
      <c r="A27" s="247" t="s">
        <v>1512</v>
      </c>
      <c r="B27" s="236" t="s">
        <v>1513</v>
      </c>
      <c r="C27" s="237">
        <f ca="1">C28</f>
        <v>137124</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137124</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1201199</v>
      </c>
      <c r="D31" s="222"/>
      <c r="E31" s="203"/>
      <c r="F31" s="242"/>
      <c r="G31" s="226" t="s">
        <v>1522</v>
      </c>
    </row>
    <row r="32" spans="1:7" s="200" customFormat="1" ht="16">
      <c r="A32" s="244" t="s">
        <v>1589</v>
      </c>
      <c r="B32" s="245"/>
      <c r="C32" s="245"/>
      <c r="D32" s="245"/>
      <c r="E32" s="245"/>
      <c r="F32" s="245"/>
      <c r="G32" s="246"/>
    </row>
    <row r="33" spans="1:7" s="206" customFormat="1" ht="13.5" customHeight="1">
      <c r="A33" s="247" t="s">
        <v>337</v>
      </c>
      <c r="B33" s="202" t="s">
        <v>1590</v>
      </c>
      <c r="C33" s="248">
        <f ca="1">SUM(C34:C38)</f>
        <v>220486</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195615</v>
      </c>
      <c r="D34" s="209"/>
      <c r="E34" s="212"/>
      <c r="F34" s="249"/>
      <c r="G34" s="211"/>
    </row>
    <row r="35" spans="1:7" ht="13.5" customHeight="1">
      <c r="A35" s="734" t="s">
        <v>351</v>
      </c>
      <c r="B35" s="207" t="s">
        <v>1527</v>
      </c>
      <c r="C35" s="212">
        <f ca="1">ROUND(C34*F35,0)</f>
        <v>9781</v>
      </c>
      <c r="D35" s="212"/>
      <c r="E35" s="212"/>
      <c r="F35" s="251">
        <f>'数据-取费表'!B33</f>
        <v>0.05</v>
      </c>
      <c r="G35" s="211" t="s">
        <v>1528</v>
      </c>
    </row>
    <row r="36" spans="1:7" ht="26">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11178</v>
      </c>
      <c r="D37" s="209">
        <f ca="1">D19</f>
        <v>55.89</v>
      </c>
      <c r="E37" s="241">
        <f>'数据-取费表'!B35</f>
        <v>200</v>
      </c>
      <c r="F37" s="251"/>
      <c r="G37" s="253"/>
    </row>
    <row r="38" spans="1:7" ht="13.5" customHeight="1">
      <c r="A38" s="734" t="s">
        <v>354</v>
      </c>
      <c r="B38" s="207" t="s">
        <v>1533</v>
      </c>
      <c r="C38" s="212">
        <f ca="1">ROUND(C34*F38,0)</f>
        <v>3912</v>
      </c>
      <c r="D38" s="212"/>
      <c r="E38" s="212"/>
      <c r="F38" s="251">
        <f>'数据-取费表'!B36</f>
        <v>0.02</v>
      </c>
      <c r="G38" s="211" t="s">
        <v>1528</v>
      </c>
    </row>
    <row r="39" spans="1:7" s="206" customFormat="1" ht="13.5" customHeight="1">
      <c r="A39" s="247" t="s">
        <v>1534</v>
      </c>
      <c r="B39" s="202" t="s">
        <v>1535</v>
      </c>
      <c r="C39" s="224">
        <f ca="1">ROUND(C33*F20,0)</f>
        <v>4410</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7039</v>
      </c>
      <c r="D41" s="227">
        <f ca="1">C44</f>
        <v>5.9999999999999995E-4</v>
      </c>
      <c r="E41" s="228" t="s">
        <v>1539</v>
      </c>
      <c r="F41" s="229">
        <f ca="1">F22</f>
        <v>3.1300000000000001E-2</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6901</v>
      </c>
      <c r="D42" s="230"/>
      <c r="E42" s="230"/>
      <c r="F42" s="231"/>
      <c r="G42" s="3363" t="s">
        <v>1591</v>
      </c>
    </row>
    <row r="43" spans="1:7" ht="13.5" customHeight="1">
      <c r="A43" s="734" t="s">
        <v>347</v>
      </c>
      <c r="B43" s="207" t="s">
        <v>1545</v>
      </c>
      <c r="C43" s="230">
        <f ca="1">ROUND(IF('数据-取费表'!B22&lt;=1,C39*F22*'数据-取费表'!B20/2,C39*(POWER((1+F22),'数据-取费表'!B20/2)-1)),0)</f>
        <v>138</v>
      </c>
      <c r="D43" s="230"/>
      <c r="E43" s="230"/>
      <c r="F43" s="231"/>
      <c r="G43" s="3364"/>
    </row>
    <row r="44" spans="1:7" ht="13.5" customHeight="1">
      <c r="A44" s="734" t="s">
        <v>348</v>
      </c>
      <c r="B44" s="207" t="s">
        <v>1546</v>
      </c>
      <c r="C44" s="230">
        <f ca="1">ROUND(IF('数据-取费表'!B22&lt;=1,C40*F22*'数据-取费表'!B20/2,C40*(POWER((1+F22),'数据-取费表'!B20/2)-1)),4)</f>
        <v>5.9999999999999995E-4</v>
      </c>
      <c r="D44" s="230"/>
      <c r="E44" s="230"/>
      <c r="F44" s="231"/>
      <c r="G44" s="3365"/>
    </row>
    <row r="45" spans="1:7" s="206" customFormat="1" ht="13.5" customHeight="1">
      <c r="A45" s="247" t="s">
        <v>1547</v>
      </c>
      <c r="B45" s="236" t="s">
        <v>1513</v>
      </c>
      <c r="C45" s="237">
        <f ca="1">C46</f>
        <v>33734</v>
      </c>
      <c r="D45" s="227">
        <f ca="1">C47</f>
        <v>3.0000000000000001E-3</v>
      </c>
      <c r="E45" s="228" t="s">
        <v>1539</v>
      </c>
      <c r="F45" s="238">
        <f ca="1">F27</f>
        <v>0.15</v>
      </c>
      <c r="G45" s="239" t="s">
        <v>1548</v>
      </c>
    </row>
    <row r="46" spans="1:7" s="206" customFormat="1" ht="13.5" customHeight="1">
      <c r="A46" s="734" t="s">
        <v>346</v>
      </c>
      <c r="B46" s="240" t="s">
        <v>1549</v>
      </c>
      <c r="C46" s="241">
        <f ca="1">ROUND((C33+C39)*F27,0)</f>
        <v>33734</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287801</v>
      </c>
      <c r="D49" s="224"/>
      <c r="E49" s="224"/>
      <c r="F49" s="256"/>
      <c r="G49" s="226" t="s">
        <v>1554</v>
      </c>
    </row>
    <row r="50" spans="1:7" s="250" customFormat="1" ht="13.5">
      <c r="A50" s="247" t="s">
        <v>1555</v>
      </c>
      <c r="B50" s="202" t="s">
        <v>1556</v>
      </c>
      <c r="C50" s="224"/>
      <c r="D50" s="224"/>
      <c r="E50" s="224"/>
      <c r="F50" s="256">
        <f>IF('数据-取费表'!B24=0,'数据-取费表'!N16,1)</f>
        <v>0.72</v>
      </c>
      <c r="G50" s="239"/>
    </row>
    <row r="51" spans="1:7" ht="16.5" customHeight="1">
      <c r="A51" s="247" t="s">
        <v>1558</v>
      </c>
      <c r="B51" s="202" t="s">
        <v>1593</v>
      </c>
      <c r="C51" s="224">
        <f ca="1">ROUND(C49*F50,0)</f>
        <v>207217</v>
      </c>
      <c r="D51" s="224"/>
      <c r="E51" s="224"/>
      <c r="F51" s="256"/>
      <c r="G51" s="226" t="s">
        <v>1560</v>
      </c>
    </row>
    <row r="52" spans="1:7" s="200" customFormat="1" ht="16.5" thickBot="1">
      <c r="A52" s="257" t="s">
        <v>1561</v>
      </c>
      <c r="B52" s="258"/>
      <c r="C52" s="259">
        <f ca="1">C31+C51</f>
        <v>1408416</v>
      </c>
      <c r="D52" s="258"/>
      <c r="E52" s="258"/>
      <c r="F52" s="258"/>
      <c r="G52" s="260"/>
    </row>
    <row r="55" spans="1:7" ht="15.5">
      <c r="B55" s="262" t="s">
        <v>1562</v>
      </c>
      <c r="C55" s="263"/>
    </row>
    <row r="56" spans="1:7" ht="13">
      <c r="B56" s="265" t="s">
        <v>802</v>
      </c>
      <c r="C56" s="267">
        <f ca="1">1-C57</f>
        <v>0.85299999999999998</v>
      </c>
    </row>
    <row r="57" spans="1:7" ht="13">
      <c r="B57" s="265" t="s">
        <v>803</v>
      </c>
      <c r="C57" s="266">
        <f ca="1">ROUND(C51/C52,3)</f>
        <v>0.14699999999999999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7"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16" zoomScaleNormal="80" zoomScaleSheetLayoutView="100" workbookViewId="0">
      <selection activeCell="G61" sqref="G61:G69"/>
    </sheetView>
  </sheetViews>
  <sheetFormatPr defaultColWidth="12" defaultRowHeight="12.5"/>
  <cols>
    <col min="1" max="1" width="9.7265625" style="1895" customWidth="1"/>
    <col min="2" max="2" width="22.453125" style="1983" customWidth="1"/>
    <col min="3" max="3" width="12" style="1845"/>
    <col min="4" max="4" width="14.90625" style="1845" customWidth="1"/>
    <col min="5" max="5" width="14.6328125" style="1845" customWidth="1"/>
    <col min="6" max="8" width="12" style="1845"/>
    <col min="9" max="9" width="12.26953125" style="1845" bestFit="1" customWidth="1"/>
    <col min="10" max="10" width="12" style="1845"/>
    <col min="11" max="11" width="8.08984375" style="1891" customWidth="1"/>
    <col min="12" max="12" width="19.453125" style="1845" customWidth="1"/>
    <col min="13" max="13" width="8.453125" style="1845" customWidth="1"/>
    <col min="14" max="14" width="9.7265625" style="1845" customWidth="1"/>
    <col min="15" max="25" width="12" style="1845"/>
    <col min="26" max="26" width="9.36328125" style="1895" customWidth="1"/>
    <col min="27" max="32" width="9.36328125" style="1058" customWidth="1"/>
    <col min="33" max="36" width="9.36328125" style="1895" customWidth="1"/>
    <col min="37" max="38" width="9.36328125" style="1845" customWidth="1"/>
    <col min="39" max="16384" width="12" style="1845"/>
  </cols>
  <sheetData>
    <row r="1" spans="1:36" ht="30">
      <c r="A1" s="188" t="s">
        <v>1926</v>
      </c>
      <c r="B1" s="189"/>
      <c r="C1" s="193" t="s">
        <v>1927</v>
      </c>
      <c r="D1" s="333">
        <f>SUM(D33:D34,D37:D42)</f>
        <v>55.89</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5">
      <c r="A2" s="193" t="s">
        <v>1934</v>
      </c>
      <c r="B2" s="196">
        <f>C30</f>
        <v>86</v>
      </c>
      <c r="C2" s="1846" t="s">
        <v>1935</v>
      </c>
      <c r="D2" s="162" t="s">
        <v>1936</v>
      </c>
      <c r="E2" s="3119" t="s">
        <v>21</v>
      </c>
      <c r="F2" s="162" t="s">
        <v>1937</v>
      </c>
      <c r="G2" s="163" t="str">
        <f>IF(E2="商业",项目基本情况!B37,IF(E2="办公",项目基本情况!C37,IF(E2="住宅",项目基本情况!D37,IF(E2="工业",项目基本情况!E37,项目基本情况!F37))))</f>
        <v>四级</v>
      </c>
      <c r="H2" s="162" t="s">
        <v>1938</v>
      </c>
      <c r="I2" s="163" t="str">
        <f>IF(E2="商业",项目基本情况!B38,IF(E2="办公",项目基本情况!C38,IF(E2="住宅",项目基本情况!D38,IF(E2="工业",项目基本情况!E38,项目基本情况!F38))))</f>
        <v>Ⅳ-23</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25577</v>
      </c>
      <c r="U2" s="1130"/>
      <c r="V2" s="3062">
        <f>ROUND(T2*U2/10000,0)</f>
        <v>0</v>
      </c>
      <c r="W2" s="1133"/>
      <c r="X2" s="1133"/>
      <c r="Y2" s="1133"/>
      <c r="Z2" s="1133"/>
      <c r="AA2" s="1133"/>
      <c r="AB2" s="1133"/>
      <c r="AC2" s="1134"/>
      <c r="AD2" s="1135"/>
      <c r="AE2" s="1135"/>
      <c r="AF2" s="1135"/>
      <c r="AG2" s="1135"/>
      <c r="AH2" s="1135"/>
      <c r="AI2" s="1135"/>
      <c r="AJ2" s="1136"/>
    </row>
    <row r="3" spans="1:36" ht="15.5">
      <c r="A3" s="195" t="s">
        <v>1940</v>
      </c>
      <c r="B3" s="196">
        <f>ROUND(B2*10000/D1,0)</f>
        <v>15387</v>
      </c>
      <c r="C3" s="1846" t="s">
        <v>1941</v>
      </c>
      <c r="D3" s="162" t="s">
        <v>1942</v>
      </c>
      <c r="E3" s="3117" t="s">
        <v>3409</v>
      </c>
      <c r="F3" s="1848" t="s">
        <v>3465</v>
      </c>
      <c r="G3" s="708">
        <f>IF(F3="宗地容积率",'数据-汇总表'!I4,IF(F3="估价对象容积率",'数据-汇总表'!I6,'数据-汇总表'!I7))</f>
        <v>4.59</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20160</v>
      </c>
      <c r="U3" s="1130"/>
      <c r="V3" s="3062">
        <f t="shared" ref="V3:V16" si="1">ROUND(T3*U3/10000,0)</f>
        <v>0</v>
      </c>
      <c r="W3" s="1133"/>
      <c r="X3" s="1133"/>
      <c r="Y3" s="1133"/>
      <c r="Z3" s="1133"/>
      <c r="AA3" s="1133"/>
      <c r="AB3" s="1133"/>
      <c r="AC3" s="1134"/>
      <c r="AD3" s="1135"/>
      <c r="AE3" s="1135"/>
      <c r="AF3" s="1135"/>
      <c r="AG3" s="1135"/>
      <c r="AH3" s="1135"/>
      <c r="AI3" s="1135"/>
      <c r="AJ3" s="1136"/>
    </row>
    <row r="4" spans="1:36" ht="15.5">
      <c r="A4" s="3476"/>
      <c r="B4" s="3477"/>
      <c r="C4" s="3477"/>
      <c r="D4" s="3478"/>
      <c r="E4" s="3478"/>
      <c r="F4" s="3478"/>
      <c r="G4" s="3478"/>
      <c r="H4" s="3478"/>
      <c r="I4" s="3478"/>
      <c r="J4" s="3479"/>
      <c r="K4" s="1056"/>
      <c r="L4" s="1847" t="s">
        <v>1946</v>
      </c>
      <c r="M4" s="811">
        <f>SUMPRODUCT((区片价!B55:B86=I2)*(区片价!C3:G3=E2)*(区片价!C55:G86))</f>
        <v>19740</v>
      </c>
      <c r="N4" s="813">
        <f>SUMPRODUCT((因素修正幅度!B55:B86=I2)*(因素修正幅度!C3:G3=E2)*(因素修正幅度!C55:G86))</f>
        <v>0.1</v>
      </c>
      <c r="O4" s="1056"/>
      <c r="P4" s="1056"/>
      <c r="Q4" s="1056"/>
      <c r="R4" s="1129">
        <v>3</v>
      </c>
      <c r="S4" s="3062">
        <f>ROUND(SUMPRODUCT((B106:B110=R4)*(C105:N105=G2)*(C106:N110)),4)</f>
        <v>1.0004999999999999</v>
      </c>
      <c r="T4" s="3062">
        <f t="shared" si="0"/>
        <v>17038</v>
      </c>
      <c r="U4" s="1130"/>
      <c r="V4" s="3062">
        <f t="shared" si="1"/>
        <v>0</v>
      </c>
      <c r="W4" s="1133"/>
      <c r="X4" s="1133"/>
      <c r="Y4" s="1133"/>
      <c r="Z4" s="1133"/>
      <c r="AA4" s="1133"/>
      <c r="AB4" s="1133"/>
      <c r="AC4" s="1134"/>
      <c r="AD4" s="1135"/>
      <c r="AE4" s="1135"/>
      <c r="AF4" s="1135"/>
      <c r="AG4" s="1135"/>
      <c r="AH4" s="1135"/>
      <c r="AI4" s="1135"/>
      <c r="AJ4" s="1136"/>
    </row>
    <row r="5" spans="1:36" s="1858" customFormat="1" ht="16" thickBot="1">
      <c r="A5" s="1849" t="s">
        <v>362</v>
      </c>
      <c r="B5" s="1850" t="s">
        <v>1947</v>
      </c>
      <c r="C5" s="709">
        <f>ROUND(IF(E2="商业",C6*C7*C17+C20,(IF(E2="住宅",C6*C13*C17+C20,IF(E2="办公",C6*C12*C17+C20,C6+C20)))),0)</f>
        <v>19740</v>
      </c>
      <c r="D5" s="1252">
        <f>ROUND(C6*C17+C20,0)</f>
        <v>19740</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15027</v>
      </c>
      <c r="U5" s="1130"/>
      <c r="V5" s="3062">
        <f t="shared" si="1"/>
        <v>0</v>
      </c>
      <c r="W5" s="1133"/>
      <c r="X5" s="1133"/>
      <c r="Y5" s="1133"/>
      <c r="Z5" s="1133"/>
      <c r="AA5" s="1133"/>
      <c r="AB5" s="1133"/>
      <c r="AC5" s="1855"/>
      <c r="AD5" s="1856"/>
      <c r="AE5" s="1856"/>
      <c r="AF5" s="1856"/>
      <c r="AG5" s="1856"/>
      <c r="AH5" s="1856"/>
      <c r="AI5" s="1856"/>
      <c r="AJ5" s="1857"/>
    </row>
    <row r="6" spans="1:36" ht="16" thickBot="1">
      <c r="A6" s="1859" t="s">
        <v>1949</v>
      </c>
      <c r="B6" s="1860" t="s">
        <v>1950</v>
      </c>
      <c r="C6" s="710">
        <f>SUMIF(L1:L12,G2,M1:M12)</f>
        <v>19740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14441</v>
      </c>
      <c r="U6" s="1130"/>
      <c r="V6" s="3062">
        <f t="shared" si="1"/>
        <v>0</v>
      </c>
      <c r="W6" s="1133"/>
      <c r="X6" s="1133"/>
      <c r="Y6" s="1133"/>
      <c r="Z6" s="1133"/>
      <c r="AA6" s="1133"/>
      <c r="AB6" s="1133"/>
      <c r="AC6" s="1855"/>
      <c r="AD6" s="1856"/>
      <c r="AE6" s="1856"/>
      <c r="AF6" s="1856"/>
      <c r="AG6" s="1856"/>
      <c r="AH6" s="1856"/>
      <c r="AI6" s="1856"/>
      <c r="AJ6" s="1857"/>
    </row>
    <row r="7" spans="1:36" ht="26.5"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0</v>
      </c>
      <c r="N7" s="813">
        <f>SUMPRODUCT((因素修正幅度!B190:B233=I2)*(因素修正幅度!C3:G3=E2)*(因素修正幅度!C190:G233))</f>
        <v>0</v>
      </c>
      <c r="O7" s="1056"/>
      <c r="P7" s="1056"/>
      <c r="Q7" s="1056"/>
      <c r="R7" s="1129">
        <v>6</v>
      </c>
      <c r="S7" s="3116"/>
      <c r="T7" s="3062">
        <f t="shared" si="0"/>
        <v>0</v>
      </c>
      <c r="U7" s="1130"/>
      <c r="V7" s="3062">
        <f t="shared" si="1"/>
        <v>0</v>
      </c>
      <c r="W7" s="1267" t="s">
        <v>1955</v>
      </c>
      <c r="X7" s="1131" t="str">
        <f>G2</f>
        <v>四级</v>
      </c>
      <c r="Y7" s="1131" t="s">
        <v>1956</v>
      </c>
      <c r="Z7" s="1132">
        <f>G3</f>
        <v>4.59</v>
      </c>
      <c r="AA7" s="1133"/>
      <c r="AB7" s="1133"/>
      <c r="AC7" s="1134"/>
      <c r="AD7" s="1135"/>
      <c r="AE7" s="1135"/>
      <c r="AF7" s="1135"/>
      <c r="AG7" s="1135"/>
      <c r="AH7" s="1135"/>
      <c r="AI7" s="1135"/>
      <c r="AJ7" s="1136"/>
    </row>
    <row r="8" spans="1:36" ht="15.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73" t="s">
        <v>1960</v>
      </c>
      <c r="X8" s="3474"/>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5">
      <c r="A9" s="3008"/>
      <c r="B9" s="162" t="s">
        <v>1973</v>
      </c>
      <c r="C9" s="714">
        <f>SUMIF(修正!C73:C140,C8,修正!E73:E140)</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75"/>
      <c r="X9" s="3063" t="s">
        <v>3266</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5">
      <c r="A10" s="3008"/>
      <c r="B10" s="162" t="s">
        <v>1976</v>
      </c>
      <c r="C10" s="163">
        <f>SUMIF(修正!C73:C140,C8,修正!F73:F140)</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75"/>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7"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6.5"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6">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6">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4">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5"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4">
      <c r="A20" s="3480" t="s">
        <v>3254</v>
      </c>
      <c r="B20" s="159" t="s">
        <v>1994</v>
      </c>
      <c r="C20" s="3030">
        <f>ROUND(IF(F21="与级别开发程度一致",0,(G21-E21)/C21),0)</f>
        <v>0</v>
      </c>
      <c r="D20" s="3045" t="s">
        <v>1998</v>
      </c>
      <c r="E20" s="3046"/>
      <c r="F20" s="3486" t="s">
        <v>1995</v>
      </c>
      <c r="G20" s="3487"/>
      <c r="H20" s="3031"/>
      <c r="I20" s="3031"/>
      <c r="J20" s="3032"/>
      <c r="K20" s="1889"/>
      <c r="L20" s="1889"/>
      <c r="M20" s="1889"/>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5.5" thickBot="1">
      <c r="A21" s="3481"/>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3467</v>
      </c>
      <c r="G21" s="1995">
        <f>SUM(H21:O21)</f>
        <v>0</v>
      </c>
      <c r="H21" s="2003">
        <f>SUMPRODUCT((七通一平=H20)*(修正!B1:M1=G2)*(修正!B8:M16))</f>
        <v>0</v>
      </c>
      <c r="I21" s="2003">
        <f>SUMPRODUCT((七通一平=I20)*(修正!B1:M1=G2)*(修正!B8:M16))</f>
        <v>0</v>
      </c>
      <c r="J21" s="2004">
        <f>SUMPRODUCT((七通一平=J20)*(修正!B1:M1=G2)*(修正!B8:M16))</f>
        <v>0</v>
      </c>
      <c r="K21" s="2003">
        <f>SUMPRODUCT((七通一平=K20)*(修正!B1:M1=G2)*(修正!B8:M16))</f>
        <v>0</v>
      </c>
      <c r="L21" s="2003">
        <f>SUMPRODUCT((七通一平=L20)*(修正!B1:M1=G2)*(修正!B8:M16))</f>
        <v>0</v>
      </c>
      <c r="M21" s="2003">
        <f>SUMPRODUCT((七通一平=M20)*(修正!B1:M1=G2)*(修正!B8:M16))</f>
        <v>0</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4.5" thickBot="1">
      <c r="A22" s="1996" t="s">
        <v>363</v>
      </c>
      <c r="B22" s="1997" t="s">
        <v>2000</v>
      </c>
      <c r="C22" s="1998">
        <f>SUMIF(修正!C20:C53,E3,修正!E20:E53)</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5.5"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896" t="s">
        <v>2002</v>
      </c>
      <c r="E23" s="717">
        <v>44197</v>
      </c>
      <c r="F23" s="1896" t="s">
        <v>2003</v>
      </c>
      <c r="G23" s="718">
        <f>'数据-取费表'!B2</f>
        <v>45950</v>
      </c>
      <c r="H23" s="3047" t="s">
        <v>3468</v>
      </c>
      <c r="I23" s="3048" t="str">
        <f>IF(H23="季度增幅（自定义）",SUMIF(N25:N28,E2,O25:O28),"")</f>
        <v/>
      </c>
      <c r="J23" s="3140" t="s">
        <v>3469</v>
      </c>
      <c r="K23" s="1061"/>
      <c r="L23" s="1897" t="s">
        <v>2004</v>
      </c>
      <c r="M23" s="1241">
        <f>ROUND(SUMIF(地价!B2:G2,E2,地价!B16:G16),0)</f>
        <v>350</v>
      </c>
      <c r="N23" s="1898" t="s">
        <v>2005</v>
      </c>
      <c r="O23" s="719">
        <f>ROUNDDOWN(DATEDIF(E23,G23,"M")/3,0)</f>
        <v>19</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6.5" thickBot="1">
      <c r="A24" s="1900" t="s">
        <v>365</v>
      </c>
      <c r="B24" s="1901" t="s">
        <v>2006</v>
      </c>
      <c r="C24" s="720">
        <f>ROUND(POWER(1+G24,J24-I24)*(POWER(1+G24,I24)-1)/(POWER(1+G24,J24)-1),4)</f>
        <v>0.84489999999999998</v>
      </c>
      <c r="D24" s="1902" t="s">
        <v>2007</v>
      </c>
      <c r="E24" s="1248">
        <f>存贷款利率!E28/100</f>
        <v>4.3499999999999997E-2</v>
      </c>
      <c r="F24" s="1902" t="s">
        <v>1999</v>
      </c>
      <c r="G24" s="724">
        <f>SUMIF(M30:Q30,E2,M33:Q33)</f>
        <v>5.5E-2</v>
      </c>
      <c r="H24" s="1902" t="s">
        <v>2008</v>
      </c>
      <c r="I24" s="725">
        <f>SUMIF('数据-取费表'!C6:C15,E2,'数据-取费表'!F6:F15)/COUNTIF('数据-取费表'!C6:C15,E2)</f>
        <v>28.87</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
      <c r="A25" s="1907" t="s">
        <v>366</v>
      </c>
      <c r="B25" s="1908" t="s">
        <v>3333</v>
      </c>
      <c r="C25" s="461">
        <f>IF(B25="容积率修正",IF(G3&lt;10,D26,J26),C27)</f>
        <v>0.90239999999999998</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5">
      <c r="A26" s="1806" t="s">
        <v>2014</v>
      </c>
      <c r="B26" s="1912" t="s">
        <v>2015</v>
      </c>
      <c r="C26" s="1912" t="s">
        <v>3255</v>
      </c>
      <c r="D26" s="1263">
        <f>IF(E26=G26,F26,IF(G3&lt;10,ROUND(F26+(H26-F26)*(G3-E26)/(G26-E26),4),"——"))</f>
        <v>0.90239999999999998</v>
      </c>
      <c r="E26" s="708">
        <f>ROUNDDOWN(G3,1)</f>
        <v>4.5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0.90459999999999996</v>
      </c>
      <c r="G26" s="708">
        <f>ROUNDUP(G3,1)</f>
        <v>4.5999999999999996</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0.90210000000000001</v>
      </c>
      <c r="I26" s="1912" t="s">
        <v>3256</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4.5" thickBot="1">
      <c r="A28" s="1900" t="s">
        <v>367</v>
      </c>
      <c r="B28" s="1893" t="s">
        <v>2020</v>
      </c>
      <c r="C28" s="716">
        <f>SUMIF(A47:A101,E2,B47:B101)</f>
        <v>1.0495000000000001</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4.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
      <c r="A30" s="1924"/>
      <c r="B30" s="1912" t="s">
        <v>2024</v>
      </c>
      <c r="C30" s="2145">
        <f>IF(B25="容积率修正",E33+SUM(E37:E42),SUM(V2:V16)+SUM(E37:E42))</f>
        <v>86</v>
      </c>
      <c r="D30" s="1925"/>
      <c r="E30" s="1842"/>
      <c r="F30" s="1926"/>
      <c r="G30" s="1842"/>
      <c r="H30" s="1842"/>
      <c r="I30" s="1842"/>
      <c r="J30" s="1927"/>
      <c r="K30" s="1056"/>
      <c r="L30" s="3054" t="s">
        <v>1936</v>
      </c>
      <c r="M30" s="3055" t="s">
        <v>1990</v>
      </c>
      <c r="N30" s="3055" t="s">
        <v>1991</v>
      </c>
      <c r="O30" s="3055" t="s">
        <v>1992</v>
      </c>
      <c r="P30" s="3055" t="s">
        <v>1993</v>
      </c>
      <c r="Q30" s="3058" t="s">
        <v>3260</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4.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4.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4">
      <c r="A33" s="1938"/>
      <c r="B33" s="1939" t="s">
        <v>2030</v>
      </c>
      <c r="C33" s="167">
        <f>ROUND(C5*C22*C23*C24*C25*C28,0)</f>
        <v>15367</v>
      </c>
      <c r="D33" s="1940">
        <f>'数据-汇总表'!E19</f>
        <v>55.89</v>
      </c>
      <c r="E33" s="727">
        <f>ROUND(C33*D33/10000,0)</f>
        <v>86</v>
      </c>
      <c r="F33" s="3049" t="s">
        <v>3258</v>
      </c>
      <c r="G33" s="1941"/>
      <c r="H33" s="1941"/>
      <c r="I33" s="1941"/>
      <c r="J33" s="1942"/>
      <c r="K33" s="1056"/>
      <c r="L33" s="3052" t="s">
        <v>3261</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6.5" thickBot="1">
      <c r="A34" s="1943"/>
      <c r="B34" s="1944" t="s">
        <v>2031</v>
      </c>
      <c r="C34" s="179">
        <f>ROUND(IF(E2="工业",C33*M42,IF(B25="楼层修正",SUM(V2:V16)*M41*10000/D34,C33*M41)),0)</f>
        <v>3842</v>
      </c>
      <c r="D34" s="1945"/>
      <c r="E34" s="727">
        <f>ROUND(IF(B25="楼层修正",SUM(V2:V16)*M40,C34*D34/10000),0)</f>
        <v>0</v>
      </c>
      <c r="F34" s="1946" t="s">
        <v>2032</v>
      </c>
      <c r="G34" s="1947"/>
      <c r="H34" s="1947"/>
      <c r="I34" s="1947"/>
      <c r="J34" s="1948"/>
      <c r="K34" s="1056"/>
      <c r="L34" s="3052" t="s">
        <v>3262</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ht="13">
      <c r="A35" s="1949"/>
      <c r="B35" s="1950" t="s">
        <v>2033</v>
      </c>
      <c r="C35" s="3050" t="s">
        <v>3259</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26.5" thickBot="1">
      <c r="A36" s="1938"/>
      <c r="B36" s="1953"/>
      <c r="C36" s="436" t="s">
        <v>2027</v>
      </c>
      <c r="D36" s="433" t="s">
        <v>2028</v>
      </c>
      <c r="E36" s="433" t="s">
        <v>2029</v>
      </c>
      <c r="F36" s="333" t="s">
        <v>2035</v>
      </c>
      <c r="G36" s="1954" t="s">
        <v>2027</v>
      </c>
      <c r="H36" s="1954" t="s">
        <v>2028</v>
      </c>
      <c r="I36" s="1954" t="s">
        <v>2029</v>
      </c>
      <c r="J36" s="235"/>
      <c r="K36" s="1964" t="s">
        <v>3263</v>
      </c>
      <c r="L36" s="3141">
        <f ca="1">'数据-取费表'!B40</f>
        <v>3.1300000000000001E-2</v>
      </c>
      <c r="M36" s="2365">
        <f ca="1">ROUND($L$36*(1+M31),3)</f>
        <v>3.9E-2</v>
      </c>
      <c r="N36" s="2365">
        <f ca="1">ROUND($L$36*(1+N31),3)</f>
        <v>3.7999999999999999E-2</v>
      </c>
      <c r="O36" s="2365">
        <f ca="1">ROUND($L$36*(1+O31),3)</f>
        <v>3.5999999999999997E-2</v>
      </c>
      <c r="P36" s="2365">
        <f ca="1">ROUND($L$36*(1+P31),3)</f>
        <v>3.4000000000000002E-2</v>
      </c>
      <c r="Q36" s="2365">
        <f ca="1">ROUND($L$36*(1+Q31),3)</f>
        <v>3.5999999999999997E-2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6.5" thickBot="1">
      <c r="A37" s="3484"/>
      <c r="B37" s="1955" t="s">
        <v>2036</v>
      </c>
      <c r="C37" s="167">
        <f>ROUND(D5*C22*C23*C24*C28*F37,0)</f>
        <v>10218</v>
      </c>
      <c r="D37" s="1940"/>
      <c r="E37" s="163">
        <f>ROUND(C37*D37/10000,0)</f>
        <v>0</v>
      </c>
      <c r="F37" s="163">
        <f>SUMIF(修正!A59:A70,G2,修正!B59:B70)</f>
        <v>0.6</v>
      </c>
      <c r="G37" s="163">
        <f>ROUND(IF(E2="工业",C37*$M$42,C37*$M$41),0)</f>
        <v>2555</v>
      </c>
      <c r="H37" s="163">
        <f>D37</f>
        <v>0</v>
      </c>
      <c r="I37" s="163">
        <f>ROUND(G37*H37/10000,0)</f>
        <v>0</v>
      </c>
      <c r="J37" s="2753"/>
      <c r="K37" s="3060" t="s">
        <v>3264</v>
      </c>
      <c r="L37" s="1964">
        <f ca="1">L36+K38</f>
        <v>3.6299999999999999E-2</v>
      </c>
      <c r="M37" s="2365">
        <f ca="1">ROUND($L$37*(1+M31),3)</f>
        <v>4.4999999999999998E-2</v>
      </c>
      <c r="N37" s="2365">
        <f t="shared" ref="N37:Q37" ca="1" si="3">ROUND($L$37*(1+N31),3)</f>
        <v>4.3999999999999997E-2</v>
      </c>
      <c r="O37" s="2365">
        <f t="shared" ca="1" si="3"/>
        <v>4.2000000000000003E-2</v>
      </c>
      <c r="P37" s="2365">
        <f t="shared" ca="1" si="3"/>
        <v>0.04</v>
      </c>
      <c r="Q37" s="2365">
        <f t="shared" ca="1" si="3"/>
        <v>4.2000000000000003E-2</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ht="13">
      <c r="A38" s="3485"/>
      <c r="B38" s="1884" t="s">
        <v>2037</v>
      </c>
      <c r="C38" s="167">
        <f>ROUND(D5*C22*C23*C24*C28*F38,0)</f>
        <v>5109</v>
      </c>
      <c r="D38" s="1940"/>
      <c r="E38" s="163">
        <f t="shared" ref="E38:E42" si="4">ROUND(C38*D38/10000,0)</f>
        <v>0</v>
      </c>
      <c r="F38" s="163">
        <f>SUMIF(修正!A59:A70,G2,修正!C59:C70)</f>
        <v>0.3</v>
      </c>
      <c r="G38" s="163">
        <f>ROUND(IF(E2="工业",C38*$M$42,C38*$M$41),0)</f>
        <v>1277</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5" thickBot="1">
      <c r="A39" s="3485"/>
      <c r="B39" s="1884" t="s">
        <v>3257</v>
      </c>
      <c r="C39" s="167">
        <f>ROUND(D5*C22*C23*C24*C28*F39,0)</f>
        <v>4257</v>
      </c>
      <c r="D39" s="1940"/>
      <c r="E39" s="163">
        <f t="shared" si="4"/>
        <v>0</v>
      </c>
      <c r="F39" s="163">
        <f>SUMIF(修正!A59:A70,G2,修正!D59:D70)</f>
        <v>0.25</v>
      </c>
      <c r="G39" s="163">
        <f>ROUND(IF(E2="工业",C39*$M$42,C39*$M$41),0)</f>
        <v>1064</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ht="13">
      <c r="A40" s="1956"/>
      <c r="B40" s="1884" t="s">
        <v>2038</v>
      </c>
      <c r="C40" s="163">
        <f>ROUND(D5*C22*C23*C24*C28*F40,0)</f>
        <v>4257</v>
      </c>
      <c r="D40" s="1940"/>
      <c r="E40" s="163">
        <f t="shared" si="4"/>
        <v>0</v>
      </c>
      <c r="F40" s="167">
        <f>SUMIF(修正!A59:A70,G2,修正!E59:E70)</f>
        <v>0.25</v>
      </c>
      <c r="G40" s="163">
        <f>ROUND(IF(E2="工业",C40*$M$42,C40*$M$41),0)</f>
        <v>1064</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ht="13">
      <c r="A41" s="1956"/>
      <c r="B41" s="1884" t="s">
        <v>2040</v>
      </c>
      <c r="C41" s="163">
        <f>ROUND(D5*C22*C23*C44*C28*F41,0)</f>
        <v>0</v>
      </c>
      <c r="D41" s="1940"/>
      <c r="E41" s="163">
        <f t="shared" si="4"/>
        <v>0</v>
      </c>
      <c r="F41" s="167">
        <f>SUMIF(修正!A59:A70,G2,修正!F59:F70)</f>
        <v>0.25</v>
      </c>
      <c r="G41" s="163">
        <f>ROUND(IF(E2="工业",C41*$M$42,C41*$M$41),0)</f>
        <v>0</v>
      </c>
      <c r="H41" s="163">
        <f t="shared" si="5"/>
        <v>0</v>
      </c>
      <c r="I41" s="163">
        <f t="shared" si="6"/>
        <v>0</v>
      </c>
      <c r="J41" s="939"/>
      <c r="L41" s="3061" t="s">
        <v>3265</v>
      </c>
      <c r="M41" s="1959">
        <v>0.25</v>
      </c>
      <c r="Z41" s="1057"/>
      <c r="AA41" s="1057"/>
      <c r="AB41" s="1057"/>
      <c r="AC41" s="1057"/>
      <c r="AD41" s="1057"/>
      <c r="AE41" s="1057"/>
      <c r="AF41" s="1057"/>
      <c r="AG41" s="1057"/>
      <c r="AH41" s="1057"/>
      <c r="AI41" s="1057"/>
      <c r="AJ41" s="1057"/>
    </row>
    <row r="42" spans="1:37" s="1056" customFormat="1" ht="13.5" thickBot="1">
      <c r="A42" s="1943"/>
      <c r="B42" s="1960" t="s">
        <v>2041</v>
      </c>
      <c r="C42" s="179">
        <f>ROUND(D5*C22*C23*C44*C28*F42,0)</f>
        <v>0</v>
      </c>
      <c r="D42" s="1945"/>
      <c r="E42" s="179">
        <f t="shared" si="4"/>
        <v>0</v>
      </c>
      <c r="F42" s="723">
        <f>SUMIF(修正!A59:A70,G2,修正!G59:G70)</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13">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4.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6">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7.5">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0">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39">
      <c r="A52" s="3069" t="s">
        <v>3267</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9">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6">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2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26.5"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
      <c r="A59" s="1967" t="s">
        <v>2062</v>
      </c>
      <c r="B59" s="1968">
        <f>1+E61</f>
        <v>1.0495000000000001</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6">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7.5">
      <c r="A61" s="1970" t="s">
        <v>2064</v>
      </c>
      <c r="B61" s="1973" t="str">
        <f>估价对象房地状况!C17</f>
        <v>估价对象位于XX商圈，周边办公楼项目较多，入驻率高，办公集聚程度较好</v>
      </c>
      <c r="C61" s="1887" t="s">
        <v>3470</v>
      </c>
      <c r="D61" s="1002">
        <f t="shared" ref="D61:D69" si="12">SUMIF($J$60:$N$60,C61,J61:N61)</f>
        <v>1.2500000000000001E-2</v>
      </c>
      <c r="E61" s="702">
        <f>ROUND(SUM(D61:D69),4)</f>
        <v>4.9500000000000002E-2</v>
      </c>
      <c r="F61" s="1675">
        <f>IF(E2="办公",SUMIF(L1:L12,G2,N1:N12),"——")</f>
        <v>0.1</v>
      </c>
      <c r="G61" s="1000">
        <v>1.2500000000000001E-2</v>
      </c>
      <c r="H61" s="1003">
        <f t="shared" ref="H61:H69" si="13">IFERROR(ROUNDDOWN($F$61*I61/2,4),"——")</f>
        <v>1.2500000000000001E-2</v>
      </c>
      <c r="I61" s="3067">
        <v>0.25</v>
      </c>
      <c r="J61" s="1001">
        <f t="shared" ref="J61:J69" si="14">K61+$G61</f>
        <v>2.5000000000000001E-2</v>
      </c>
      <c r="K61" s="1001">
        <f t="shared" ref="K61:K69" si="15">$L61+$G61</f>
        <v>1.2500000000000001E-2</v>
      </c>
      <c r="L61" s="1001">
        <v>0</v>
      </c>
      <c r="M61" s="1001">
        <f t="shared" ref="M61:N69" si="16">L61-$G61</f>
        <v>-1.2500000000000001E-2</v>
      </c>
      <c r="N61" s="1001">
        <f t="shared" si="16"/>
        <v>-2.5000000000000001E-2</v>
      </c>
      <c r="AA61" s="1057"/>
      <c r="AB61" s="1057"/>
      <c r="AC61" s="1057"/>
      <c r="AD61" s="1057"/>
      <c r="AE61" s="1057"/>
      <c r="AF61" s="1057"/>
      <c r="AG61" s="1057"/>
      <c r="AH61" s="1057"/>
      <c r="AI61" s="1057"/>
      <c r="AJ61" s="1057"/>
      <c r="AK61" s="1057"/>
    </row>
    <row r="62" spans="1:37" s="1056" customFormat="1" ht="50">
      <c r="A62" s="1970" t="s">
        <v>2053</v>
      </c>
      <c r="B62" s="1262" t="str">
        <f>估价对象房地状况!C18</f>
        <v>估价对象周边道路状况、公共交通通达情况、停车便捷程度，综合评价交通便捷度较好</v>
      </c>
      <c r="C62" s="1887" t="s">
        <v>3470</v>
      </c>
      <c r="D62" s="1002">
        <f t="shared" si="12"/>
        <v>1.2999999999999999E-2</v>
      </c>
      <c r="E62" s="703"/>
      <c r="F62" s="1675"/>
      <c r="G62" s="1000">
        <v>1.2999999999999999E-2</v>
      </c>
      <c r="H62" s="1003">
        <f t="shared" si="13"/>
        <v>1.2999999999999999E-2</v>
      </c>
      <c r="I62" s="3067">
        <v>0.26</v>
      </c>
      <c r="J62" s="1001">
        <f t="shared" si="14"/>
        <v>2.5999999999999999E-2</v>
      </c>
      <c r="K62" s="1001">
        <f t="shared" si="15"/>
        <v>1.2999999999999999E-2</v>
      </c>
      <c r="L62" s="1001">
        <v>0</v>
      </c>
      <c r="M62" s="1001">
        <f t="shared" si="16"/>
        <v>-1.2999999999999999E-2</v>
      </c>
      <c r="N62" s="1001">
        <f t="shared" si="16"/>
        <v>-2.5999999999999999E-2</v>
      </c>
      <c r="AA62" s="1057"/>
      <c r="AB62" s="1057"/>
      <c r="AC62" s="1057"/>
      <c r="AD62" s="1057"/>
      <c r="AE62" s="1057"/>
      <c r="AF62" s="1057"/>
      <c r="AG62" s="1057"/>
      <c r="AH62" s="1057"/>
      <c r="AI62" s="1057"/>
      <c r="AJ62" s="1057"/>
      <c r="AK62" s="1057"/>
    </row>
    <row r="63" spans="1:37" s="1056" customFormat="1" ht="39">
      <c r="A63" s="3069" t="s">
        <v>3267</v>
      </c>
      <c r="B63" s="1262">
        <f>估价对象房地状况!C19</f>
        <v>0</v>
      </c>
      <c r="C63" s="1887" t="s">
        <v>3470</v>
      </c>
      <c r="D63" s="1002">
        <f t="shared" si="12"/>
        <v>5.4999999999999997E-3</v>
      </c>
      <c r="E63" s="703"/>
      <c r="F63" s="1675"/>
      <c r="G63" s="1000">
        <v>5.4999999999999997E-3</v>
      </c>
      <c r="H63" s="1003">
        <f t="shared" si="13"/>
        <v>5.4999999999999997E-3</v>
      </c>
      <c r="I63" s="3067">
        <v>0.11</v>
      </c>
      <c r="J63" s="1001">
        <f t="shared" si="14"/>
        <v>1.0999999999999999E-2</v>
      </c>
      <c r="K63" s="1001">
        <f t="shared" si="15"/>
        <v>5.4999999999999997E-3</v>
      </c>
      <c r="L63" s="1001">
        <v>0</v>
      </c>
      <c r="M63" s="1001">
        <f t="shared" si="16"/>
        <v>-5.4999999999999997E-3</v>
      </c>
      <c r="N63" s="1001">
        <f t="shared" si="16"/>
        <v>-1.0999999999999999E-2</v>
      </c>
      <c r="AA63" s="1057"/>
      <c r="AB63" s="1057"/>
      <c r="AC63" s="1057"/>
      <c r="AD63" s="1057"/>
      <c r="AE63" s="1057"/>
      <c r="AF63" s="1057"/>
      <c r="AG63" s="1057"/>
      <c r="AH63" s="1057"/>
      <c r="AI63" s="1057"/>
      <c r="AJ63" s="1057"/>
      <c r="AK63" s="1057"/>
    </row>
    <row r="64" spans="1:37" s="1056" customFormat="1" ht="39">
      <c r="A64" s="1970" t="s">
        <v>2054</v>
      </c>
      <c r="B64" s="1974" t="s">
        <v>2055</v>
      </c>
      <c r="C64" s="1887" t="s">
        <v>3470</v>
      </c>
      <c r="D64" s="1002">
        <f t="shared" si="12"/>
        <v>2.5000000000000001E-3</v>
      </c>
      <c r="E64" s="703"/>
      <c r="F64" s="1675"/>
      <c r="G64" s="1000">
        <v>2.5000000000000001E-3</v>
      </c>
      <c r="H64" s="1003">
        <f t="shared" si="13"/>
        <v>2.5000000000000001E-3</v>
      </c>
      <c r="I64" s="3067">
        <v>0.05</v>
      </c>
      <c r="J64" s="1001">
        <f t="shared" si="14"/>
        <v>5.0000000000000001E-3</v>
      </c>
      <c r="K64" s="1001">
        <f t="shared" si="15"/>
        <v>2.5000000000000001E-3</v>
      </c>
      <c r="L64" s="1001">
        <v>0</v>
      </c>
      <c r="M64" s="1001">
        <f t="shared" si="16"/>
        <v>-2.5000000000000001E-3</v>
      </c>
      <c r="N64" s="1001">
        <f t="shared" si="16"/>
        <v>-5.0000000000000001E-3</v>
      </c>
      <c r="AA64" s="1057"/>
      <c r="AB64" s="1057"/>
      <c r="AC64" s="1057"/>
      <c r="AD64" s="1057"/>
      <c r="AE64" s="1057"/>
      <c r="AF64" s="1057"/>
      <c r="AG64" s="1057"/>
      <c r="AH64" s="1057"/>
      <c r="AI64" s="1057"/>
      <c r="AJ64" s="1057"/>
      <c r="AK64" s="1057"/>
    </row>
    <row r="65" spans="1:37" s="1056" customFormat="1" ht="26">
      <c r="A65" s="1970" t="s">
        <v>2056</v>
      </c>
      <c r="B65" s="1262">
        <f>估价对象房地状况!C24</f>
        <v>0</v>
      </c>
      <c r="C65" s="1887" t="s">
        <v>3471</v>
      </c>
      <c r="D65" s="1002">
        <f t="shared" si="12"/>
        <v>-2.5000000000000001E-3</v>
      </c>
      <c r="E65" s="703"/>
      <c r="F65" s="1675"/>
      <c r="G65" s="1000">
        <v>2.5000000000000001E-3</v>
      </c>
      <c r="H65" s="1003">
        <f t="shared" si="13"/>
        <v>2.5000000000000001E-3</v>
      </c>
      <c r="I65" s="3067">
        <v>0.05</v>
      </c>
      <c r="J65" s="1001">
        <f t="shared" si="14"/>
        <v>5.0000000000000001E-3</v>
      </c>
      <c r="K65" s="1001">
        <f t="shared" si="15"/>
        <v>2.5000000000000001E-3</v>
      </c>
      <c r="L65" s="1001">
        <v>0</v>
      </c>
      <c r="M65" s="1001">
        <f t="shared" si="16"/>
        <v>-2.5000000000000001E-3</v>
      </c>
      <c r="N65" s="1001">
        <f t="shared" si="16"/>
        <v>-5.0000000000000001E-3</v>
      </c>
      <c r="AA65" s="1057"/>
      <c r="AB65" s="1057"/>
      <c r="AC65" s="1057"/>
      <c r="AD65" s="1057"/>
      <c r="AE65" s="1057"/>
      <c r="AF65" s="1057"/>
      <c r="AG65" s="1057"/>
      <c r="AH65" s="1057"/>
      <c r="AI65" s="1057"/>
      <c r="AJ65" s="1057"/>
      <c r="AK65" s="1057"/>
    </row>
    <row r="66" spans="1:37" s="1056" customFormat="1" ht="26">
      <c r="A66" s="1970" t="s">
        <v>2057</v>
      </c>
      <c r="B66" s="1975" t="s">
        <v>2058</v>
      </c>
      <c r="C66" s="1887" t="s">
        <v>3470</v>
      </c>
      <c r="D66" s="1002">
        <f t="shared" si="12"/>
        <v>3.0000000000000001E-3</v>
      </c>
      <c r="E66" s="703"/>
      <c r="F66" s="1675"/>
      <c r="G66" s="1000">
        <v>3.0000000000000001E-3</v>
      </c>
      <c r="H66" s="1003">
        <f t="shared" si="13"/>
        <v>3.0000000000000001E-3</v>
      </c>
      <c r="I66" s="3067">
        <v>0.06</v>
      </c>
      <c r="J66" s="1001">
        <f t="shared" si="14"/>
        <v>6.0000000000000001E-3</v>
      </c>
      <c r="K66" s="1001">
        <f t="shared" si="15"/>
        <v>3.0000000000000001E-3</v>
      </c>
      <c r="L66" s="1001">
        <v>0</v>
      </c>
      <c r="M66" s="1001">
        <f t="shared" si="16"/>
        <v>-3.0000000000000001E-3</v>
      </c>
      <c r="N66" s="1001">
        <f t="shared" si="16"/>
        <v>-6.0000000000000001E-3</v>
      </c>
      <c r="AA66" s="1057"/>
      <c r="AB66" s="1057"/>
      <c r="AC66" s="1057"/>
      <c r="AD66" s="1057"/>
      <c r="AE66" s="1057"/>
      <c r="AF66" s="1057"/>
      <c r="AG66" s="1057"/>
      <c r="AH66" s="1057"/>
      <c r="AI66" s="1057"/>
      <c r="AJ66" s="1057"/>
      <c r="AK66" s="1057"/>
    </row>
    <row r="67" spans="1:37" s="1056" customFormat="1" ht="26">
      <c r="A67" s="1970" t="s">
        <v>2059</v>
      </c>
      <c r="B67" s="1240" t="str">
        <f>估价对象房地状况!C21</f>
        <v>估价对象所在区域公共配套设施齐备情况</v>
      </c>
      <c r="C67" s="1887" t="s">
        <v>3470</v>
      </c>
      <c r="D67" s="1002">
        <f t="shared" si="12"/>
        <v>3.0000000000000001E-3</v>
      </c>
      <c r="E67" s="703"/>
      <c r="F67" s="1675"/>
      <c r="G67" s="1000">
        <v>3.0000000000000001E-3</v>
      </c>
      <c r="H67" s="1003">
        <f t="shared" si="13"/>
        <v>3.0000000000000001E-3</v>
      </c>
      <c r="I67" s="3067">
        <v>0.06</v>
      </c>
      <c r="J67" s="1001">
        <f t="shared" si="14"/>
        <v>6.0000000000000001E-3</v>
      </c>
      <c r="K67" s="1001">
        <f t="shared" si="15"/>
        <v>3.0000000000000001E-3</v>
      </c>
      <c r="L67" s="1001">
        <v>0</v>
      </c>
      <c r="M67" s="1001">
        <f t="shared" si="16"/>
        <v>-3.0000000000000001E-3</v>
      </c>
      <c r="N67" s="1001">
        <f t="shared" si="16"/>
        <v>-6.0000000000000001E-3</v>
      </c>
      <c r="AA67" s="1057"/>
      <c r="AB67" s="1057"/>
      <c r="AC67" s="1057"/>
      <c r="AD67" s="1057"/>
      <c r="AE67" s="1057"/>
      <c r="AF67" s="1057"/>
      <c r="AG67" s="1057"/>
      <c r="AH67" s="1057"/>
      <c r="AI67" s="1057"/>
      <c r="AJ67" s="1057"/>
      <c r="AK67" s="1057"/>
    </row>
    <row r="68" spans="1:37" s="1056" customFormat="1" ht="26">
      <c r="A68" s="1970" t="s">
        <v>2060</v>
      </c>
      <c r="B68" s="1240" t="str">
        <f>估价对象房地状况!C22</f>
        <v>估价对象所在区域基础设施水平</v>
      </c>
      <c r="C68" s="1887" t="s">
        <v>3472</v>
      </c>
      <c r="D68" s="1002">
        <f t="shared" si="12"/>
        <v>8.9999999999999993E-3</v>
      </c>
      <c r="E68" s="703"/>
      <c r="F68" s="1675"/>
      <c r="G68" s="1000">
        <v>4.4999999999999997E-3</v>
      </c>
      <c r="H68" s="1003">
        <f t="shared" si="13"/>
        <v>4.4999999999999997E-3</v>
      </c>
      <c r="I68" s="3067">
        <v>0.09</v>
      </c>
      <c r="J68" s="1001">
        <f t="shared" si="14"/>
        <v>8.9999999999999993E-3</v>
      </c>
      <c r="K68" s="1001">
        <f t="shared" si="15"/>
        <v>4.4999999999999997E-3</v>
      </c>
      <c r="L68" s="1001">
        <v>0</v>
      </c>
      <c r="M68" s="1001">
        <f t="shared" si="16"/>
        <v>-4.4999999999999997E-3</v>
      </c>
      <c r="N68" s="1001">
        <f t="shared" si="16"/>
        <v>-8.9999999999999993E-3</v>
      </c>
      <c r="AA68" s="1057"/>
      <c r="AB68" s="1057"/>
      <c r="AC68" s="1057"/>
      <c r="AD68" s="1057"/>
      <c r="AE68" s="1057"/>
      <c r="AF68" s="1057"/>
      <c r="AG68" s="1057"/>
      <c r="AH68" s="1057"/>
      <c r="AI68" s="1057"/>
      <c r="AJ68" s="1057"/>
      <c r="AK68" s="1057"/>
    </row>
    <row r="69" spans="1:37" s="1056" customFormat="1" ht="26.5" thickBot="1">
      <c r="A69" s="1977" t="s">
        <v>2061</v>
      </c>
      <c r="B69" s="1979" t="str">
        <f>估价对象房地状况!C20</f>
        <v>区域自然环境：；人文环境；综合评价环境状况一般</v>
      </c>
      <c r="C69" s="1887" t="s">
        <v>3470</v>
      </c>
      <c r="D69" s="1002">
        <f t="shared" si="12"/>
        <v>3.5000000000000001E-3</v>
      </c>
      <c r="E69" s="704"/>
      <c r="F69" s="1675"/>
      <c r="G69" s="1000">
        <v>3.5000000000000001E-3</v>
      </c>
      <c r="H69" s="1003">
        <f t="shared" si="13"/>
        <v>3.5000000000000001E-3</v>
      </c>
      <c r="I69" s="3068">
        <v>7.0000000000000007E-2</v>
      </c>
      <c r="J69" s="1001">
        <f t="shared" si="14"/>
        <v>7.0000000000000001E-3</v>
      </c>
      <c r="K69" s="1001">
        <f t="shared" si="15"/>
        <v>3.5000000000000001E-3</v>
      </c>
      <c r="L69" s="1001">
        <v>0</v>
      </c>
      <c r="M69" s="1001">
        <f t="shared" si="16"/>
        <v>-3.5000000000000001E-3</v>
      </c>
      <c r="N69" s="1001">
        <f t="shared" si="16"/>
        <v>-7.0000000000000001E-3</v>
      </c>
      <c r="AA69" s="1057"/>
      <c r="AB69" s="1057"/>
      <c r="AC69" s="1057"/>
      <c r="AD69" s="1057"/>
      <c r="AE69" s="1057"/>
      <c r="AF69" s="1057"/>
      <c r="AG69" s="1057"/>
      <c r="AH69" s="1057"/>
      <c r="AI69" s="1057"/>
      <c r="AJ69" s="1057"/>
      <c r="AK69" s="1057"/>
    </row>
    <row r="70" spans="1:37" s="1056" customFormat="1" ht="1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6">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0">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0">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39">
      <c r="A74" s="3069" t="s">
        <v>3267</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4">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2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2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26.5"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
      <c r="A81" s="1967" t="s">
        <v>2069</v>
      </c>
      <c r="B81" s="1968">
        <f>1+E83</f>
        <v>1</v>
      </c>
      <c r="C81" s="699"/>
      <c r="D81" s="699"/>
      <c r="E81" s="700"/>
      <c r="F81" s="1969"/>
      <c r="G81" s="3"/>
      <c r="H81" s="3"/>
      <c r="I81" s="3"/>
      <c r="J81" s="4"/>
      <c r="K81" s="4"/>
      <c r="L81" s="4"/>
      <c r="M81" s="4"/>
      <c r="N81" s="4"/>
      <c r="Z81" s="1845"/>
      <c r="AA81" s="1895"/>
      <c r="AG81" s="1058"/>
      <c r="AK81" s="1895"/>
    </row>
    <row r="82" spans="1:37" ht="26">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7.5">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0">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39">
      <c r="A85" s="3069" t="s">
        <v>3268</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4">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2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38"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4">
      <c r="A91" s="3077" t="s">
        <v>2612</v>
      </c>
      <c r="B91" s="3078">
        <f>1+E93</f>
        <v>1</v>
      </c>
      <c r="C91" s="3071"/>
      <c r="D91" s="3072"/>
      <c r="E91" s="1675"/>
      <c r="F91" s="1675"/>
      <c r="G91" s="3073"/>
      <c r="H91" s="3074"/>
      <c r="I91" s="3075"/>
      <c r="J91" s="3076"/>
      <c r="K91" s="3076"/>
      <c r="L91" s="3076"/>
      <c r="M91" s="3076"/>
      <c r="N91" s="3076"/>
    </row>
    <row r="92" spans="1:37" ht="26">
      <c r="A92" s="3079" t="s">
        <v>3269</v>
      </c>
      <c r="B92" s="2309"/>
      <c r="C92" s="2309" t="s">
        <v>3278</v>
      </c>
      <c r="D92" s="2309" t="s">
        <v>3279</v>
      </c>
      <c r="E92" s="3051" t="s">
        <v>3280</v>
      </c>
      <c r="F92" s="3081" t="s">
        <v>3281</v>
      </c>
      <c r="G92" s="2309" t="s">
        <v>3282</v>
      </c>
      <c r="H92" s="3088" t="s">
        <v>3285</v>
      </c>
      <c r="I92" s="2309" t="s">
        <v>3286</v>
      </c>
      <c r="J92" s="2150" t="s">
        <v>3287</v>
      </c>
      <c r="K92" s="2150" t="s">
        <v>3288</v>
      </c>
      <c r="L92" s="2150" t="s">
        <v>3289</v>
      </c>
      <c r="M92" s="2150" t="s">
        <v>3290</v>
      </c>
      <c r="N92" s="2150" t="s">
        <v>3291</v>
      </c>
    </row>
    <row r="93" spans="1:37" ht="26">
      <c r="A93" s="3069" t="s">
        <v>3270</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0">
      <c r="A94" s="3079" t="s">
        <v>3271</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39">
      <c r="A95" s="3069" t="s">
        <v>3267</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9">
      <c r="A96" s="3079" t="s">
        <v>3272</v>
      </c>
      <c r="B96" s="3085" t="s">
        <v>3283</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6">
      <c r="A97" s="3079" t="s">
        <v>3273</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26">
      <c r="A98" s="3079" t="s">
        <v>3274</v>
      </c>
      <c r="B98" s="3086" t="s">
        <v>3284</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
      <c r="A99" s="3079" t="s">
        <v>3275</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
      <c r="A100" s="3079" t="s">
        <v>3276</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26.5" thickBot="1">
      <c r="A101" s="3080" t="s">
        <v>3277</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ht="13">
      <c r="A103" s="3482" t="s">
        <v>3292</v>
      </c>
      <c r="B103" s="3482"/>
      <c r="C103" s="3482"/>
      <c r="D103" s="3482"/>
      <c r="E103" s="3482"/>
      <c r="F103" s="3482"/>
      <c r="G103" s="3482"/>
      <c r="H103" s="3482"/>
      <c r="I103" s="3482"/>
      <c r="J103" s="3482"/>
      <c r="K103" s="1667"/>
      <c r="L103" s="1667"/>
      <c r="M103" s="1667"/>
      <c r="N103" s="1667"/>
    </row>
    <row r="104" spans="1:14" ht="13">
      <c r="A104" s="3483" t="s">
        <v>3293</v>
      </c>
      <c r="B104" s="3483" t="s">
        <v>3294</v>
      </c>
      <c r="C104" s="3089" t="s">
        <v>3295</v>
      </c>
      <c r="D104" s="3090"/>
      <c r="E104" s="3090"/>
      <c r="F104" s="3090"/>
      <c r="G104" s="3090"/>
      <c r="H104" s="3090"/>
      <c r="I104" s="3090"/>
      <c r="J104" s="3091"/>
      <c r="K104" s="3092"/>
      <c r="L104" s="3092"/>
      <c r="M104" s="3092"/>
      <c r="N104" s="3092"/>
    </row>
    <row r="105" spans="1:14" ht="13">
      <c r="A105" s="3483"/>
      <c r="B105" s="3483"/>
      <c r="C105" s="3093" t="s">
        <v>3296</v>
      </c>
      <c r="D105" s="3093" t="s">
        <v>3297</v>
      </c>
      <c r="E105" s="3093" t="s">
        <v>3298</v>
      </c>
      <c r="F105" s="3093" t="s">
        <v>3299</v>
      </c>
      <c r="G105" s="3093" t="s">
        <v>3300</v>
      </c>
      <c r="H105" s="3093" t="s">
        <v>3301</v>
      </c>
      <c r="I105" s="3093" t="s">
        <v>3302</v>
      </c>
      <c r="J105" s="3093" t="s">
        <v>3303</v>
      </c>
      <c r="K105" s="3093" t="s">
        <v>3304</v>
      </c>
      <c r="L105" s="3093" t="s">
        <v>3305</v>
      </c>
      <c r="M105" s="3093" t="s">
        <v>3306</v>
      </c>
      <c r="N105" s="3093" t="s">
        <v>3307</v>
      </c>
    </row>
    <row r="106" spans="1:14">
      <c r="A106" s="3469" t="s">
        <v>3308</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70"/>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70"/>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70"/>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70"/>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ht="13">
      <c r="A111" s="3470"/>
      <c r="B111" s="3093" t="s">
        <v>3266</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71"/>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ht="13">
      <c r="A113" s="3472" t="s">
        <v>3309</v>
      </c>
      <c r="B113" s="3472"/>
      <c r="C113" s="3472"/>
      <c r="D113" s="3472"/>
      <c r="E113" s="3472"/>
      <c r="F113" s="3472"/>
      <c r="G113" s="3472"/>
      <c r="H113" s="3472"/>
      <c r="I113" s="3472"/>
      <c r="J113" s="3472"/>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 thickBot="1">
      <c r="A115" s="3096"/>
      <c r="B115" s="3096"/>
      <c r="C115" s="3096"/>
      <c r="D115" s="3096"/>
      <c r="E115" s="3096"/>
      <c r="F115" s="3096"/>
      <c r="G115" s="3096"/>
      <c r="H115" s="3096"/>
      <c r="I115" s="3096"/>
      <c r="J115" s="3096"/>
      <c r="K115" s="1964"/>
      <c r="L115" s="3096"/>
      <c r="M115" s="3096"/>
      <c r="N115" s="3096"/>
    </row>
    <row r="116" spans="1:14" ht="26" thickBot="1">
      <c r="A116" s="3097" t="s">
        <v>3310</v>
      </c>
      <c r="B116" s="3113">
        <f>G3</f>
        <v>4.59</v>
      </c>
      <c r="C116" s="3098" t="s">
        <v>3311</v>
      </c>
      <c r="D116" s="3099">
        <f>SUMPRODUCT((A118:A122=F116)*(B117:M117=H116)*B118:M122)</f>
        <v>0.87629999999999997</v>
      </c>
      <c r="E116" s="162" t="s">
        <v>3312</v>
      </c>
      <c r="F116" s="3100" t="str">
        <f>E2</f>
        <v>办公</v>
      </c>
      <c r="G116" s="162" t="s">
        <v>3313</v>
      </c>
      <c r="H116" s="3100" t="str">
        <f>G2</f>
        <v>四级</v>
      </c>
      <c r="I116" s="162"/>
      <c r="J116" s="3101"/>
      <c r="K116" s="3101"/>
      <c r="L116" s="3101"/>
      <c r="M116" s="3101"/>
      <c r="N116" s="3096"/>
    </row>
    <row r="117" spans="1:14" ht="13">
      <c r="A117" s="3102"/>
      <c r="B117" s="3103" t="s">
        <v>3314</v>
      </c>
      <c r="C117" s="3103" t="s">
        <v>3315</v>
      </c>
      <c r="D117" s="3103" t="s">
        <v>3316</v>
      </c>
      <c r="E117" s="3104" t="s">
        <v>3317</v>
      </c>
      <c r="F117" s="3104" t="s">
        <v>3318</v>
      </c>
      <c r="G117" s="3104" t="s">
        <v>3319</v>
      </c>
      <c r="H117" s="3105" t="s">
        <v>3320</v>
      </c>
      <c r="I117" s="3105" t="s">
        <v>3321</v>
      </c>
      <c r="J117" s="3106" t="s">
        <v>3322</v>
      </c>
      <c r="K117" s="3106" t="s">
        <v>3323</v>
      </c>
      <c r="L117" s="3106" t="s">
        <v>3324</v>
      </c>
      <c r="M117" s="3107" t="s">
        <v>3325</v>
      </c>
      <c r="N117" s="3096"/>
    </row>
    <row r="118" spans="1:14" ht="13">
      <c r="A118" s="3056" t="s">
        <v>3326</v>
      </c>
      <c r="B118" s="3088">
        <f>ROUND(0.9968-0.011*B116,4)</f>
        <v>0.94630000000000003</v>
      </c>
      <c r="C118" s="3088">
        <f>B118</f>
        <v>0.94630000000000003</v>
      </c>
      <c r="D118" s="3088">
        <f>ROUND(0.949-0.014*B116,4)</f>
        <v>0.88470000000000004</v>
      </c>
      <c r="E118" s="3088">
        <f>D118</f>
        <v>0.88470000000000004</v>
      </c>
      <c r="F118" s="3088">
        <f>E118</f>
        <v>0.88470000000000004</v>
      </c>
      <c r="G118" s="3088">
        <f>F118</f>
        <v>0.88470000000000004</v>
      </c>
      <c r="H118" s="3088">
        <f>G118</f>
        <v>0.88470000000000004</v>
      </c>
      <c r="I118" s="3088">
        <f>ROUND(0.8486-0.018*B116,4)</f>
        <v>0.76600000000000001</v>
      </c>
      <c r="J118" s="3088">
        <f t="shared" ref="J118:M122" si="35">I118</f>
        <v>0.76600000000000001</v>
      </c>
      <c r="K118" s="3088">
        <f t="shared" si="35"/>
        <v>0.76600000000000001</v>
      </c>
      <c r="L118" s="3088">
        <f t="shared" si="35"/>
        <v>0.76600000000000001</v>
      </c>
      <c r="M118" s="3108">
        <f t="shared" si="35"/>
        <v>0.76600000000000001</v>
      </c>
      <c r="N118" s="3096"/>
    </row>
    <row r="119" spans="1:14" ht="13">
      <c r="A119" s="3056" t="s">
        <v>3327</v>
      </c>
      <c r="B119" s="3088">
        <f>ROUND(0.993-0.0112*B116,4)</f>
        <v>0.94159999999999999</v>
      </c>
      <c r="C119" s="3088">
        <f>B119</f>
        <v>0.94159999999999999</v>
      </c>
      <c r="D119" s="3088">
        <f>ROUND(0.9415-0.0142*B116,4)</f>
        <v>0.87629999999999997</v>
      </c>
      <c r="E119" s="3088">
        <f t="shared" ref="E119:H120" si="36">D119</f>
        <v>0.87629999999999997</v>
      </c>
      <c r="F119" s="3088">
        <f t="shared" si="36"/>
        <v>0.87629999999999997</v>
      </c>
      <c r="G119" s="3088">
        <f t="shared" si="36"/>
        <v>0.87629999999999997</v>
      </c>
      <c r="H119" s="3088">
        <f t="shared" si="36"/>
        <v>0.87629999999999997</v>
      </c>
      <c r="I119" s="3088">
        <f>ROUND(0.838-0.0182*B116,4)</f>
        <v>0.75449999999999995</v>
      </c>
      <c r="J119" s="3088">
        <f t="shared" si="35"/>
        <v>0.75449999999999995</v>
      </c>
      <c r="K119" s="3088">
        <f t="shared" si="35"/>
        <v>0.75449999999999995</v>
      </c>
      <c r="L119" s="3088">
        <f t="shared" si="35"/>
        <v>0.75449999999999995</v>
      </c>
      <c r="M119" s="3108">
        <f t="shared" si="35"/>
        <v>0.75449999999999995</v>
      </c>
      <c r="N119" s="3096"/>
    </row>
    <row r="120" spans="1:14" ht="13">
      <c r="A120" s="3056" t="s">
        <v>3328</v>
      </c>
      <c r="B120" s="3088">
        <f>ROUND(0.9448-0.0115*B116,4)</f>
        <v>0.89200000000000002</v>
      </c>
      <c r="C120" s="3088">
        <f>B120</f>
        <v>0.89200000000000002</v>
      </c>
      <c r="D120" s="3088">
        <f>ROUND(0.937-0.0145*B116,4)</f>
        <v>0.87039999999999995</v>
      </c>
      <c r="E120" s="3088">
        <f t="shared" si="36"/>
        <v>0.87039999999999995</v>
      </c>
      <c r="F120" s="3088">
        <f t="shared" si="36"/>
        <v>0.87039999999999995</v>
      </c>
      <c r="G120" s="3088">
        <f t="shared" si="36"/>
        <v>0.87039999999999995</v>
      </c>
      <c r="H120" s="3088">
        <f t="shared" si="36"/>
        <v>0.87039999999999995</v>
      </c>
      <c r="I120" s="3088">
        <f>ROUND(0.7965-0.0185*B116,4)</f>
        <v>0.71160000000000001</v>
      </c>
      <c r="J120" s="3088">
        <f t="shared" si="35"/>
        <v>0.71160000000000001</v>
      </c>
      <c r="K120" s="3088">
        <f t="shared" si="35"/>
        <v>0.71160000000000001</v>
      </c>
      <c r="L120" s="3088">
        <f t="shared" si="35"/>
        <v>0.71160000000000001</v>
      </c>
      <c r="M120" s="3108">
        <f t="shared" si="35"/>
        <v>0.71160000000000001</v>
      </c>
      <c r="N120" s="3096"/>
    </row>
    <row r="121" spans="1:14" ht="13.5" thickBot="1">
      <c r="A121" s="3109" t="s">
        <v>3329</v>
      </c>
      <c r="B121" s="3110">
        <f>ROUND(0.7836-0.012*B116,4)</f>
        <v>0.72850000000000004</v>
      </c>
      <c r="C121" s="3110">
        <f>B121</f>
        <v>0.72850000000000004</v>
      </c>
      <c r="D121" s="3110">
        <f>ROUND(0.753-0.015*B116,4)</f>
        <v>0.68420000000000003</v>
      </c>
      <c r="E121" s="3110">
        <f>D121</f>
        <v>0.68420000000000003</v>
      </c>
      <c r="F121" s="3110">
        <f>E121</f>
        <v>0.68420000000000003</v>
      </c>
      <c r="G121" s="3110">
        <f>ROUND(0.6612-0.018*B116,4)</f>
        <v>0.5786</v>
      </c>
      <c r="H121" s="3110">
        <f>G121</f>
        <v>0.5786</v>
      </c>
      <c r="I121" s="3110">
        <f>ROUND(0.5905-0.019*B116,4)</f>
        <v>0.50329999999999997</v>
      </c>
      <c r="J121" s="3110">
        <f t="shared" si="35"/>
        <v>0.50329999999999997</v>
      </c>
      <c r="K121" s="3110">
        <f t="shared" si="35"/>
        <v>0.50329999999999997</v>
      </c>
      <c r="L121" s="3110">
        <f t="shared" si="35"/>
        <v>0.50329999999999997</v>
      </c>
      <c r="M121" s="3111">
        <f t="shared" si="35"/>
        <v>0.50329999999999997</v>
      </c>
      <c r="N121" s="3096"/>
    </row>
    <row r="122" spans="1:14" ht="13">
      <c r="A122" s="3112" t="s">
        <v>2612</v>
      </c>
      <c r="B122" s="3088">
        <f>ROUND(0.9404-0.0106*B116,4)</f>
        <v>0.89170000000000005</v>
      </c>
      <c r="C122" s="3088">
        <f>B122</f>
        <v>0.89170000000000005</v>
      </c>
      <c r="D122" s="3088">
        <f>ROUND(0.8955-0.0135*B116,4)</f>
        <v>0.83350000000000002</v>
      </c>
      <c r="E122" s="3088">
        <f t="shared" ref="E122:H122" si="37">D122</f>
        <v>0.83350000000000002</v>
      </c>
      <c r="F122" s="3088">
        <f t="shared" si="37"/>
        <v>0.83350000000000002</v>
      </c>
      <c r="G122" s="3088">
        <f t="shared" si="37"/>
        <v>0.83350000000000002</v>
      </c>
      <c r="H122" s="3088">
        <f t="shared" si="37"/>
        <v>0.83350000000000002</v>
      </c>
      <c r="I122" s="3088">
        <f>ROUND(0.7632-0.0166*B116,4)</f>
        <v>0.68700000000000006</v>
      </c>
      <c r="J122" s="3088">
        <f t="shared" si="35"/>
        <v>0.68700000000000006</v>
      </c>
      <c r="K122" s="3088">
        <f t="shared" si="35"/>
        <v>0.68700000000000006</v>
      </c>
      <c r="L122" s="3088">
        <f t="shared" si="35"/>
        <v>0.68700000000000006</v>
      </c>
      <c r="M122" s="3108">
        <f t="shared" si="35"/>
        <v>0.68700000000000006</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F3" xr:uid="{00000000-0002-0000-2300-000004000000}">
      <formula1>"宗地容积率,估价对象容积率,自定义容积率"</formula1>
    </dataValidation>
    <dataValidation type="list" allowBlank="1" showInputMessage="1" showErrorMessage="1" sqref="C8" xr:uid="{00000000-0002-0000-2300-000005000000}">
      <formula1>商业街名称</formula1>
    </dataValidation>
    <dataValidation type="list" allowBlank="1" showInputMessage="1" showErrorMessage="1" sqref="E3" xr:uid="{00000000-0002-0000-2300-000006000000}">
      <formula1>INDIRECT(E2)</formula1>
    </dataValidation>
    <dataValidation type="list" allowBlank="1" showInputMessage="1" showErrorMessage="1" sqref="C61:C69 C72:C80 C50:C58 C83:C91 C93:C101" xr:uid="{00000000-0002-0000-2300-000007000000}">
      <formula1>五等判定</formula1>
    </dataValidation>
    <dataValidation type="list" allowBlank="1" showInputMessage="1" showErrorMessage="1" sqref="H23" xr:uid="{00000000-0002-0000-2300-000008000000}">
      <formula1>"地价指数,季度增幅（自定义）,按公示增长率计算"</formula1>
    </dataValidation>
    <dataValidation type="list" allowBlank="1" showInputMessage="1" showErrorMessage="1" sqref="H20:O20" xr:uid="{00000000-0002-0000-2300-000009000000}">
      <formula1>七通一平</formula1>
    </dataValidation>
    <dataValidation type="list" allowBlank="1" showInputMessage="1" showErrorMessage="1" sqref="J23" xr:uid="{00000000-0002-0000-2300-00000A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6953125" defaultRowHeight="19.5" customHeight="1"/>
  <cols>
    <col min="1" max="13" width="15.26953125" style="2812" customWidth="1"/>
    <col min="14" max="14" width="10" style="2812" customWidth="1"/>
    <col min="15" max="16" width="8.26953125" style="2812"/>
    <col min="17" max="17" width="34.08984375" style="2812" customWidth="1"/>
    <col min="18" max="18" width="8.26953125" style="2812" customWidth="1"/>
    <col min="19" max="19" width="8.26953125" style="2812"/>
    <col min="20" max="20" width="11.6328125" style="2812" customWidth="1"/>
    <col min="21" max="16384" width="8.2695312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98" t="s">
        <v>2607</v>
      </c>
      <c r="B20" s="3488" t="s">
        <v>2628</v>
      </c>
      <c r="C20" s="3167" t="s">
        <v>2439</v>
      </c>
      <c r="D20" s="3167"/>
      <c r="E20" s="2843">
        <v>1</v>
      </c>
      <c r="F20" s="2844" t="s">
        <v>2440</v>
      </c>
      <c r="G20" s="2844"/>
    </row>
    <row r="21" spans="1:13" ht="19.5" customHeight="1">
      <c r="A21" s="3499"/>
      <c r="B21" s="3489"/>
      <c r="C21" s="2856" t="s">
        <v>2441</v>
      </c>
      <c r="D21" s="2856"/>
      <c r="E21" s="2847">
        <v>1</v>
      </c>
      <c r="F21" s="2844" t="s">
        <v>2442</v>
      </c>
      <c r="G21" s="2844"/>
    </row>
    <row r="22" spans="1:13" ht="19.5" customHeight="1">
      <c r="A22" s="3499"/>
      <c r="B22" s="3489"/>
      <c r="C22" s="2856" t="s">
        <v>2443</v>
      </c>
      <c r="D22" s="2856"/>
      <c r="E22" s="2847">
        <v>0.9</v>
      </c>
      <c r="F22" s="2844" t="s">
        <v>2444</v>
      </c>
      <c r="G22" s="2844"/>
    </row>
    <row r="23" spans="1:13" ht="19.5" customHeight="1">
      <c r="A23" s="3499"/>
      <c r="B23" s="3489"/>
      <c r="C23" s="2856" t="s">
        <v>2445</v>
      </c>
      <c r="D23" s="2856"/>
      <c r="E23" s="2847">
        <v>0.9</v>
      </c>
      <c r="F23" s="2844" t="s">
        <v>2446</v>
      </c>
      <c r="G23" s="2844"/>
    </row>
    <row r="24" spans="1:13" ht="19.5" customHeight="1">
      <c r="A24" s="3499"/>
      <c r="B24" s="3489"/>
      <c r="C24" s="2856" t="s">
        <v>2447</v>
      </c>
      <c r="D24" s="2856"/>
      <c r="E24" s="2847">
        <v>0.8</v>
      </c>
      <c r="F24" s="2844" t="s">
        <v>2448</v>
      </c>
      <c r="G24" s="2844"/>
    </row>
    <row r="25" spans="1:13" ht="19.5" customHeight="1">
      <c r="A25" s="3499"/>
      <c r="B25" s="3489"/>
      <c r="C25" s="2856" t="s">
        <v>2449</v>
      </c>
      <c r="D25" s="2856"/>
      <c r="E25" s="2847">
        <v>0.8</v>
      </c>
      <c r="F25" s="2844"/>
      <c r="G25" s="2844"/>
    </row>
    <row r="26" spans="1:13" ht="19.5" customHeight="1">
      <c r="A26" s="3499"/>
      <c r="B26" s="3489"/>
      <c r="C26" s="2856" t="s">
        <v>3407</v>
      </c>
      <c r="D26" s="2856"/>
      <c r="E26" s="2847">
        <v>0.43</v>
      </c>
      <c r="F26" s="2844"/>
      <c r="G26" s="2844"/>
    </row>
    <row r="27" spans="1:13" ht="19.5" customHeight="1" thickBot="1">
      <c r="A27" s="3500"/>
      <c r="B27" s="3490"/>
      <c r="C27" s="3163" t="s">
        <v>3408</v>
      </c>
      <c r="D27" s="3163"/>
      <c r="E27" s="2850">
        <f>E26*0.9</f>
        <v>0.38700000000000001</v>
      </c>
      <c r="F27" s="2844" t="s">
        <v>2450</v>
      </c>
      <c r="G27" s="2844"/>
    </row>
    <row r="28" spans="1:13" ht="19.5" customHeight="1" thickBot="1">
      <c r="A28" s="3162" t="s">
        <v>2629</v>
      </c>
      <c r="B28" s="3161" t="s">
        <v>2628</v>
      </c>
      <c r="C28" s="3164" t="s">
        <v>2630</v>
      </c>
      <c r="D28" s="3165"/>
      <c r="E28" s="3166">
        <v>1</v>
      </c>
      <c r="F28" s="2844" t="s">
        <v>2451</v>
      </c>
      <c r="G28" s="2844"/>
    </row>
    <row r="29" spans="1:13" ht="19.5" customHeight="1">
      <c r="A29" s="3491" t="s">
        <v>2631</v>
      </c>
      <c r="B29" s="3494" t="s">
        <v>2612</v>
      </c>
      <c r="C29" s="2841" t="s">
        <v>2452</v>
      </c>
      <c r="D29" s="2842"/>
      <c r="E29" s="2843">
        <v>1</v>
      </c>
      <c r="F29" s="2844" t="s">
        <v>2453</v>
      </c>
      <c r="G29" s="2844"/>
    </row>
    <row r="30" spans="1:13" ht="19.5" customHeight="1">
      <c r="A30" s="3492"/>
      <c r="B30" s="3495"/>
      <c r="C30" s="2845" t="s">
        <v>2454</v>
      </c>
      <c r="D30" s="2846"/>
      <c r="E30" s="2847">
        <v>1</v>
      </c>
      <c r="F30" s="2844" t="s">
        <v>2455</v>
      </c>
      <c r="G30" s="2844"/>
    </row>
    <row r="31" spans="1:13" ht="19.5" customHeight="1">
      <c r="A31" s="3492"/>
      <c r="B31" s="3495"/>
      <c r="C31" s="2845" t="s">
        <v>2456</v>
      </c>
      <c r="D31" s="2846"/>
      <c r="E31" s="2847">
        <v>0.8</v>
      </c>
      <c r="F31" s="2844" t="s">
        <v>2457</v>
      </c>
      <c r="G31" s="2844"/>
    </row>
    <row r="32" spans="1:13" ht="19.5" customHeight="1">
      <c r="A32" s="3492"/>
      <c r="B32" s="3495"/>
      <c r="C32" s="2845" t="s">
        <v>2458</v>
      </c>
      <c r="D32" s="2846"/>
      <c r="E32" s="2847">
        <v>0.8</v>
      </c>
      <c r="F32" s="2844" t="s">
        <v>2459</v>
      </c>
      <c r="G32" s="2844"/>
    </row>
    <row r="33" spans="1:7" ht="19.5" customHeight="1">
      <c r="A33" s="3492"/>
      <c r="B33" s="3495"/>
      <c r="C33" s="2845" t="s">
        <v>2460</v>
      </c>
      <c r="D33" s="2846"/>
      <c r="E33" s="2847">
        <v>0.8</v>
      </c>
      <c r="F33" s="2844" t="s">
        <v>2461</v>
      </c>
      <c r="G33" s="2844"/>
    </row>
    <row r="34" spans="1:7" ht="19.5" customHeight="1">
      <c r="A34" s="3492"/>
      <c r="B34" s="3495"/>
      <c r="C34" s="2845" t="s">
        <v>2462</v>
      </c>
      <c r="D34" s="2846"/>
      <c r="E34" s="2847">
        <v>0.7</v>
      </c>
      <c r="F34" s="2844" t="s">
        <v>2463</v>
      </c>
      <c r="G34" s="2844"/>
    </row>
    <row r="35" spans="1:7" ht="19.5" customHeight="1">
      <c r="A35" s="3492"/>
      <c r="B35" s="3495"/>
      <c r="C35" s="2845" t="s">
        <v>2464</v>
      </c>
      <c r="D35" s="2846"/>
      <c r="E35" s="2847">
        <v>0.8</v>
      </c>
      <c r="F35" s="2844" t="s">
        <v>2465</v>
      </c>
      <c r="G35" s="2844"/>
    </row>
    <row r="36" spans="1:7" ht="19.5" customHeight="1">
      <c r="A36" s="3492"/>
      <c r="B36" s="3495"/>
      <c r="C36" s="2845" t="s">
        <v>2466</v>
      </c>
      <c r="D36" s="2846"/>
      <c r="E36" s="2847">
        <v>0.6</v>
      </c>
      <c r="F36" s="2844" t="s">
        <v>2467</v>
      </c>
      <c r="G36" s="2844"/>
    </row>
    <row r="37" spans="1:7" ht="19.5" customHeight="1">
      <c r="A37" s="3492"/>
      <c r="B37" s="3495"/>
      <c r="C37" s="2845" t="s">
        <v>2468</v>
      </c>
      <c r="D37" s="2846"/>
      <c r="E37" s="2847">
        <v>0.2</v>
      </c>
      <c r="F37" s="2844" t="s">
        <v>2469</v>
      </c>
      <c r="G37" s="2844"/>
    </row>
    <row r="38" spans="1:7" ht="19.5" customHeight="1">
      <c r="A38" s="3492"/>
      <c r="B38" s="3495"/>
      <c r="C38" s="2845" t="s">
        <v>2470</v>
      </c>
      <c r="D38" s="2846"/>
      <c r="E38" s="2847">
        <v>0.2</v>
      </c>
      <c r="F38" s="2844" t="s">
        <v>2471</v>
      </c>
      <c r="G38" s="2844"/>
    </row>
    <row r="39" spans="1:7" ht="19.5" customHeight="1">
      <c r="A39" s="3492"/>
      <c r="B39" s="3496" t="s">
        <v>2632</v>
      </c>
      <c r="C39" s="2845" t="s">
        <v>2472</v>
      </c>
      <c r="D39" s="2846"/>
      <c r="E39" s="2847">
        <v>0.6</v>
      </c>
      <c r="F39" s="2844" t="s">
        <v>2473</v>
      </c>
      <c r="G39" s="2844"/>
    </row>
    <row r="40" spans="1:7" ht="19.5" customHeight="1">
      <c r="A40" s="3492"/>
      <c r="B40" s="3495"/>
      <c r="C40" s="2845" t="s">
        <v>2474</v>
      </c>
      <c r="D40" s="2846"/>
      <c r="E40" s="2847">
        <v>0.6</v>
      </c>
      <c r="F40" s="2844" t="s">
        <v>2475</v>
      </c>
      <c r="G40" s="2844"/>
    </row>
    <row r="41" spans="1:7" ht="19.5" customHeight="1" thickBot="1">
      <c r="A41" s="3493"/>
      <c r="B41" s="3497"/>
      <c r="C41" s="2848" t="s">
        <v>2476</v>
      </c>
      <c r="D41" s="2849"/>
      <c r="E41" s="2850">
        <v>0.6</v>
      </c>
      <c r="F41" s="2844" t="s">
        <v>2477</v>
      </c>
      <c r="G41" s="2844"/>
    </row>
    <row r="42" spans="1:7" ht="19.5" customHeight="1" thickBot="1">
      <c r="A42" s="2851" t="s">
        <v>2609</v>
      </c>
      <c r="B42" s="2852" t="s">
        <v>2609</v>
      </c>
      <c r="C42" s="2853" t="s">
        <v>2633</v>
      </c>
      <c r="D42" s="2854"/>
      <c r="E42" s="2855">
        <v>1</v>
      </c>
      <c r="F42" s="2844" t="s">
        <v>2478</v>
      </c>
      <c r="G42" s="2844"/>
    </row>
    <row r="43" spans="1:7" ht="19.5" customHeight="1">
      <c r="A43" s="3498" t="s">
        <v>2610</v>
      </c>
      <c r="B43" s="3494" t="s">
        <v>2634</v>
      </c>
      <c r="C43" s="2841" t="s">
        <v>2479</v>
      </c>
      <c r="D43" s="2842"/>
      <c r="E43" s="2843">
        <v>1</v>
      </c>
      <c r="F43" s="2844" t="s">
        <v>2480</v>
      </c>
      <c r="G43" s="2844"/>
    </row>
    <row r="44" spans="1:7" ht="19.5" customHeight="1">
      <c r="A44" s="3499"/>
      <c r="B44" s="3495"/>
      <c r="C44" s="2845" t="s">
        <v>2481</v>
      </c>
      <c r="D44" s="2846"/>
      <c r="E44" s="2847">
        <v>1</v>
      </c>
      <c r="F44" s="2844" t="s">
        <v>2482</v>
      </c>
      <c r="G44" s="2844"/>
    </row>
    <row r="45" spans="1:7" ht="19.5" customHeight="1">
      <c r="A45" s="3499"/>
      <c r="B45" s="3501"/>
      <c r="C45" s="2845" t="s">
        <v>2483</v>
      </c>
      <c r="D45" s="2846"/>
      <c r="E45" s="2847">
        <v>1.5</v>
      </c>
      <c r="F45" s="2844" t="s">
        <v>2484</v>
      </c>
      <c r="G45" s="2844"/>
    </row>
    <row r="46" spans="1:7" ht="19.5" customHeight="1">
      <c r="A46" s="3499"/>
      <c r="B46" s="2856" t="s">
        <v>2635</v>
      </c>
      <c r="C46" s="2845" t="s">
        <v>2636</v>
      </c>
      <c r="D46" s="2846"/>
      <c r="E46" s="2847">
        <v>2</v>
      </c>
      <c r="F46" s="2844" t="s">
        <v>2485</v>
      </c>
      <c r="G46" s="2844"/>
    </row>
    <row r="47" spans="1:7" ht="19.5" customHeight="1">
      <c r="A47" s="3499"/>
      <c r="B47" s="3496" t="s">
        <v>2637</v>
      </c>
      <c r="C47" s="2845" t="s">
        <v>2486</v>
      </c>
      <c r="D47" s="2846"/>
      <c r="E47" s="2847">
        <v>1</v>
      </c>
      <c r="F47" s="2844" t="s">
        <v>2487</v>
      </c>
      <c r="G47" s="2844"/>
    </row>
    <row r="48" spans="1:7" ht="19.5" customHeight="1">
      <c r="A48" s="3499"/>
      <c r="B48" s="3495"/>
      <c r="C48" s="2845" t="s">
        <v>2488</v>
      </c>
      <c r="D48" s="2846"/>
      <c r="E48" s="2847">
        <v>1</v>
      </c>
      <c r="F48" s="2844" t="s">
        <v>2489</v>
      </c>
      <c r="G48" s="2844"/>
    </row>
    <row r="49" spans="1:7" ht="19.5" customHeight="1">
      <c r="A49" s="3499"/>
      <c r="B49" s="3495"/>
      <c r="C49" s="2845" t="s">
        <v>2490</v>
      </c>
      <c r="D49" s="2846"/>
      <c r="E49" s="2847">
        <v>1</v>
      </c>
      <c r="F49" s="2844" t="s">
        <v>2491</v>
      </c>
      <c r="G49" s="2844"/>
    </row>
    <row r="50" spans="1:7" ht="19.5" customHeight="1">
      <c r="A50" s="3499"/>
      <c r="B50" s="3495"/>
      <c r="C50" s="2845" t="s">
        <v>2492</v>
      </c>
      <c r="D50" s="2846"/>
      <c r="E50" s="2847">
        <v>1</v>
      </c>
      <c r="F50" s="2844" t="s">
        <v>2493</v>
      </c>
      <c r="G50" s="2844"/>
    </row>
    <row r="51" spans="1:7" ht="19.5" customHeight="1">
      <c r="A51" s="3499"/>
      <c r="B51" s="3495"/>
      <c r="C51" s="2845" t="s">
        <v>2494</v>
      </c>
      <c r="D51" s="2846"/>
      <c r="E51" s="2847">
        <v>1</v>
      </c>
      <c r="F51" s="2844" t="s">
        <v>2495</v>
      </c>
      <c r="G51" s="2844"/>
    </row>
    <row r="52" spans="1:7" ht="19.5" customHeight="1">
      <c r="A52" s="3499"/>
      <c r="B52" s="3495"/>
      <c r="C52" s="2845" t="s">
        <v>2496</v>
      </c>
      <c r="D52" s="2846"/>
      <c r="E52" s="2847">
        <v>1</v>
      </c>
      <c r="F52" s="2844" t="s">
        <v>2497</v>
      </c>
      <c r="G52" s="2844"/>
    </row>
    <row r="53" spans="1:7" ht="19.5" customHeight="1" thickBot="1">
      <c r="A53" s="3500"/>
      <c r="B53" s="3497"/>
      <c r="C53" s="2848" t="s">
        <v>2498</v>
      </c>
      <c r="D53" s="2849"/>
      <c r="E53" s="2850">
        <v>1</v>
      </c>
      <c r="F53" s="2844" t="s">
        <v>2499</v>
      </c>
      <c r="G53" s="2844"/>
    </row>
    <row r="54" spans="1:7" ht="19.5" customHeight="1">
      <c r="A54" s="2857"/>
      <c r="B54" s="2857"/>
      <c r="C54" s="2857"/>
      <c r="D54" s="2857"/>
      <c r="E54" s="2857"/>
      <c r="F54" s="2857"/>
      <c r="G54" s="2857"/>
    </row>
    <row r="56" spans="1:7" ht="19.5" customHeight="1">
      <c r="A56" s="2858"/>
      <c r="B56" s="2830" t="s">
        <v>2638</v>
      </c>
      <c r="C56" s="2830" t="s">
        <v>2638</v>
      </c>
      <c r="D56" s="2830" t="s">
        <v>2638</v>
      </c>
      <c r="E56" s="2833" t="s">
        <v>2638</v>
      </c>
      <c r="F56" s="2833" t="s">
        <v>2639</v>
      </c>
      <c r="G56" s="2833" t="s">
        <v>2640</v>
      </c>
    </row>
    <row r="57" spans="1:7" ht="19.5" customHeight="1">
      <c r="A57" s="2859"/>
      <c r="B57" s="2833" t="s">
        <v>2607</v>
      </c>
      <c r="C57" s="2833" t="s">
        <v>2607</v>
      </c>
      <c r="D57" s="2833" t="s">
        <v>2607</v>
      </c>
      <c r="E57" s="2830" t="s">
        <v>2608</v>
      </c>
      <c r="F57" s="2830" t="s">
        <v>2610</v>
      </c>
      <c r="G57" s="2830" t="s">
        <v>2641</v>
      </c>
    </row>
    <row r="58" spans="1:7" ht="19.5" customHeight="1">
      <c r="A58" s="2860"/>
      <c r="B58" s="2830">
        <v>1</v>
      </c>
      <c r="C58" s="2830">
        <v>2</v>
      </c>
      <c r="D58" s="2830">
        <v>3</v>
      </c>
      <c r="E58" s="2861" t="s">
        <v>2642</v>
      </c>
      <c r="F58" s="2861" t="s">
        <v>2642</v>
      </c>
      <c r="G58" s="2861" t="s">
        <v>2642</v>
      </c>
    </row>
    <row r="59" spans="1:7" ht="19.5" customHeight="1">
      <c r="A59" s="2862" t="s">
        <v>2595</v>
      </c>
      <c r="B59" s="2830">
        <v>0.7</v>
      </c>
      <c r="C59" s="2830">
        <v>0.4</v>
      </c>
      <c r="D59" s="2830">
        <v>0.3</v>
      </c>
      <c r="E59" s="2861">
        <v>0.3</v>
      </c>
      <c r="F59" s="2830">
        <v>0.3</v>
      </c>
      <c r="G59" s="2830">
        <v>0.2</v>
      </c>
    </row>
    <row r="60" spans="1:7" ht="19.5" customHeight="1">
      <c r="A60" s="2862" t="s">
        <v>2596</v>
      </c>
      <c r="B60" s="2830">
        <v>0.7</v>
      </c>
      <c r="C60" s="2830">
        <v>0.4</v>
      </c>
      <c r="D60" s="2830">
        <v>0.3</v>
      </c>
      <c r="E60" s="2830">
        <v>0.3</v>
      </c>
      <c r="F60" s="2830">
        <v>0.3</v>
      </c>
      <c r="G60" s="2830">
        <v>0.2</v>
      </c>
    </row>
    <row r="61" spans="1:7" ht="19.5" customHeight="1">
      <c r="A61" s="2862" t="s">
        <v>2597</v>
      </c>
      <c r="B61" s="2830">
        <v>0.6</v>
      </c>
      <c r="C61" s="2830">
        <v>0.3</v>
      </c>
      <c r="D61" s="2830">
        <v>0.25</v>
      </c>
      <c r="E61" s="2830">
        <v>0.25</v>
      </c>
      <c r="F61" s="2830">
        <v>0.25</v>
      </c>
      <c r="G61" s="2830">
        <v>0.15</v>
      </c>
    </row>
    <row r="62" spans="1:7" ht="19.5" customHeight="1">
      <c r="A62" s="2862" t="s">
        <v>2598</v>
      </c>
      <c r="B62" s="2830">
        <v>0.6</v>
      </c>
      <c r="C62" s="2830">
        <v>0.3</v>
      </c>
      <c r="D62" s="2830">
        <v>0.25</v>
      </c>
      <c r="E62" s="2830">
        <v>0.25</v>
      </c>
      <c r="F62" s="2830">
        <v>0.25</v>
      </c>
      <c r="G62" s="2830">
        <v>0.15</v>
      </c>
    </row>
    <row r="63" spans="1:7" ht="19.5" customHeight="1">
      <c r="A63" s="2862" t="s">
        <v>2599</v>
      </c>
      <c r="B63" s="2830">
        <v>0.6</v>
      </c>
      <c r="C63" s="2830">
        <v>0.3</v>
      </c>
      <c r="D63" s="2830">
        <v>0.25</v>
      </c>
      <c r="E63" s="2830">
        <v>0.25</v>
      </c>
      <c r="F63" s="2830">
        <v>0.25</v>
      </c>
      <c r="G63" s="2830">
        <v>0.15</v>
      </c>
    </row>
    <row r="64" spans="1:7" ht="19.5" customHeight="1">
      <c r="A64" s="2862" t="s">
        <v>2600</v>
      </c>
      <c r="B64" s="2830">
        <v>0.6</v>
      </c>
      <c r="C64" s="2830">
        <v>0.3</v>
      </c>
      <c r="D64" s="2830">
        <v>0.25</v>
      </c>
      <c r="E64" s="2830">
        <v>0.25</v>
      </c>
      <c r="F64" s="2830">
        <v>0.25</v>
      </c>
      <c r="G64" s="2830">
        <v>0.15</v>
      </c>
    </row>
    <row r="65" spans="1:7" ht="19.5" customHeight="1">
      <c r="A65" s="2862" t="s">
        <v>2601</v>
      </c>
      <c r="B65" s="2830">
        <v>0.6</v>
      </c>
      <c r="C65" s="2830">
        <v>0.3</v>
      </c>
      <c r="D65" s="2830">
        <v>0.25</v>
      </c>
      <c r="E65" s="2830">
        <v>0.25</v>
      </c>
      <c r="F65" s="2830">
        <v>0.25</v>
      </c>
      <c r="G65" s="2830">
        <v>0.15</v>
      </c>
    </row>
    <row r="66" spans="1:7" ht="19.5" customHeight="1">
      <c r="A66" s="2862" t="s">
        <v>2602</v>
      </c>
      <c r="B66" s="2830">
        <v>0.5</v>
      </c>
      <c r="C66" s="2830">
        <v>0.2</v>
      </c>
      <c r="D66" s="2830">
        <v>0.2</v>
      </c>
      <c r="E66" s="2830">
        <v>0.2</v>
      </c>
      <c r="F66" s="2830">
        <v>0.2</v>
      </c>
      <c r="G66" s="2830">
        <v>0.1</v>
      </c>
    </row>
    <row r="67" spans="1:7" ht="19.5" customHeight="1">
      <c r="A67" s="2862" t="s">
        <v>2603</v>
      </c>
      <c r="B67" s="2830">
        <v>0.5</v>
      </c>
      <c r="C67" s="2830">
        <v>0.2</v>
      </c>
      <c r="D67" s="2830">
        <v>0.2</v>
      </c>
      <c r="E67" s="2830">
        <v>0.2</v>
      </c>
      <c r="F67" s="2830">
        <v>0.2</v>
      </c>
      <c r="G67" s="2830">
        <v>0.1</v>
      </c>
    </row>
    <row r="68" spans="1:7" ht="19.5" customHeight="1">
      <c r="A68" s="2862" t="s">
        <v>2604</v>
      </c>
      <c r="B68" s="2830">
        <v>0.5</v>
      </c>
      <c r="C68" s="2830">
        <v>0.2</v>
      </c>
      <c r="D68" s="2830">
        <v>0.2</v>
      </c>
      <c r="E68" s="2830">
        <v>0.2</v>
      </c>
      <c r="F68" s="2830">
        <v>0.2</v>
      </c>
      <c r="G68" s="2830">
        <v>0.1</v>
      </c>
    </row>
    <row r="69" spans="1:7" ht="19.5" customHeight="1">
      <c r="A69" s="2862" t="s">
        <v>2605</v>
      </c>
      <c r="B69" s="2830">
        <v>0.5</v>
      </c>
      <c r="C69" s="2830">
        <v>0.2</v>
      </c>
      <c r="D69" s="2830">
        <v>0.2</v>
      </c>
      <c r="E69" s="2830">
        <v>0.2</v>
      </c>
      <c r="F69" s="2830">
        <v>0.2</v>
      </c>
      <c r="G69" s="2830">
        <v>0.1</v>
      </c>
    </row>
    <row r="70" spans="1:7" ht="19.5" customHeight="1">
      <c r="A70" s="2862" t="s">
        <v>2606</v>
      </c>
      <c r="B70" s="2830">
        <v>0.5</v>
      </c>
      <c r="C70" s="2830">
        <v>0.2</v>
      </c>
      <c r="D70" s="2830">
        <v>0.2</v>
      </c>
      <c r="E70" s="2830">
        <v>0.2</v>
      </c>
      <c r="F70" s="2830">
        <v>0.2</v>
      </c>
      <c r="G70" s="2830">
        <v>0.1</v>
      </c>
    </row>
    <row r="72" spans="1:7" ht="19.5" customHeight="1">
      <c r="A72" s="2844"/>
      <c r="B72" s="2863"/>
      <c r="C72" s="2863"/>
      <c r="D72" s="2863" t="s">
        <v>2643</v>
      </c>
      <c r="E72" s="2863"/>
      <c r="F72" s="2863"/>
    </row>
    <row r="73" spans="1:7" ht="19.5" customHeight="1">
      <c r="A73" s="2856" t="s">
        <v>2644</v>
      </c>
      <c r="B73" s="2856" t="s">
        <v>2645</v>
      </c>
      <c r="C73" s="2856" t="s">
        <v>2646</v>
      </c>
      <c r="D73" s="2856" t="s">
        <v>2647</v>
      </c>
      <c r="E73" s="2856" t="s">
        <v>2648</v>
      </c>
      <c r="F73" s="2856" t="s">
        <v>2649</v>
      </c>
    </row>
    <row r="74" spans="1:7" ht="14">
      <c r="A74" s="2856"/>
      <c r="B74" s="2856"/>
      <c r="C74" s="2856" t="s">
        <v>2650</v>
      </c>
      <c r="D74" s="2856"/>
      <c r="E74" s="2856" t="s">
        <v>2621</v>
      </c>
      <c r="F74" s="2856" t="s">
        <v>2621</v>
      </c>
    </row>
    <row r="75" spans="1:7" ht="14">
      <c r="A75" s="2856">
        <v>1</v>
      </c>
      <c r="B75" s="3496" t="s">
        <v>2651</v>
      </c>
      <c r="C75" s="2830" t="s">
        <v>2652</v>
      </c>
      <c r="D75" s="2830" t="s">
        <v>2653</v>
      </c>
      <c r="E75" s="2856">
        <v>0.2</v>
      </c>
      <c r="F75" s="2856">
        <v>25</v>
      </c>
    </row>
    <row r="76" spans="1:7" ht="26">
      <c r="A76" s="2856">
        <v>2</v>
      </c>
      <c r="B76" s="3495"/>
      <c r="C76" s="2830" t="s">
        <v>2654</v>
      </c>
      <c r="D76" s="2830" t="s">
        <v>2655</v>
      </c>
      <c r="E76" s="2856">
        <v>0.2</v>
      </c>
      <c r="F76" s="2856">
        <v>25</v>
      </c>
    </row>
    <row r="77" spans="1:7" ht="26">
      <c r="A77" s="2856">
        <v>3</v>
      </c>
      <c r="B77" s="3495"/>
      <c r="C77" s="2830" t="s">
        <v>2656</v>
      </c>
      <c r="D77" s="2830" t="s">
        <v>2657</v>
      </c>
      <c r="E77" s="2856">
        <v>0.2</v>
      </c>
      <c r="F77" s="2856">
        <v>25</v>
      </c>
    </row>
    <row r="78" spans="1:7" ht="14">
      <c r="A78" s="2856">
        <v>4</v>
      </c>
      <c r="B78" s="3495"/>
      <c r="C78" s="2830" t="s">
        <v>2658</v>
      </c>
      <c r="D78" s="2830" t="s">
        <v>2659</v>
      </c>
      <c r="E78" s="2856">
        <v>0.15</v>
      </c>
      <c r="F78" s="2856">
        <v>20</v>
      </c>
    </row>
    <row r="79" spans="1:7" ht="26">
      <c r="A79" s="2856">
        <v>5</v>
      </c>
      <c r="B79" s="3495"/>
      <c r="C79" s="2830" t="s">
        <v>2660</v>
      </c>
      <c r="D79" s="2830" t="s">
        <v>2661</v>
      </c>
      <c r="E79" s="2856">
        <v>0.15</v>
      </c>
      <c r="F79" s="2856">
        <v>20</v>
      </c>
    </row>
    <row r="80" spans="1:7" ht="26">
      <c r="A80" s="2856">
        <v>6</v>
      </c>
      <c r="B80" s="3495"/>
      <c r="C80" s="2830" t="s">
        <v>2662</v>
      </c>
      <c r="D80" s="2830" t="s">
        <v>2663</v>
      </c>
      <c r="E80" s="2856">
        <v>0.15</v>
      </c>
      <c r="F80" s="2856">
        <v>20</v>
      </c>
    </row>
    <row r="81" spans="1:6" ht="26">
      <c r="A81" s="2856">
        <v>7</v>
      </c>
      <c r="B81" s="3495"/>
      <c r="C81" s="2830" t="s">
        <v>2664</v>
      </c>
      <c r="D81" s="2830" t="s">
        <v>2665</v>
      </c>
      <c r="E81" s="2856">
        <v>0.15</v>
      </c>
      <c r="F81" s="2856">
        <v>20</v>
      </c>
    </row>
    <row r="82" spans="1:6" ht="26">
      <c r="A82" s="2856">
        <v>8</v>
      </c>
      <c r="B82" s="3495"/>
      <c r="C82" s="2830" t="s">
        <v>2666</v>
      </c>
      <c r="D82" s="2830" t="s">
        <v>2667</v>
      </c>
      <c r="E82" s="2856">
        <v>0.1</v>
      </c>
      <c r="F82" s="2856">
        <v>15</v>
      </c>
    </row>
    <row r="83" spans="1:6" ht="26">
      <c r="A83" s="2856">
        <v>9</v>
      </c>
      <c r="B83" s="3495"/>
      <c r="C83" s="2830" t="s">
        <v>2668</v>
      </c>
      <c r="D83" s="2830" t="s">
        <v>2669</v>
      </c>
      <c r="E83" s="2856">
        <v>0.1</v>
      </c>
      <c r="F83" s="2856">
        <v>15</v>
      </c>
    </row>
    <row r="84" spans="1:6" ht="26">
      <c r="A84" s="2856">
        <v>10</v>
      </c>
      <c r="B84" s="3495"/>
      <c r="C84" s="2830" t="s">
        <v>2670</v>
      </c>
      <c r="D84" s="2830" t="s">
        <v>2671</v>
      </c>
      <c r="E84" s="2856">
        <v>0.1</v>
      </c>
      <c r="F84" s="2856">
        <v>15</v>
      </c>
    </row>
    <row r="85" spans="1:6" ht="26">
      <c r="A85" s="2856">
        <v>11</v>
      </c>
      <c r="B85" s="3495"/>
      <c r="C85" s="2830" t="s">
        <v>2672</v>
      </c>
      <c r="D85" s="2830" t="s">
        <v>2673</v>
      </c>
      <c r="E85" s="2856">
        <v>0.1</v>
      </c>
      <c r="F85" s="2856">
        <v>15</v>
      </c>
    </row>
    <row r="86" spans="1:6" ht="26">
      <c r="A86" s="2856">
        <v>12</v>
      </c>
      <c r="B86" s="3495"/>
      <c r="C86" s="2830" t="s">
        <v>2674</v>
      </c>
      <c r="D86" s="2830" t="s">
        <v>2675</v>
      </c>
      <c r="E86" s="2856">
        <v>0.1</v>
      </c>
      <c r="F86" s="2856">
        <v>15</v>
      </c>
    </row>
    <row r="87" spans="1:6" ht="14">
      <c r="A87" s="2856">
        <v>13</v>
      </c>
      <c r="B87" s="3495"/>
      <c r="C87" s="2830" t="s">
        <v>2676</v>
      </c>
      <c r="D87" s="2830" t="s">
        <v>2677</v>
      </c>
      <c r="E87" s="2856">
        <v>0.1</v>
      </c>
      <c r="F87" s="2856">
        <v>15</v>
      </c>
    </row>
    <row r="88" spans="1:6" ht="14">
      <c r="A88" s="2856">
        <v>14</v>
      </c>
      <c r="B88" s="3495"/>
      <c r="C88" s="2830" t="s">
        <v>2678</v>
      </c>
      <c r="D88" s="2830" t="s">
        <v>2679</v>
      </c>
      <c r="E88" s="2856">
        <v>0.1</v>
      </c>
      <c r="F88" s="2856">
        <v>15</v>
      </c>
    </row>
    <row r="89" spans="1:6" ht="14">
      <c r="A89" s="2856">
        <v>15</v>
      </c>
      <c r="B89" s="3495"/>
      <c r="C89" s="2830" t="s">
        <v>2680</v>
      </c>
      <c r="D89" s="2830" t="s">
        <v>2681</v>
      </c>
      <c r="E89" s="2856">
        <v>0.1</v>
      </c>
      <c r="F89" s="2856">
        <v>15</v>
      </c>
    </row>
    <row r="90" spans="1:6" ht="26">
      <c r="A90" s="2856">
        <v>16</v>
      </c>
      <c r="B90" s="3495"/>
      <c r="C90" s="2830" t="s">
        <v>2682</v>
      </c>
      <c r="D90" s="2830" t="s">
        <v>2683</v>
      </c>
      <c r="E90" s="2856">
        <v>0.1</v>
      </c>
      <c r="F90" s="2856">
        <v>15</v>
      </c>
    </row>
    <row r="91" spans="1:6" ht="26">
      <c r="A91" s="2856">
        <v>17</v>
      </c>
      <c r="B91" s="3501"/>
      <c r="C91" s="2830" t="s">
        <v>2684</v>
      </c>
      <c r="D91" s="2830" t="s">
        <v>2685</v>
      </c>
      <c r="E91" s="2856">
        <v>0.1</v>
      </c>
      <c r="F91" s="2856">
        <v>15</v>
      </c>
    </row>
    <row r="92" spans="1:6" ht="14">
      <c r="A92" s="2856">
        <v>18</v>
      </c>
      <c r="B92" s="3496" t="s">
        <v>2686</v>
      </c>
      <c r="C92" s="2830" t="s">
        <v>2687</v>
      </c>
      <c r="D92" s="2830" t="s">
        <v>2688</v>
      </c>
      <c r="E92" s="2856">
        <v>0.2</v>
      </c>
      <c r="F92" s="2856">
        <v>25</v>
      </c>
    </row>
    <row r="93" spans="1:6" ht="26">
      <c r="A93" s="2856">
        <v>19</v>
      </c>
      <c r="B93" s="3495"/>
      <c r="C93" s="2830" t="s">
        <v>2689</v>
      </c>
      <c r="D93" s="2830" t="s">
        <v>2690</v>
      </c>
      <c r="E93" s="2856">
        <v>0.2</v>
      </c>
      <c r="F93" s="2856">
        <v>25</v>
      </c>
    </row>
    <row r="94" spans="1:6" ht="14">
      <c r="A94" s="2856">
        <v>20</v>
      </c>
      <c r="B94" s="3495"/>
      <c r="C94" s="2830" t="s">
        <v>2691</v>
      </c>
      <c r="D94" s="2830" t="s">
        <v>2692</v>
      </c>
      <c r="E94" s="2856">
        <v>0.15</v>
      </c>
      <c r="F94" s="2856">
        <v>20</v>
      </c>
    </row>
    <row r="95" spans="1:6" ht="26">
      <c r="A95" s="2856">
        <v>21</v>
      </c>
      <c r="B95" s="3495"/>
      <c r="C95" s="2830" t="s">
        <v>2693</v>
      </c>
      <c r="D95" s="2830" t="s">
        <v>2694</v>
      </c>
      <c r="E95" s="2856">
        <v>0.15</v>
      </c>
      <c r="F95" s="2856">
        <v>20</v>
      </c>
    </row>
    <row r="96" spans="1:6" ht="26">
      <c r="A96" s="2856">
        <v>22</v>
      </c>
      <c r="B96" s="3495"/>
      <c r="C96" s="2830" t="s">
        <v>2695</v>
      </c>
      <c r="D96" s="2830" t="s">
        <v>2696</v>
      </c>
      <c r="E96" s="2856">
        <v>0.15</v>
      </c>
      <c r="F96" s="2856">
        <v>20</v>
      </c>
    </row>
    <row r="97" spans="1:6" ht="39">
      <c r="A97" s="2856">
        <v>23</v>
      </c>
      <c r="B97" s="3495"/>
      <c r="C97" s="2830" t="s">
        <v>2697</v>
      </c>
      <c r="D97" s="2830" t="s">
        <v>2698</v>
      </c>
      <c r="E97" s="2856">
        <v>0.15</v>
      </c>
      <c r="F97" s="2856">
        <v>20</v>
      </c>
    </row>
    <row r="98" spans="1:6" ht="14">
      <c r="A98" s="2856">
        <v>24</v>
      </c>
      <c r="B98" s="3495"/>
      <c r="C98" s="2830" t="s">
        <v>2699</v>
      </c>
      <c r="D98" s="2830" t="s">
        <v>2700</v>
      </c>
      <c r="E98" s="2856">
        <v>0.1</v>
      </c>
      <c r="F98" s="2856">
        <v>15</v>
      </c>
    </row>
    <row r="99" spans="1:6" ht="26">
      <c r="A99" s="2856">
        <v>25</v>
      </c>
      <c r="B99" s="3495"/>
      <c r="C99" s="2830" t="s">
        <v>2701</v>
      </c>
      <c r="D99" s="2830" t="s">
        <v>2702</v>
      </c>
      <c r="E99" s="2856">
        <v>0.1</v>
      </c>
      <c r="F99" s="2856">
        <v>15</v>
      </c>
    </row>
    <row r="100" spans="1:6" ht="26">
      <c r="A100" s="2856">
        <v>26</v>
      </c>
      <c r="B100" s="3495"/>
      <c r="C100" s="2830" t="s">
        <v>2703</v>
      </c>
      <c r="D100" s="2830" t="s">
        <v>2704</v>
      </c>
      <c r="E100" s="2856">
        <v>0.1</v>
      </c>
      <c r="F100" s="2856">
        <v>15</v>
      </c>
    </row>
    <row r="101" spans="1:6" ht="26">
      <c r="A101" s="2856">
        <v>27</v>
      </c>
      <c r="B101" s="3495"/>
      <c r="C101" s="2830" t="s">
        <v>2705</v>
      </c>
      <c r="D101" s="2830" t="s">
        <v>2706</v>
      </c>
      <c r="E101" s="2856">
        <v>0.1</v>
      </c>
      <c r="F101" s="2856">
        <v>15</v>
      </c>
    </row>
    <row r="102" spans="1:6" ht="26">
      <c r="A102" s="2856">
        <v>28</v>
      </c>
      <c r="B102" s="3495"/>
      <c r="C102" s="2830" t="s">
        <v>2707</v>
      </c>
      <c r="D102" s="2830" t="s">
        <v>2708</v>
      </c>
      <c r="E102" s="2856">
        <v>0.1</v>
      </c>
      <c r="F102" s="2856">
        <v>15</v>
      </c>
    </row>
    <row r="103" spans="1:6" ht="26">
      <c r="A103" s="2856">
        <v>29</v>
      </c>
      <c r="B103" s="3495"/>
      <c r="C103" s="2830" t="s">
        <v>2709</v>
      </c>
      <c r="D103" s="2830" t="s">
        <v>2710</v>
      </c>
      <c r="E103" s="2856">
        <v>0.1</v>
      </c>
      <c r="F103" s="2856">
        <v>15</v>
      </c>
    </row>
    <row r="104" spans="1:6" ht="26">
      <c r="A104" s="2856">
        <v>30</v>
      </c>
      <c r="B104" s="3495"/>
      <c r="C104" s="2830" t="s">
        <v>2711</v>
      </c>
      <c r="D104" s="2830" t="s">
        <v>2712</v>
      </c>
      <c r="E104" s="2856">
        <v>0.1</v>
      </c>
      <c r="F104" s="2856">
        <v>15</v>
      </c>
    </row>
    <row r="105" spans="1:6" ht="26">
      <c r="A105" s="2856">
        <v>31</v>
      </c>
      <c r="B105" s="3495"/>
      <c r="C105" s="2830" t="s">
        <v>2713</v>
      </c>
      <c r="D105" s="2830" t="s">
        <v>2714</v>
      </c>
      <c r="E105" s="2856">
        <v>0.1</v>
      </c>
      <c r="F105" s="2856">
        <v>15</v>
      </c>
    </row>
    <row r="106" spans="1:6" ht="26">
      <c r="A106" s="2856">
        <v>32</v>
      </c>
      <c r="B106" s="3495"/>
      <c r="C106" s="2830" t="s">
        <v>2715</v>
      </c>
      <c r="D106" s="2830" t="s">
        <v>2716</v>
      </c>
      <c r="E106" s="2856">
        <v>0.1</v>
      </c>
      <c r="F106" s="2856">
        <v>15</v>
      </c>
    </row>
    <row r="107" spans="1:6" ht="26">
      <c r="A107" s="2856">
        <v>33</v>
      </c>
      <c r="B107" s="3495"/>
      <c r="C107" s="2830" t="s">
        <v>2717</v>
      </c>
      <c r="D107" s="2830" t="s">
        <v>2718</v>
      </c>
      <c r="E107" s="2856">
        <v>0.1</v>
      </c>
      <c r="F107" s="2856">
        <v>15</v>
      </c>
    </row>
    <row r="108" spans="1:6" ht="26">
      <c r="A108" s="2856">
        <v>34</v>
      </c>
      <c r="B108" s="3501"/>
      <c r="C108" s="2830" t="s">
        <v>2719</v>
      </c>
      <c r="D108" s="2830" t="s">
        <v>2720</v>
      </c>
      <c r="E108" s="2856">
        <v>0.1</v>
      </c>
      <c r="F108" s="2856">
        <v>15</v>
      </c>
    </row>
    <row r="109" spans="1:6" ht="26">
      <c r="A109" s="2856">
        <v>35</v>
      </c>
      <c r="B109" s="3496" t="s">
        <v>2721</v>
      </c>
      <c r="C109" s="2856" t="s">
        <v>2722</v>
      </c>
      <c r="D109" s="2830" t="s">
        <v>2723</v>
      </c>
      <c r="E109" s="2856">
        <v>0.15</v>
      </c>
      <c r="F109" s="2856">
        <v>20</v>
      </c>
    </row>
    <row r="110" spans="1:6" ht="26">
      <c r="A110" s="2856">
        <v>36</v>
      </c>
      <c r="B110" s="3495"/>
      <c r="C110" s="2856" t="s">
        <v>2724</v>
      </c>
      <c r="D110" s="2830" t="s">
        <v>2725</v>
      </c>
      <c r="E110" s="2856">
        <v>0.15</v>
      </c>
      <c r="F110" s="2856">
        <v>20</v>
      </c>
    </row>
    <row r="111" spans="1:6" ht="26">
      <c r="A111" s="2856">
        <v>37</v>
      </c>
      <c r="B111" s="3495"/>
      <c r="C111" s="2856" t="s">
        <v>2726</v>
      </c>
      <c r="D111" s="2830" t="s">
        <v>2727</v>
      </c>
      <c r="E111" s="2856">
        <v>0.15</v>
      </c>
      <c r="F111" s="2856">
        <v>20</v>
      </c>
    </row>
    <row r="112" spans="1:6" ht="14">
      <c r="A112" s="2856">
        <v>38</v>
      </c>
      <c r="B112" s="3495"/>
      <c r="C112" s="2856" t="s">
        <v>2728</v>
      </c>
      <c r="D112" s="2830" t="s">
        <v>2729</v>
      </c>
      <c r="E112" s="2856">
        <v>0.1</v>
      </c>
      <c r="F112" s="2856">
        <v>15</v>
      </c>
    </row>
    <row r="113" spans="1:6" ht="26">
      <c r="A113" s="2856">
        <v>39</v>
      </c>
      <c r="B113" s="3495"/>
      <c r="C113" s="2856" t="s">
        <v>2730</v>
      </c>
      <c r="D113" s="2830" t="s">
        <v>2731</v>
      </c>
      <c r="E113" s="2856">
        <v>0.1</v>
      </c>
      <c r="F113" s="2856">
        <v>15</v>
      </c>
    </row>
    <row r="114" spans="1:6" ht="26">
      <c r="A114" s="2856">
        <v>40</v>
      </c>
      <c r="B114" s="3501"/>
      <c r="C114" s="2856" t="s">
        <v>2732</v>
      </c>
      <c r="D114" s="2830" t="s">
        <v>2733</v>
      </c>
      <c r="E114" s="2856">
        <v>0.1</v>
      </c>
      <c r="F114" s="2856">
        <v>15</v>
      </c>
    </row>
    <row r="115" spans="1:6" ht="26">
      <c r="A115" s="2856">
        <v>41</v>
      </c>
      <c r="B115" s="3489" t="s">
        <v>2734</v>
      </c>
      <c r="C115" s="2856" t="s">
        <v>2735</v>
      </c>
      <c r="D115" s="2830" t="s">
        <v>2736</v>
      </c>
      <c r="E115" s="2856">
        <v>0.1</v>
      </c>
      <c r="F115" s="2856">
        <v>15</v>
      </c>
    </row>
    <row r="116" spans="1:6" ht="14">
      <c r="A116" s="2856">
        <v>42</v>
      </c>
      <c r="B116" s="3489"/>
      <c r="C116" s="2856" t="s">
        <v>2737</v>
      </c>
      <c r="D116" s="2830" t="s">
        <v>2738</v>
      </c>
      <c r="E116" s="2856">
        <v>0.1</v>
      </c>
      <c r="F116" s="2856">
        <v>15</v>
      </c>
    </row>
    <row r="117" spans="1:6" ht="26">
      <c r="A117" s="2856">
        <v>43</v>
      </c>
      <c r="B117" s="3489"/>
      <c r="C117" s="2856" t="s">
        <v>2739</v>
      </c>
      <c r="D117" s="2830" t="s">
        <v>2740</v>
      </c>
      <c r="E117" s="2856">
        <v>0.1</v>
      </c>
      <c r="F117" s="2856">
        <v>15</v>
      </c>
    </row>
    <row r="118" spans="1:6" ht="26">
      <c r="A118" s="2856">
        <v>44</v>
      </c>
      <c r="B118" s="3496" t="s">
        <v>2741</v>
      </c>
      <c r="C118" s="2856" t="s">
        <v>2742</v>
      </c>
      <c r="D118" s="2830" t="s">
        <v>2743</v>
      </c>
      <c r="E118" s="2856">
        <v>0.1</v>
      </c>
      <c r="F118" s="2856">
        <v>15</v>
      </c>
    </row>
    <row r="119" spans="1:6" ht="26">
      <c r="A119" s="2856">
        <v>45</v>
      </c>
      <c r="B119" s="3501"/>
      <c r="C119" s="2830" t="s">
        <v>2744</v>
      </c>
      <c r="D119" s="2830" t="s">
        <v>2745</v>
      </c>
      <c r="E119" s="2856">
        <v>0.1</v>
      </c>
      <c r="F119" s="2856">
        <v>15</v>
      </c>
    </row>
    <row r="120" spans="1:6" ht="26">
      <c r="A120" s="2856">
        <v>46</v>
      </c>
      <c r="B120" s="3496" t="s">
        <v>2746</v>
      </c>
      <c r="C120" s="2856" t="s">
        <v>2747</v>
      </c>
      <c r="D120" s="2830" t="s">
        <v>2748</v>
      </c>
      <c r="E120" s="2856">
        <v>0.1</v>
      </c>
      <c r="F120" s="2856">
        <v>15</v>
      </c>
    </row>
    <row r="121" spans="1:6" ht="26">
      <c r="A121" s="2856">
        <v>47</v>
      </c>
      <c r="B121" s="3501"/>
      <c r="C121" s="2856" t="s">
        <v>2749</v>
      </c>
      <c r="D121" s="2830" t="s">
        <v>2750</v>
      </c>
      <c r="E121" s="2856">
        <v>0.1</v>
      </c>
      <c r="F121" s="2856">
        <v>15</v>
      </c>
    </row>
    <row r="122" spans="1:6" ht="26">
      <c r="A122" s="2856">
        <v>48</v>
      </c>
      <c r="B122" s="3496" t="s">
        <v>2751</v>
      </c>
      <c r="C122" s="2856" t="s">
        <v>2752</v>
      </c>
      <c r="D122" s="2830" t="s">
        <v>2753</v>
      </c>
      <c r="E122" s="2856">
        <v>0.1</v>
      </c>
      <c r="F122" s="2856">
        <v>15</v>
      </c>
    </row>
    <row r="123" spans="1:6" ht="14">
      <c r="A123" s="2856">
        <v>49</v>
      </c>
      <c r="B123" s="3501"/>
      <c r="C123" s="2856" t="s">
        <v>2754</v>
      </c>
      <c r="D123" s="2830" t="s">
        <v>2755</v>
      </c>
      <c r="E123" s="2856">
        <v>0.1</v>
      </c>
      <c r="F123" s="2856">
        <v>15</v>
      </c>
    </row>
    <row r="124" spans="1:6" ht="26">
      <c r="A124" s="2856">
        <v>50</v>
      </c>
      <c r="B124" s="3489" t="s">
        <v>2756</v>
      </c>
      <c r="C124" s="2856" t="s">
        <v>2757</v>
      </c>
      <c r="D124" s="2830" t="s">
        <v>2758</v>
      </c>
      <c r="E124" s="2856">
        <v>0.1</v>
      </c>
      <c r="F124" s="2856">
        <v>15</v>
      </c>
    </row>
    <row r="125" spans="1:6" ht="26">
      <c r="A125" s="2856">
        <v>51</v>
      </c>
      <c r="B125" s="3489"/>
      <c r="C125" s="2856" t="s">
        <v>2759</v>
      </c>
      <c r="D125" s="2830" t="s">
        <v>2760</v>
      </c>
      <c r="E125" s="2856">
        <v>0.1</v>
      </c>
      <c r="F125" s="2856">
        <v>15</v>
      </c>
    </row>
    <row r="126" spans="1:6" ht="26">
      <c r="A126" s="2856">
        <v>52</v>
      </c>
      <c r="B126" s="3489" t="s">
        <v>2761</v>
      </c>
      <c r="C126" s="2856" t="s">
        <v>2762</v>
      </c>
      <c r="D126" s="2830" t="s">
        <v>2763</v>
      </c>
      <c r="E126" s="2856">
        <v>0.1</v>
      </c>
      <c r="F126" s="2856">
        <v>15</v>
      </c>
    </row>
    <row r="127" spans="1:6" ht="26">
      <c r="A127" s="2856">
        <v>53</v>
      </c>
      <c r="B127" s="3489"/>
      <c r="C127" s="2856" t="s">
        <v>2764</v>
      </c>
      <c r="D127" s="2830" t="s">
        <v>2765</v>
      </c>
      <c r="E127" s="2856">
        <v>0.1</v>
      </c>
      <c r="F127" s="2856">
        <v>15</v>
      </c>
    </row>
    <row r="128" spans="1:6" ht="26">
      <c r="A128" s="2856">
        <v>54</v>
      </c>
      <c r="B128" s="2856" t="s">
        <v>2766</v>
      </c>
      <c r="C128" s="2856" t="s">
        <v>2767</v>
      </c>
      <c r="D128" s="2830" t="s">
        <v>2768</v>
      </c>
      <c r="E128" s="2856">
        <v>0.1</v>
      </c>
      <c r="F128" s="2856">
        <v>15</v>
      </c>
    </row>
    <row r="129" spans="1:6" ht="14">
      <c r="A129" s="2856">
        <v>55</v>
      </c>
      <c r="B129" s="3489" t="s">
        <v>2769</v>
      </c>
      <c r="C129" s="2856" t="s">
        <v>2770</v>
      </c>
      <c r="D129" s="2830" t="s">
        <v>2771</v>
      </c>
      <c r="E129" s="2856">
        <v>0.1</v>
      </c>
      <c r="F129" s="2856">
        <v>15</v>
      </c>
    </row>
    <row r="130" spans="1:6" ht="14">
      <c r="A130" s="2856">
        <v>56</v>
      </c>
      <c r="B130" s="3489"/>
      <c r="C130" s="2856" t="s">
        <v>2772</v>
      </c>
      <c r="D130" s="2830" t="s">
        <v>2773</v>
      </c>
      <c r="E130" s="2856">
        <v>0.1</v>
      </c>
      <c r="F130" s="2856">
        <v>15</v>
      </c>
    </row>
    <row r="131" spans="1:6" ht="26">
      <c r="A131" s="2856">
        <v>57</v>
      </c>
      <c r="B131" s="3489"/>
      <c r="C131" s="2856" t="s">
        <v>2774</v>
      </c>
      <c r="D131" s="2830" t="s">
        <v>2775</v>
      </c>
      <c r="E131" s="2856">
        <v>0.1</v>
      </c>
      <c r="F131" s="2856">
        <v>15</v>
      </c>
    </row>
    <row r="132" spans="1:6" ht="26">
      <c r="A132" s="2856">
        <v>58</v>
      </c>
      <c r="B132" s="3489" t="s">
        <v>2776</v>
      </c>
      <c r="C132" s="2856" t="s">
        <v>2777</v>
      </c>
      <c r="D132" s="2830" t="s">
        <v>2778</v>
      </c>
      <c r="E132" s="2856">
        <v>0.1</v>
      </c>
      <c r="F132" s="2856">
        <v>15</v>
      </c>
    </row>
    <row r="133" spans="1:6" ht="26">
      <c r="A133" s="2856">
        <v>59</v>
      </c>
      <c r="B133" s="3489"/>
      <c r="C133" s="2856" t="s">
        <v>2779</v>
      </c>
      <c r="D133" s="2830" t="s">
        <v>2780</v>
      </c>
      <c r="E133" s="2856">
        <v>0.1</v>
      </c>
      <c r="F133" s="2856">
        <v>15</v>
      </c>
    </row>
    <row r="134" spans="1:6" ht="26">
      <c r="A134" s="2856">
        <v>60</v>
      </c>
      <c r="B134" s="3496" t="s">
        <v>2781</v>
      </c>
      <c r="C134" s="2856" t="s">
        <v>2782</v>
      </c>
      <c r="D134" s="2830" t="s">
        <v>2783</v>
      </c>
      <c r="E134" s="2856">
        <v>0.1</v>
      </c>
      <c r="F134" s="2856">
        <v>15</v>
      </c>
    </row>
    <row r="135" spans="1:6" ht="26">
      <c r="A135" s="2856">
        <v>61</v>
      </c>
      <c r="B135" s="3501"/>
      <c r="C135" s="2856" t="s">
        <v>2784</v>
      </c>
      <c r="D135" s="2830" t="s">
        <v>2785</v>
      </c>
      <c r="E135" s="2856">
        <v>0.1</v>
      </c>
      <c r="F135" s="2856">
        <v>15</v>
      </c>
    </row>
    <row r="136" spans="1:6" ht="26">
      <c r="A136" s="2856">
        <v>62</v>
      </c>
      <c r="B136" s="2856" t="s">
        <v>2786</v>
      </c>
      <c r="C136" s="2856" t="s">
        <v>2787</v>
      </c>
      <c r="D136" s="2830" t="s">
        <v>2788</v>
      </c>
      <c r="E136" s="2856">
        <v>0.1</v>
      </c>
      <c r="F136" s="2856">
        <v>15</v>
      </c>
    </row>
    <row r="137" spans="1:6" ht="26">
      <c r="A137" s="2856">
        <v>63</v>
      </c>
      <c r="B137" s="3489" t="s">
        <v>2789</v>
      </c>
      <c r="C137" s="2856" t="s">
        <v>2790</v>
      </c>
      <c r="D137" s="2830" t="s">
        <v>2791</v>
      </c>
      <c r="E137" s="2856">
        <v>0.1</v>
      </c>
      <c r="F137" s="2856">
        <v>15</v>
      </c>
    </row>
    <row r="138" spans="1:6" ht="14">
      <c r="A138" s="2856">
        <v>64</v>
      </c>
      <c r="B138" s="3489"/>
      <c r="C138" s="2856" t="s">
        <v>2792</v>
      </c>
      <c r="D138" s="2830" t="s">
        <v>2793</v>
      </c>
      <c r="E138" s="2856">
        <v>0.1</v>
      </c>
      <c r="F138" s="2856">
        <v>15</v>
      </c>
    </row>
    <row r="139" spans="1:6" ht="26">
      <c r="A139" s="2856">
        <v>65</v>
      </c>
      <c r="B139" s="2856" t="s">
        <v>2794</v>
      </c>
      <c r="C139" s="2856" t="s">
        <v>2795</v>
      </c>
      <c r="D139" s="2830" t="s">
        <v>2796</v>
      </c>
      <c r="E139" s="2856">
        <v>0.1</v>
      </c>
      <c r="F139" s="2856">
        <v>15</v>
      </c>
    </row>
    <row r="140" spans="1:6" ht="14">
      <c r="A140" s="2856"/>
      <c r="B140" s="2856"/>
      <c r="C140" s="2856"/>
      <c r="D140" s="2856"/>
      <c r="E140" s="2856" t="s">
        <v>2797</v>
      </c>
      <c r="F140" s="2856" t="s">
        <v>2797</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B20:B27"/>
    <mergeCell ref="A29:A41"/>
    <mergeCell ref="B29:B38"/>
    <mergeCell ref="B39:B41"/>
    <mergeCell ref="A43:A53"/>
    <mergeCell ref="B43:B45"/>
    <mergeCell ref="B47:B53"/>
    <mergeCell ref="A20:A27"/>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
  <cols>
    <col min="1" max="1" width="0.90625" style="1390" customWidth="1"/>
    <col min="2" max="2" width="37.26953125" style="1390" customWidth="1"/>
    <col min="3" max="3" width="11.36328125" style="1390" customWidth="1"/>
    <col min="4" max="4" width="31.7265625" style="1390" customWidth="1"/>
    <col min="5" max="5" width="0.453125" style="1390" customWidth="1"/>
    <col min="6" max="7" width="13" style="1390" customWidth="1"/>
    <col min="8" max="16384" width="9" style="1390"/>
  </cols>
  <sheetData>
    <row r="1" spans="1:5" ht="18">
      <c r="A1" s="1389" t="s">
        <v>908</v>
      </c>
    </row>
    <row r="2" spans="1:5" ht="78" customHeight="1">
      <c r="A2" s="318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6"/>
      <c r="C2" s="3186"/>
      <c r="D2" s="3186"/>
      <c r="E2" s="3186"/>
    </row>
    <row r="3" spans="1:5" ht="18">
      <c r="A3" s="3187" t="str">
        <f>IF(项目基本情况!B9="房地产市场价值","估价结果一览表（市场价值不需“结果表-1”）","估价结果一览表")</f>
        <v>估价结果一览表</v>
      </c>
      <c r="B3" s="3187"/>
      <c r="C3" s="3187"/>
      <c r="D3" s="3187"/>
      <c r="E3" s="3187"/>
    </row>
    <row r="4" spans="1:5" ht="18.5" thickBot="1">
      <c r="A4" s="1391"/>
      <c r="B4" s="3185" t="s">
        <v>917</v>
      </c>
      <c r="C4" s="3185"/>
      <c r="D4" s="3185"/>
      <c r="E4" s="1391"/>
    </row>
    <row r="5" spans="1:5" ht="16" thickTop="1">
      <c r="B5" s="3183" t="s">
        <v>909</v>
      </c>
      <c r="C5" s="1392" t="s">
        <v>910</v>
      </c>
      <c r="D5" s="797">
        <f ca="1">结果表!H101</f>
        <v>123.41</v>
      </c>
    </row>
    <row r="6" spans="1:5" ht="15.5">
      <c r="B6" s="3183"/>
      <c r="C6" s="1392" t="s">
        <v>911</v>
      </c>
      <c r="D6" s="797" t="str">
        <f ca="1">NUMBERSTRING(INT(D5*10000),2)&amp;"元整"</f>
        <v>壹佰贰拾叁万肆仟壹佰元整</v>
      </c>
    </row>
    <row r="7" spans="1:5" ht="15.5">
      <c r="B7" s="3188"/>
      <c r="C7" s="1393" t="s">
        <v>912</v>
      </c>
      <c r="D7" s="798">
        <f ca="1">结果表!H102</f>
        <v>22080</v>
      </c>
    </row>
    <row r="8" spans="1:5" ht="15.5">
      <c r="B8" s="3189" t="str">
        <f>结果表!E103</f>
        <v>2.估价师知悉的法定优先受偿款</v>
      </c>
      <c r="C8" s="1394" t="s">
        <v>913</v>
      </c>
      <c r="D8" s="798">
        <f>结果表!H103</f>
        <v>0</v>
      </c>
    </row>
    <row r="9" spans="1:5" ht="15.5">
      <c r="B9" s="3191"/>
      <c r="C9" s="1392" t="s">
        <v>911</v>
      </c>
      <c r="D9" s="797" t="str">
        <f>NUMBERSTRING(INT(D8*10000),2)&amp;"元整"</f>
        <v>零元整</v>
      </c>
    </row>
    <row r="10" spans="1:5" ht="16">
      <c r="B10" s="1395" t="s">
        <v>916</v>
      </c>
      <c r="C10" s="1396" t="s">
        <v>914</v>
      </c>
      <c r="D10" s="799">
        <f>结果表!H104</f>
        <v>0</v>
      </c>
    </row>
    <row r="11" spans="1:5" ht="16">
      <c r="B11" s="1395" t="s">
        <v>918</v>
      </c>
      <c r="C11" s="1396" t="s">
        <v>919</v>
      </c>
      <c r="D11" s="799">
        <f>结果表!H105</f>
        <v>0</v>
      </c>
    </row>
    <row r="12" spans="1:5" ht="16">
      <c r="B12" s="1395" t="s">
        <v>920</v>
      </c>
      <c r="C12" s="1396" t="s">
        <v>919</v>
      </c>
      <c r="D12" s="799">
        <f>结果表!H106</f>
        <v>0</v>
      </c>
    </row>
    <row r="13" spans="1:5" ht="15.5">
      <c r="B13" s="3182" t="str">
        <f>结果表!E107</f>
        <v>3.房地产抵押价值</v>
      </c>
      <c r="C13" s="1397" t="s">
        <v>910</v>
      </c>
      <c r="D13" s="800">
        <f ca="1">结果表!H107</f>
        <v>123.41</v>
      </c>
    </row>
    <row r="14" spans="1:5" ht="15.5">
      <c r="B14" s="3183"/>
      <c r="C14" s="1392" t="s">
        <v>911</v>
      </c>
      <c r="D14" s="797" t="str">
        <f ca="1">NUMBERSTRING(INT(D13*10000),2)&amp;"元整"</f>
        <v>壹佰贰拾叁万肆仟壹佰元整</v>
      </c>
    </row>
    <row r="15" spans="1:5" ht="15.5">
      <c r="B15" s="3188"/>
      <c r="C15" s="1393" t="s">
        <v>921</v>
      </c>
      <c r="D15" s="806">
        <f ca="1">结果表!H108</f>
        <v>22080</v>
      </c>
    </row>
    <row r="16" spans="1:5" ht="15">
      <c r="B16" s="3189" t="str">
        <f>结果表!E109</f>
        <v>——</v>
      </c>
      <c r="C16" s="1397" t="s">
        <v>922</v>
      </c>
      <c r="D16" s="1398" t="str">
        <f>结果表!H109</f>
        <v>——</v>
      </c>
    </row>
    <row r="17" spans="1:5" ht="15.5">
      <c r="B17" s="3190"/>
      <c r="C17" s="1392" t="s">
        <v>923</v>
      </c>
      <c r="D17" s="797" t="e">
        <f>NUMBERSTRING(INT(D16*10000),2)&amp;"元整"</f>
        <v>#VALUE!</v>
      </c>
    </row>
    <row r="18" spans="1:5" ht="15.5">
      <c r="B18" s="3191"/>
      <c r="C18" s="1393" t="s">
        <v>912</v>
      </c>
      <c r="D18" s="806" t="str">
        <f>结果表!H110</f>
        <v>——</v>
      </c>
    </row>
    <row r="19" spans="1:5" ht="15.5">
      <c r="B19" s="3182" t="str">
        <f>结果表!E111</f>
        <v>——</v>
      </c>
      <c r="C19" s="1397" t="s">
        <v>910</v>
      </c>
      <c r="D19" s="798" t="str">
        <f>结果表!H111</f>
        <v>——</v>
      </c>
    </row>
    <row r="20" spans="1:5" ht="15.5">
      <c r="B20" s="3183"/>
      <c r="C20" s="1392" t="s">
        <v>923</v>
      </c>
      <c r="D20" s="797" t="e">
        <f>NUMBERSTRING(INT(D19*10000),2)&amp;"元整"</f>
        <v>#VALUE!</v>
      </c>
    </row>
    <row r="21" spans="1:5" ht="16" thickBot="1">
      <c r="B21" s="3184"/>
      <c r="C21" s="1399" t="s">
        <v>921</v>
      </c>
      <c r="D21" s="807" t="str">
        <f>结果表!H112</f>
        <v>——</v>
      </c>
    </row>
    <row r="22" spans="1:5" ht="14.5" thickTop="1">
      <c r="B22" s="1400" t="s">
        <v>924</v>
      </c>
    </row>
    <row r="24" spans="1:5" ht="17.5">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
  <cols>
    <col min="1" max="13" width="9" style="2878"/>
  </cols>
  <sheetData>
    <row r="1" spans="1:20" ht="15.5"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4.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5.5"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0.90459999999999996</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4.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5.5"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4.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5.5"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4.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5.5"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0.86050000000000004</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4.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6328125" defaultRowHeight="12.5"/>
  <cols>
    <col min="1" max="1" width="9.36328125" style="261" customWidth="1"/>
    <col min="2" max="2" width="29.26953125" style="243" customWidth="1"/>
    <col min="3" max="3" width="12.08984375" style="243" customWidth="1"/>
    <col min="4" max="5" width="11.26953125" style="264" customWidth="1"/>
    <col min="6" max="6" width="9.453125" style="243" customWidth="1"/>
    <col min="7" max="7" width="31.90625" style="243" customWidth="1"/>
    <col min="8" max="254" width="9" style="243" customWidth="1"/>
    <col min="255" max="16384" width="8.36328125" style="243"/>
  </cols>
  <sheetData>
    <row r="1" spans="1:7" s="192" customFormat="1" ht="21">
      <c r="A1" s="188" t="s">
        <v>56</v>
      </c>
      <c r="B1" s="189"/>
      <c r="C1" s="190"/>
      <c r="D1" s="190"/>
      <c r="E1" s="190"/>
      <c r="F1" s="190"/>
      <c r="G1" s="191"/>
    </row>
    <row r="2" spans="1:7" s="192" customFormat="1" ht="18" customHeight="1">
      <c r="A2" s="193" t="s">
        <v>57</v>
      </c>
      <c r="B2" s="194">
        <f ca="1">C52</f>
        <v>27644</v>
      </c>
      <c r="C2" s="2" t="s">
        <v>106</v>
      </c>
      <c r="D2" s="191"/>
      <c r="E2" s="191"/>
      <c r="F2" s="191"/>
      <c r="G2" s="191"/>
    </row>
    <row r="3" spans="1:7" s="192" customFormat="1" ht="18" customHeight="1" thickBot="1">
      <c r="A3" s="195" t="s">
        <v>58</v>
      </c>
      <c r="B3" s="196">
        <f ca="1">ROUND(B2*10000/'数据-汇总表'!E3,0)</f>
        <v>4946144</v>
      </c>
      <c r="C3" s="2" t="s">
        <v>107</v>
      </c>
      <c r="D3" s="191"/>
      <c r="E3" s="191"/>
      <c r="F3" s="191"/>
      <c r="G3" s="191"/>
    </row>
    <row r="4" spans="1:7" s="200" customFormat="1" ht="16">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ht="13">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v>
      </c>
      <c r="D10" s="795">
        <f>'数据-汇总表'!E6</f>
        <v>55.89</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v>
      </c>
      <c r="D19" s="204">
        <f>'数据-汇总表'!E3</f>
        <v>55.89</v>
      </c>
      <c r="E19" s="203">
        <f>'数据-取费表'!B31</f>
        <v>200</v>
      </c>
      <c r="F19" s="223"/>
      <c r="G19" s="1" t="s">
        <v>436</v>
      </c>
    </row>
    <row r="20" spans="1:7" s="206" customFormat="1" ht="13.5" customHeight="1">
      <c r="A20" s="731" t="s">
        <v>419</v>
      </c>
      <c r="B20" s="202" t="s">
        <v>77</v>
      </c>
      <c r="C20" s="224">
        <f>ROUND((C5+C19)*F20,0)</f>
        <v>412</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1323</v>
      </c>
      <c r="D22" s="227">
        <f ca="1">C26</f>
        <v>5.9999999999999995E-4</v>
      </c>
      <c r="E22" s="228" t="s">
        <v>99</v>
      </c>
      <c r="F22" s="229">
        <f ca="1">'数据-取费表'!B40</f>
        <v>3.1300000000000001E-2</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1310</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0</v>
      </c>
      <c r="D24" s="230"/>
      <c r="E24" s="230"/>
      <c r="F24" s="231"/>
      <c r="G24" s="232" t="s">
        <v>82</v>
      </c>
    </row>
    <row r="25" spans="1:7" s="206" customFormat="1" ht="26">
      <c r="A25" s="734" t="s">
        <v>348</v>
      </c>
      <c r="B25" s="207" t="s">
        <v>420</v>
      </c>
      <c r="C25" s="1042">
        <f ca="1">ROUND(IF('数据-取费表'!B22&lt;=1,C20*F22*'数据-取费表'!B23/2,C20*(POWER((1+F22),'数据-取费表'!B23/2)-1)),0)</f>
        <v>13</v>
      </c>
      <c r="D25" s="230"/>
      <c r="E25" s="233"/>
      <c r="F25" s="231"/>
      <c r="G25" s="234" t="s">
        <v>83</v>
      </c>
    </row>
    <row r="26" spans="1:7" s="206" customFormat="1" ht="13">
      <c r="A26" s="734" t="s">
        <v>350</v>
      </c>
      <c r="B26" s="207" t="s">
        <v>422</v>
      </c>
      <c r="C26" s="230">
        <f ca="1">ROUND(IF('数据-取费表'!B22&lt;=1,F21*F22*'数据-取费表'!B23/2,F21*(POWER((1+F22),'数据-取费表'!B23/2)-1)),4)</f>
        <v>5.9999999999999995E-4</v>
      </c>
      <c r="D26" s="230"/>
      <c r="E26" s="233"/>
      <c r="F26" s="231"/>
      <c r="G26" s="235"/>
    </row>
    <row r="27" spans="1:7" s="206" customFormat="1" ht="27">
      <c r="A27" s="731" t="s">
        <v>342</v>
      </c>
      <c r="B27" s="236" t="s">
        <v>85</v>
      </c>
      <c r="C27" s="237">
        <f>C28</f>
        <v>3153</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3153</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27624</v>
      </c>
      <c r="D31" s="222"/>
      <c r="E31" s="203"/>
      <c r="F31" s="242"/>
      <c r="G31" s="226" t="s">
        <v>432</v>
      </c>
    </row>
    <row r="32" spans="1:7" s="200" customFormat="1" ht="16">
      <c r="A32" s="244" t="s">
        <v>87</v>
      </c>
      <c r="B32" s="245"/>
      <c r="C32" s="245"/>
      <c r="D32" s="245"/>
      <c r="E32" s="245"/>
      <c r="F32" s="245"/>
      <c r="G32" s="246"/>
    </row>
    <row r="33" spans="1:7" s="206" customFormat="1" ht="13.5" customHeight="1">
      <c r="A33" s="247" t="s">
        <v>337</v>
      </c>
      <c r="B33" s="202" t="s">
        <v>88</v>
      </c>
      <c r="C33" s="248">
        <f>SUM(C34:C38)</f>
        <v>22</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20</v>
      </c>
      <c r="D34" s="209"/>
      <c r="E34" s="212"/>
      <c r="F34" s="249">
        <f>IF('数据-取费表'!B24=0,1,'数据-取费表'!N16)</f>
        <v>1</v>
      </c>
      <c r="G34" s="211" t="s">
        <v>89</v>
      </c>
    </row>
    <row r="35" spans="1:7" ht="13.5" customHeight="1">
      <c r="A35" s="734" t="s">
        <v>351</v>
      </c>
      <c r="B35" s="207" t="s">
        <v>33</v>
      </c>
      <c r="C35" s="212">
        <f>ROUND(C34*F35,0)</f>
        <v>1</v>
      </c>
      <c r="D35" s="212"/>
      <c r="E35" s="212"/>
      <c r="F35" s="251">
        <f>'数据-取费表'!B33</f>
        <v>0.05</v>
      </c>
      <c r="G35" s="211" t="s">
        <v>90</v>
      </c>
    </row>
    <row r="36" spans="1:7" ht="26">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v>
      </c>
      <c r="D37" s="209">
        <f>'数据-汇总表'!E3</f>
        <v>55.89</v>
      </c>
      <c r="E37" s="241">
        <f>'数据-取费表'!B35</f>
        <v>200</v>
      </c>
      <c r="F37" s="251"/>
      <c r="G37" s="253" t="s">
        <v>92</v>
      </c>
    </row>
    <row r="38" spans="1:7" ht="13.5" customHeight="1">
      <c r="A38" s="734" t="s">
        <v>354</v>
      </c>
      <c r="B38" s="207" t="s">
        <v>36</v>
      </c>
      <c r="C38" s="212">
        <f>ROUND(C34*F38,0)</f>
        <v>0</v>
      </c>
      <c r="D38" s="212"/>
      <c r="E38" s="212"/>
      <c r="F38" s="251">
        <f>'数据-取费表'!B36</f>
        <v>0.02</v>
      </c>
      <c r="G38" s="211" t="s">
        <v>90</v>
      </c>
    </row>
    <row r="39" spans="1:7" s="206" customFormat="1" ht="13.5" customHeight="1">
      <c r="A39" s="731" t="s">
        <v>338</v>
      </c>
      <c r="B39" s="202" t="s">
        <v>77</v>
      </c>
      <c r="C39" s="224">
        <f>ROUND(C33*F20,0)</f>
        <v>0</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v>
      </c>
      <c r="D42" s="230"/>
      <c r="E42" s="230"/>
      <c r="F42" s="231"/>
      <c r="G42" s="3363" t="s">
        <v>94</v>
      </c>
    </row>
    <row r="43" spans="1:7" ht="13.5" customHeight="1">
      <c r="A43" s="734" t="s">
        <v>347</v>
      </c>
      <c r="B43" s="207" t="s">
        <v>426</v>
      </c>
      <c r="C43" s="230">
        <f ca="1">ROUND(IF('数据-取费表'!B22&lt;=1,C39*F22*'数据-取费表'!B21/2,C39*(POWER((1+F22),'数据-取费表'!B21/2)-1)),0)</f>
        <v>0</v>
      </c>
      <c r="D43" s="230"/>
      <c r="E43" s="230"/>
      <c r="F43" s="231"/>
      <c r="G43" s="3364"/>
    </row>
    <row r="44" spans="1:7" ht="13.5" customHeight="1">
      <c r="A44" s="734" t="s">
        <v>348</v>
      </c>
      <c r="B44" s="207" t="s">
        <v>428</v>
      </c>
      <c r="C44" s="230">
        <f ca="1">ROUND(IF('数据-取费表'!B22&lt;=1,C40*F22*'数据-取费表'!B21/2,C40*(POWER((1+F22),'数据-取费表'!B21/2)-1)),4)</f>
        <v>5.9999999999999995E-4</v>
      </c>
      <c r="D44" s="230"/>
      <c r="E44" s="230"/>
      <c r="F44" s="231"/>
      <c r="G44" s="3365"/>
    </row>
    <row r="45" spans="1:7" s="206" customFormat="1" ht="13.5" customHeight="1">
      <c r="A45" s="731" t="s">
        <v>341</v>
      </c>
      <c r="B45" s="236" t="s">
        <v>85</v>
      </c>
      <c r="C45" s="237">
        <f>C46</f>
        <v>3</v>
      </c>
      <c r="D45" s="227">
        <f>C47</f>
        <v>3.0000000000000001E-3</v>
      </c>
      <c r="E45" s="228" t="s">
        <v>102</v>
      </c>
      <c r="F45" s="238"/>
      <c r="G45" s="239" t="s">
        <v>434</v>
      </c>
    </row>
    <row r="46" spans="1:7" s="206" customFormat="1" ht="13.5" customHeight="1">
      <c r="A46" s="734" t="s">
        <v>349</v>
      </c>
      <c r="B46" s="240" t="s">
        <v>427</v>
      </c>
      <c r="C46" s="241">
        <f>ROUND((C33+C39)*F27,0)</f>
        <v>3</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5.6000000000000001E-2</v>
      </c>
      <c r="D48" s="228" t="s">
        <v>103</v>
      </c>
      <c r="E48" s="224"/>
      <c r="F48" s="229"/>
      <c r="G48" s="226" t="s">
        <v>96</v>
      </c>
    </row>
    <row r="49" spans="1:7" ht="16.5" customHeight="1">
      <c r="A49" s="731" t="s">
        <v>343</v>
      </c>
      <c r="B49" s="202" t="s">
        <v>104</v>
      </c>
      <c r="C49" s="224">
        <f ca="1">ROUND((C33+C39+C41+C45)/(1-C40-D41-D45-C48/(1+'数据-取费表'!B42)),0)</f>
        <v>28</v>
      </c>
      <c r="D49" s="224"/>
      <c r="E49" s="224"/>
      <c r="F49" s="256"/>
      <c r="G49" s="226" t="s">
        <v>435</v>
      </c>
    </row>
    <row r="50" spans="1:7" s="250" customFormat="1" ht="26">
      <c r="A50" s="731" t="s">
        <v>344</v>
      </c>
      <c r="B50" s="202" t="s">
        <v>97</v>
      </c>
      <c r="C50" s="224"/>
      <c r="D50" s="224"/>
      <c r="E50" s="224"/>
      <c r="F50" s="256">
        <f>IF('数据-取费表'!B24=0,'数据-取费表'!N16,1)</f>
        <v>0.72</v>
      </c>
      <c r="G50" s="239" t="s">
        <v>98</v>
      </c>
    </row>
    <row r="51" spans="1:7" ht="16.5" customHeight="1">
      <c r="A51" s="731" t="s">
        <v>345</v>
      </c>
      <c r="B51" s="202" t="s">
        <v>105</v>
      </c>
      <c r="C51" s="224">
        <f ca="1">ROUND(C49*F50,0)</f>
        <v>20</v>
      </c>
      <c r="D51" s="224"/>
      <c r="E51" s="224"/>
      <c r="F51" s="256"/>
      <c r="G51" s="226" t="s">
        <v>37</v>
      </c>
    </row>
    <row r="52" spans="1:7" s="200" customFormat="1" ht="16.5" thickBot="1">
      <c r="A52" s="257" t="s">
        <v>38</v>
      </c>
      <c r="B52" s="258"/>
      <c r="C52" s="259">
        <f ca="1">C31+C51</f>
        <v>27644</v>
      </c>
      <c r="D52" s="258"/>
      <c r="E52" s="258"/>
      <c r="F52" s="258"/>
      <c r="G52" s="260"/>
    </row>
    <row r="55" spans="1:7" ht="15.5">
      <c r="B55" s="262" t="s">
        <v>39</v>
      </c>
      <c r="C55" s="263"/>
    </row>
    <row r="56" spans="1:7" ht="13">
      <c r="B56" s="265" t="s">
        <v>40</v>
      </c>
      <c r="C56" s="266">
        <f ca="1">ROUND(C51/C52,3)</f>
        <v>1E-3</v>
      </c>
    </row>
    <row r="57" spans="1:7" ht="13">
      <c r="B57" s="265" t="s">
        <v>41</v>
      </c>
      <c r="C57" s="267">
        <f ca="1">1-C56</f>
        <v>0.999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90625" defaultRowHeight="14"/>
  <cols>
    <col min="1" max="1" width="12.6328125" style="2966" customWidth="1"/>
    <col min="2" max="2" width="20" style="2966" customWidth="1"/>
    <col min="3" max="7" width="8.90625" style="2966"/>
    <col min="8" max="16384" width="8.90625" style="2812"/>
  </cols>
  <sheetData>
    <row r="1" spans="1:7">
      <c r="A1" s="3502" t="s">
        <v>3181</v>
      </c>
      <c r="B1" s="3502"/>
    </row>
    <row r="2" spans="1:7" ht="14.5" thickBot="1">
      <c r="A2" s="2967"/>
      <c r="B2" s="2967"/>
    </row>
    <row r="3" spans="1:7" ht="14.5" thickBot="1">
      <c r="A3" s="2967"/>
      <c r="B3" s="2967"/>
      <c r="C3" s="2968" t="s">
        <v>2811</v>
      </c>
      <c r="D3" s="2968" t="s">
        <v>2867</v>
      </c>
      <c r="E3" s="2968" t="s">
        <v>2813</v>
      </c>
      <c r="F3" s="2968" t="s">
        <v>2868</v>
      </c>
      <c r="G3" s="2968" t="s">
        <v>2631</v>
      </c>
    </row>
    <row r="4" spans="1:7" ht="14.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4.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4.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4.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4.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4.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4.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4.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4.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4.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4.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4.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4.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6953125" defaultRowHeight="14"/>
  <cols>
    <col min="1" max="16384" width="13.26953125" style="2812"/>
  </cols>
  <sheetData>
    <row r="1" spans="1:6">
      <c r="A1" s="3503" t="s">
        <v>3232</v>
      </c>
      <c r="B1" s="3503"/>
      <c r="C1" s="3503"/>
      <c r="D1" s="3503"/>
      <c r="E1" s="3503"/>
      <c r="F1" s="3504"/>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topLeftCell="AH10" zoomScale="90" zoomScaleNormal="90" workbookViewId="0">
      <selection activeCell="G35" sqref="G35"/>
    </sheetView>
  </sheetViews>
  <sheetFormatPr defaultRowHeight="14"/>
  <cols>
    <col min="1" max="1" width="13.90625" customWidth="1"/>
    <col min="11" max="17" width="0" hidden="1" customWidth="1"/>
    <col min="25" max="30" width="0" hidden="1" customWidth="1"/>
  </cols>
  <sheetData>
    <row r="1" spans="1:44">
      <c r="A1" s="2936">
        <f>基准地价修正!G23</f>
        <v>45950</v>
      </c>
      <c r="B1" s="2928" t="s">
        <v>3376</v>
      </c>
      <c r="C1" s="2929"/>
      <c r="D1" s="2929"/>
      <c r="E1" s="2929"/>
      <c r="F1" s="2929"/>
      <c r="G1" s="2929"/>
      <c r="H1" s="2929"/>
      <c r="I1" s="2929"/>
      <c r="J1" s="2895"/>
      <c r="K1" s="2929" t="s">
        <v>454</v>
      </c>
      <c r="L1" s="2929"/>
      <c r="M1" s="2929"/>
      <c r="N1" s="2929"/>
      <c r="O1" s="2929"/>
      <c r="P1" s="2929"/>
      <c r="Q1" s="2895"/>
      <c r="R1" s="3505" t="s">
        <v>456</v>
      </c>
      <c r="S1" s="3506"/>
      <c r="T1" s="3506"/>
      <c r="U1" s="3506"/>
      <c r="V1" s="3506"/>
      <c r="W1" s="3506"/>
      <c r="X1" s="2895"/>
      <c r="Y1" s="3505" t="s">
        <v>457</v>
      </c>
      <c r="Z1" s="3506"/>
      <c r="AA1" s="3506"/>
      <c r="AB1" s="3506"/>
      <c r="AC1" s="3506"/>
      <c r="AD1" s="3506"/>
    </row>
    <row r="2" spans="1:44" s="2010" customFormat="1" ht="14.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3401</v>
      </c>
      <c r="AG2" t="s">
        <v>673</v>
      </c>
      <c r="AH2" t="s">
        <v>21</v>
      </c>
      <c r="AI2" t="s">
        <v>3402</v>
      </c>
      <c r="AJ2" t="s">
        <v>3</v>
      </c>
      <c r="AK2" t="s">
        <v>3403</v>
      </c>
      <c r="AM2" t="s">
        <v>3401</v>
      </c>
      <c r="AN2" t="s">
        <v>673</v>
      </c>
      <c r="AO2" t="s">
        <v>21</v>
      </c>
      <c r="AP2" t="s">
        <v>3402</v>
      </c>
      <c r="AQ2" t="s">
        <v>3</v>
      </c>
      <c r="AR2" t="s">
        <v>3403</v>
      </c>
    </row>
    <row r="3" spans="1:44" s="2885" customFormat="1" ht="13">
      <c r="A3" s="2883" t="s">
        <v>2819</v>
      </c>
      <c r="B3" s="2884"/>
      <c r="D3" s="2885">
        <f>ROUND(AVERAGEIF(D4:D24,"&lt;&gt;0"),2)</f>
        <v>0.33</v>
      </c>
      <c r="E3" s="2885">
        <f t="shared" ref="E3:H3" si="0">ROUND(AVERAGEIF(E4:E24,"&lt;&gt;0"),2)</f>
        <v>0.14000000000000001</v>
      </c>
      <c r="F3" s="2885">
        <f t="shared" si="0"/>
        <v>-0.16</v>
      </c>
      <c r="G3" s="2885">
        <f t="shared" si="0"/>
        <v>0.39</v>
      </c>
      <c r="H3" s="2885">
        <f t="shared" si="0"/>
        <v>0.47</v>
      </c>
      <c r="I3" s="2885">
        <f>F3</f>
        <v>-0.16</v>
      </c>
      <c r="J3" s="2886"/>
      <c r="K3" s="2887">
        <f>ROUND(AVERAGEIF(K4:K24,"&lt;&gt;0"),4)</f>
        <v>3.3E-3</v>
      </c>
      <c r="L3" s="2888">
        <f t="shared" ref="L3:O3" si="1">ROUND(AVERAGEIF(L4:L24,"&lt;&gt;0"),4)</f>
        <v>1.4E-3</v>
      </c>
      <c r="M3" s="2888">
        <f t="shared" si="1"/>
        <v>-1.6000000000000001E-3</v>
      </c>
      <c r="N3" s="2888">
        <f t="shared" si="1"/>
        <v>3.8999999999999998E-3</v>
      </c>
      <c r="O3" s="2888">
        <f t="shared" si="1"/>
        <v>4.7000000000000002E-3</v>
      </c>
      <c r="P3" s="2888">
        <f>M3</f>
        <v>-1.6000000000000001E-3</v>
      </c>
      <c r="Q3" s="2886"/>
      <c r="R3" s="2889">
        <f>ROUND(SUMPRODUCT(PRODUCT(1+K4:K24)),4)</f>
        <v>1.0631999999999999</v>
      </c>
      <c r="S3" s="2890">
        <f t="shared" ref="S3:V3" si="2">ROUND(SUMPRODUCT(PRODUCT(1+L4:L24)),4)</f>
        <v>1.0268999999999999</v>
      </c>
      <c r="T3" s="2890">
        <f t="shared" si="2"/>
        <v>0.97040000000000004</v>
      </c>
      <c r="U3" s="2890">
        <f t="shared" si="2"/>
        <v>1.0765</v>
      </c>
      <c r="V3" s="2890">
        <f t="shared" si="2"/>
        <v>1.0933999999999999</v>
      </c>
      <c r="W3" s="2889">
        <f>T3</f>
        <v>0.97040000000000004</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3400</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1.0529999999999999</v>
      </c>
      <c r="S5" s="2027">
        <f>ROUND(IF(项目基本情况!$B$8="出让",SUMPRODUCT(PRODUCT(1+L5:$L$24)),SUMPRODUCT(PRODUCT(1+L5:$L$23))),4)</f>
        <v>1.0251999999999999</v>
      </c>
      <c r="T5" s="2027">
        <f>ROUND(IF(项目基本情况!$B$8="出让",SUMPRODUCT(PRODUCT(1+M5:$M$24)),SUMPRODUCT(PRODUCT(1+M5:$M$23))),4)</f>
        <v>0.97289999999999999</v>
      </c>
      <c r="U5" s="2027">
        <f>ROUND(IF(项目基本情况!$B$8="出让",SUMPRODUCT(PRODUCT(1+N5:$N$24)),SUMPRODUCT(PRODUCT(1+N5:$N$23))),4)</f>
        <v>1.0647</v>
      </c>
      <c r="V5" s="2027">
        <f>ROUND(IF(项目基本情况!$B$8="出让",SUMPRODUCT(PRODUCT(1+O5:$O$24)),SUMPRODUCT(PRODUCT(1+O5:$O$23))),4)</f>
        <v>1.0894999999999999</v>
      </c>
      <c r="W5" s="2027">
        <f t="shared" ref="W5:W11" si="11">T5</f>
        <v>0.97289999999999999</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105.3</v>
      </c>
      <c r="AG5" s="3152">
        <f t="shared" ref="AG5:AK5" si="18">$AF$24*S5</f>
        <v>102.51999999999998</v>
      </c>
      <c r="AH5" s="3152">
        <f t="shared" si="18"/>
        <v>97.289999999999992</v>
      </c>
      <c r="AI5" s="3152">
        <f t="shared" si="18"/>
        <v>106.47</v>
      </c>
      <c r="AJ5" s="3152">
        <f t="shared" si="18"/>
        <v>108.94999999999999</v>
      </c>
      <c r="AK5" s="3152">
        <f t="shared" si="18"/>
        <v>97.289999999999992</v>
      </c>
      <c r="AM5" s="3158">
        <v>100</v>
      </c>
      <c r="AN5" s="3158">
        <v>100</v>
      </c>
      <c r="AO5" s="3158">
        <v>100</v>
      </c>
      <c r="AP5" s="3158">
        <v>100</v>
      </c>
      <c r="AQ5" s="3158">
        <v>100</v>
      </c>
      <c r="AR5" s="3158">
        <v>100</v>
      </c>
    </row>
    <row r="6" spans="1:44" s="2915" customFormat="1" ht="13">
      <c r="A6" s="2906" t="s">
        <v>3414</v>
      </c>
      <c r="B6" s="2907">
        <v>2025</v>
      </c>
      <c r="C6" s="2908">
        <v>3</v>
      </c>
      <c r="D6" s="2909">
        <v>-0.45</v>
      </c>
      <c r="E6" s="2909">
        <v>-0.22</v>
      </c>
      <c r="F6" s="2909">
        <v>-0.82</v>
      </c>
      <c r="G6" s="2909">
        <v>-0.39</v>
      </c>
      <c r="H6" s="2910">
        <v>0.04</v>
      </c>
      <c r="I6" s="2911">
        <f t="shared" ref="I6" si="19">F6</f>
        <v>-0.82</v>
      </c>
      <c r="J6" s="2912"/>
      <c r="K6" s="2913">
        <f t="shared" ref="K6" si="20">D6/100</f>
        <v>-4.5000000000000005E-3</v>
      </c>
      <c r="L6" s="2914">
        <f t="shared" ref="L6" si="21">E6/100</f>
        <v>-2.2000000000000001E-3</v>
      </c>
      <c r="M6" s="2914">
        <f t="shared" ref="M6" si="22">F6/100</f>
        <v>-8.199999999999999E-3</v>
      </c>
      <c r="N6" s="2914">
        <f t="shared" ref="N6" si="23">G6/100</f>
        <v>-3.9000000000000003E-3</v>
      </c>
      <c r="O6" s="2914">
        <f t="shared" ref="O6" si="24">H6/100</f>
        <v>4.0000000000000002E-4</v>
      </c>
      <c r="P6" s="2914">
        <f t="shared" si="10"/>
        <v>-8.199999999999999E-3</v>
      </c>
      <c r="Q6" s="2912"/>
      <c r="R6" s="2912">
        <f>ROUND(IF(项目基本情况!$B$8="出让",SUMPRODUCT(PRODUCT(1+K6:$K$24)),SUMPRODUCT(PRODUCT(1+K6:$K$23))),4)</f>
        <v>1.0529999999999999</v>
      </c>
      <c r="S6" s="2912">
        <f>ROUND(IF(项目基本情况!$B$8="出让",SUMPRODUCT(PRODUCT(1+L6:$L$24)),SUMPRODUCT(PRODUCT(1+L6:$L$23))),4)</f>
        <v>1.0251999999999999</v>
      </c>
      <c r="T6" s="2912">
        <f>ROUND(IF(项目基本情况!$B$8="出让",SUMPRODUCT(PRODUCT(1+M6:$M$24)),SUMPRODUCT(PRODUCT(1+M6:$M$23))),4)</f>
        <v>0.97289999999999999</v>
      </c>
      <c r="U6" s="2912">
        <f>ROUND(IF(项目基本情况!$B$8="出让",SUMPRODUCT(PRODUCT(1+N6:$N$24)),SUMPRODUCT(PRODUCT(1+N6:$N$23))),4)</f>
        <v>1.0647</v>
      </c>
      <c r="V6" s="2912">
        <f>ROUND(IF(项目基本情况!$B$8="出让",SUMPRODUCT(PRODUCT(1+O6:$O$24)),SUMPRODUCT(PRODUCT(1+O6:$O$23))),4)</f>
        <v>1.0894999999999999</v>
      </c>
      <c r="W6" s="2912">
        <f t="shared" si="11"/>
        <v>0.97289999999999999</v>
      </c>
      <c r="X6" s="2912"/>
      <c r="Y6" s="2914">
        <f t="shared" si="12"/>
        <v>1.4E-3</v>
      </c>
      <c r="Z6" s="2914">
        <f t="shared" ref="Z6" si="25">IF(E6=0,0,ROUND(AVERAGE(E6:E19)/100,4))</f>
        <v>5.0000000000000001E-4</v>
      </c>
      <c r="AA6" s="2914">
        <f t="shared" ref="AA6" si="26">IF(F6=0,0,ROUND(AVERAGE(F6:F19)/100,4))</f>
        <v>-2.7000000000000001E-3</v>
      </c>
      <c r="AB6" s="2914">
        <f t="shared" ref="AB6" si="27">IF(G6=0,0,ROUND(AVERAGE(G6:G19)/100,4))</f>
        <v>2E-3</v>
      </c>
      <c r="AC6" s="2914">
        <f t="shared" ref="AC6" si="28">IF(H6=0,0,ROUND(AVERAGE(H6:H19)/100,4))</f>
        <v>4.1999999999999997E-3</v>
      </c>
      <c r="AD6" s="2914">
        <f t="shared" ref="AD6" si="29">AA6</f>
        <v>-2.7000000000000001E-3</v>
      </c>
      <c r="AF6" s="3153">
        <f t="shared" ref="AF6:AF23" si="30">$AF$24*R6</f>
        <v>105.3</v>
      </c>
      <c r="AG6" s="3153">
        <f t="shared" ref="AG6:AG23" si="31">$AF$24*S6</f>
        <v>102.51999999999998</v>
      </c>
      <c r="AH6" s="3153">
        <f t="shared" ref="AH6:AH23" si="32">$AF$24*T6</f>
        <v>97.289999999999992</v>
      </c>
      <c r="AI6" s="3153">
        <f t="shared" ref="AI6:AI23" si="33">$AF$24*U6</f>
        <v>106.47</v>
      </c>
      <c r="AJ6" s="3153">
        <f t="shared" ref="AJ6:AJ23" si="34">$AF$24*V6</f>
        <v>108.94999999999999</v>
      </c>
      <c r="AK6" s="3153">
        <f t="shared" ref="AK6:AK23" si="35">$AF$24*W6</f>
        <v>97.289999999999992</v>
      </c>
      <c r="AM6" s="3153">
        <f>AM5/(1+D5/100)</f>
        <v>100</v>
      </c>
      <c r="AN6" s="3153">
        <f t="shared" ref="AN6:AR6" si="36">AN5/(1+E5/100)</f>
        <v>100</v>
      </c>
      <c r="AO6" s="3153">
        <f t="shared" si="36"/>
        <v>100</v>
      </c>
      <c r="AP6" s="3153">
        <f t="shared" si="36"/>
        <v>100</v>
      </c>
      <c r="AQ6" s="3153">
        <f t="shared" si="36"/>
        <v>100</v>
      </c>
      <c r="AR6" s="3153">
        <f t="shared" si="36"/>
        <v>100</v>
      </c>
    </row>
    <row r="7" spans="1:44" s="2045" customFormat="1" ht="13">
      <c r="A7" s="2040" t="s">
        <v>3415</v>
      </c>
      <c r="B7" s="2031">
        <v>2025</v>
      </c>
      <c r="C7" s="2042">
        <v>2</v>
      </c>
      <c r="D7" s="2007">
        <v>0.05</v>
      </c>
      <c r="E7" s="2007">
        <v>-0.62</v>
      </c>
      <c r="F7" s="2007">
        <v>-1.05</v>
      </c>
      <c r="G7" s="2007">
        <v>0.09</v>
      </c>
      <c r="H7" s="2007">
        <v>0.17</v>
      </c>
      <c r="I7" s="2008">
        <f t="shared" ref="I7" si="37">F7</f>
        <v>-1.05</v>
      </c>
      <c r="J7" s="2905"/>
      <c r="K7" s="2043">
        <f t="shared" ref="K7" si="38">D7/100</f>
        <v>5.0000000000000001E-4</v>
      </c>
      <c r="L7" s="2028">
        <f t="shared" ref="L7" si="39">E7/100</f>
        <v>-6.1999999999999998E-3</v>
      </c>
      <c r="M7" s="2028">
        <f t="shared" ref="M7" si="40">F7/100</f>
        <v>-1.0500000000000001E-2</v>
      </c>
      <c r="N7" s="2028">
        <f t="shared" ref="N7" si="41">G7/100</f>
        <v>8.9999999999999998E-4</v>
      </c>
      <c r="O7" s="2028">
        <f t="shared" ref="O7" si="42">H7/100</f>
        <v>1.7000000000000001E-3</v>
      </c>
      <c r="P7" s="2028">
        <f t="shared" si="10"/>
        <v>-1.0500000000000001E-2</v>
      </c>
      <c r="Q7" s="2905"/>
      <c r="R7" s="2027">
        <f>ROUND(IF(项目基本情况!$B$8="出让",SUMPRODUCT(PRODUCT(1+K7:$K$24)),SUMPRODUCT(PRODUCT(1+K7:$K$23))),4)</f>
        <v>1.0577000000000001</v>
      </c>
      <c r="S7" s="2027">
        <f>ROUND(IF(项目基本情况!$B$8="出让",SUMPRODUCT(PRODUCT(1+L7:$L$24)),SUMPRODUCT(PRODUCT(1+L7:$L$23))),4)</f>
        <v>1.0275000000000001</v>
      </c>
      <c r="T7" s="2027">
        <f>ROUND(IF(项目基本情况!$B$8="出让",SUMPRODUCT(PRODUCT(1+M7:$M$24)),SUMPRODUCT(PRODUCT(1+M7:$M$23))),4)</f>
        <v>0.98089999999999999</v>
      </c>
      <c r="U7" s="2027">
        <f>ROUND(IF(项目基本情况!$B$8="出让",SUMPRODUCT(PRODUCT(1+N7:$N$24)),SUMPRODUCT(PRODUCT(1+N7:$N$23))),4)</f>
        <v>1.0689</v>
      </c>
      <c r="V7" s="2027">
        <f>ROUND(IF(项目基本情况!$B$8="出让",SUMPRODUCT(PRODUCT(1+O7:$O$24)),SUMPRODUCT(PRODUCT(1+O7:$O$23))),4)</f>
        <v>1.0891</v>
      </c>
      <c r="W7" s="2027">
        <f t="shared" si="11"/>
        <v>0.98089999999999999</v>
      </c>
      <c r="X7" s="2905"/>
      <c r="Y7" s="2028">
        <f t="shared" si="12"/>
        <v>2.3E-3</v>
      </c>
      <c r="Z7" s="2028">
        <f t="shared" ref="Z7" si="43">IF(E7=0,0,ROUND(AVERAGE(E7:E20)/100,4))</f>
        <v>1E-3</v>
      </c>
      <c r="AA7" s="2028">
        <f t="shared" ref="AA7" si="44">IF(F7=0,0,ROUND(AVERAGE(F7:F20)/100,4))</f>
        <v>-1.9E-3</v>
      </c>
      <c r="AB7" s="2028">
        <f t="shared" ref="AB7" si="45">IF(G7=0,0,ROUND(AVERAGE(G7:G20)/100,4))</f>
        <v>2.8999999999999998E-3</v>
      </c>
      <c r="AC7" s="2028">
        <f t="shared" ref="AC7" si="46">IF(H7=0,0,ROUND(AVERAGE(H7:H20)/100,4))</f>
        <v>4.7000000000000002E-3</v>
      </c>
      <c r="AD7" s="2028">
        <f t="shared" ref="AD7" si="47">AA7</f>
        <v>-1.9E-3</v>
      </c>
      <c r="AF7" s="3152">
        <f t="shared" si="30"/>
        <v>105.77000000000001</v>
      </c>
      <c r="AG7" s="3152">
        <f t="shared" si="31"/>
        <v>102.75000000000001</v>
      </c>
      <c r="AH7" s="3152">
        <f t="shared" si="32"/>
        <v>98.09</v>
      </c>
      <c r="AI7" s="3152">
        <f t="shared" si="33"/>
        <v>106.89</v>
      </c>
      <c r="AJ7" s="3152">
        <f t="shared" si="34"/>
        <v>108.91</v>
      </c>
      <c r="AK7" s="3152">
        <f t="shared" si="35"/>
        <v>98.09</v>
      </c>
      <c r="AM7" s="3152">
        <f t="shared" ref="AM7:AM24" si="48">AM6/(1+D6/100)</f>
        <v>100.45203415369161</v>
      </c>
      <c r="AN7" s="3152">
        <f t="shared" ref="AN7:AN24" si="49">AN6/(1+E6/100)</f>
        <v>100.22048506714772</v>
      </c>
      <c r="AO7" s="3152">
        <f t="shared" ref="AO7:AO24" si="50">AO6/(1+F6/100)</f>
        <v>100.8267795926598</v>
      </c>
      <c r="AP7" s="3152">
        <f t="shared" ref="AP7:AP24" si="51">AP6/(1+G6/100)</f>
        <v>100.39152695512499</v>
      </c>
      <c r="AQ7" s="3152">
        <f t="shared" ref="AQ7:AQ24" si="52">AQ6/(1+H6/100)</f>
        <v>99.960015993602568</v>
      </c>
      <c r="AR7" s="3152">
        <f t="shared" ref="AR7:AR24" si="53">AR6/(1+I6/100)</f>
        <v>100.8267795926598</v>
      </c>
    </row>
    <row r="8" spans="1:44" s="2045" customFormat="1" ht="13">
      <c r="A8" s="2040" t="s">
        <v>3406</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100.40183323707308</v>
      </c>
      <c r="AN8" s="3152">
        <f t="shared" si="49"/>
        <v>100.84572858437082</v>
      </c>
      <c r="AO8" s="3152">
        <f t="shared" si="50"/>
        <v>101.89669488899423</v>
      </c>
      <c r="AP8" s="3152">
        <f t="shared" si="51"/>
        <v>100.3012558248826</v>
      </c>
      <c r="AQ8" s="3152">
        <f t="shared" si="52"/>
        <v>99.790372360589558</v>
      </c>
      <c r="AR8" s="3152">
        <f t="shared" si="53"/>
        <v>101.89669488899423</v>
      </c>
    </row>
    <row r="9" spans="1:44" s="2045" customFormat="1" ht="13">
      <c r="A9" s="2040" t="s">
        <v>3405</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99.832786354850427</v>
      </c>
      <c r="AN9" s="3152">
        <f t="shared" si="49"/>
        <v>101.42384449800947</v>
      </c>
      <c r="AO9" s="3152">
        <f t="shared" si="50"/>
        <v>102.82209373258752</v>
      </c>
      <c r="AP9" s="3152">
        <f t="shared" si="51"/>
        <v>99.190324193910797</v>
      </c>
      <c r="AQ9" s="3152">
        <f t="shared" si="52"/>
        <v>99.373005736496282</v>
      </c>
      <c r="AR9" s="3152">
        <f t="shared" si="53"/>
        <v>102.82209373258752</v>
      </c>
    </row>
    <row r="10" spans="1:44" s="2045" customFormat="1" ht="13">
      <c r="A10" s="2040" t="s">
        <v>3380</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100.86157441387192</v>
      </c>
      <c r="AN10" s="3152">
        <f t="shared" si="49"/>
        <v>101.91302702774264</v>
      </c>
      <c r="AO10" s="3152">
        <f t="shared" si="50"/>
        <v>103.59908688421916</v>
      </c>
      <c r="AP10" s="3152">
        <f t="shared" si="51"/>
        <v>100.24287437484668</v>
      </c>
      <c r="AQ10" s="3152">
        <f t="shared" si="52"/>
        <v>99.293570879792455</v>
      </c>
      <c r="AR10" s="3152">
        <f t="shared" si="53"/>
        <v>103.59908688421916</v>
      </c>
    </row>
    <row r="11" spans="1:44" s="2045" customFormat="1" ht="13">
      <c r="A11" s="2904" t="s">
        <v>3374</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102.07628217171533</v>
      </c>
      <c r="AN11" s="3152">
        <f t="shared" si="49"/>
        <v>102.39428014442143</v>
      </c>
      <c r="AO11" s="3152">
        <f t="shared" si="50"/>
        <v>103.90039803853091</v>
      </c>
      <c r="AP11" s="3152">
        <f t="shared" si="51"/>
        <v>100.99020186867487</v>
      </c>
      <c r="AQ11" s="3152">
        <f t="shared" si="52"/>
        <v>99.502526184780493</v>
      </c>
      <c r="AR11" s="3152">
        <f t="shared" si="53"/>
        <v>103.90039803853091</v>
      </c>
    </row>
    <row r="12" spans="1:44" s="2045" customFormat="1" ht="13">
      <c r="A12" s="2904" t="s">
        <v>3373</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102.68210660065922</v>
      </c>
      <c r="AN12" s="3152">
        <f t="shared" si="49"/>
        <v>102.60976064176914</v>
      </c>
      <c r="AO12" s="3152">
        <f t="shared" si="50"/>
        <v>105.35428720191737</v>
      </c>
      <c r="AP12" s="3152">
        <f t="shared" si="51"/>
        <v>102.25820359323093</v>
      </c>
      <c r="AQ12" s="3152">
        <f t="shared" si="52"/>
        <v>99.165363947359467</v>
      </c>
      <c r="AR12" s="3152">
        <f t="shared" si="53"/>
        <v>105.35428720191737</v>
      </c>
    </row>
    <row r="13" spans="1:44" s="2045" customFormat="1" ht="13">
      <c r="A13" s="2904" t="s">
        <v>3369</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102.60002657939572</v>
      </c>
      <c r="AN13" s="3152">
        <f t="shared" si="49"/>
        <v>102.13991702346122</v>
      </c>
      <c r="AO13" s="3152">
        <f t="shared" si="50"/>
        <v>105.52312420063839</v>
      </c>
      <c r="AP13" s="3152">
        <f t="shared" si="51"/>
        <v>101.99302173671548</v>
      </c>
      <c r="AQ13" s="3152">
        <f t="shared" si="52"/>
        <v>98.583719999363225</v>
      </c>
      <c r="AR13" s="3152">
        <f t="shared" si="53"/>
        <v>105.52312420063839</v>
      </c>
    </row>
    <row r="14" spans="1:44" s="2045" customFormat="1" ht="13">
      <c r="A14" s="2904" t="s">
        <v>3368</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102.40545621259179</v>
      </c>
      <c r="AN14" s="3152">
        <f t="shared" si="49"/>
        <v>101.89536813992541</v>
      </c>
      <c r="AO14" s="3152">
        <f t="shared" si="50"/>
        <v>105.69223177147275</v>
      </c>
      <c r="AP14" s="3152">
        <f t="shared" si="51"/>
        <v>101.81992785935456</v>
      </c>
      <c r="AQ14" s="3152">
        <f t="shared" si="52"/>
        <v>97.986005366626799</v>
      </c>
      <c r="AR14" s="3152">
        <f t="shared" si="53"/>
        <v>105.69223177147275</v>
      </c>
    </row>
    <row r="15" spans="1:44" s="2045" customFormat="1" ht="13">
      <c r="A15" s="2904" t="s">
        <v>3366</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102.15008101006663</v>
      </c>
      <c r="AN15" s="3152">
        <f t="shared" si="49"/>
        <v>101.38842600987604</v>
      </c>
      <c r="AO15" s="3152">
        <f t="shared" si="50"/>
        <v>105.36559841638196</v>
      </c>
      <c r="AP15" s="3152">
        <f t="shared" si="51"/>
        <v>101.60655409575348</v>
      </c>
      <c r="AQ15" s="3152">
        <f t="shared" si="52"/>
        <v>97.56646954757224</v>
      </c>
      <c r="AR15" s="3152">
        <f t="shared" si="53"/>
        <v>105.36559841638196</v>
      </c>
    </row>
    <row r="16" spans="1:44" s="2045" customFormat="1" ht="13">
      <c r="A16" s="2904" t="s">
        <v>3365</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101.22889803792152</v>
      </c>
      <c r="AN16" s="3152">
        <f t="shared" si="49"/>
        <v>100.7236499204014</v>
      </c>
      <c r="AO16" s="3152">
        <f t="shared" si="50"/>
        <v>104.87269674169599</v>
      </c>
      <c r="AP16" s="3152">
        <f t="shared" si="51"/>
        <v>100.6404061962693</v>
      </c>
      <c r="AQ16" s="3152">
        <f t="shared" si="52"/>
        <v>96.878631265586563</v>
      </c>
      <c r="AR16" s="3152">
        <f t="shared" si="53"/>
        <v>104.87269674169599</v>
      </c>
    </row>
    <row r="17" spans="1:44" s="2045" customFormat="1" ht="13">
      <c r="A17" s="2904" t="s">
        <v>3364</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100.33590845269256</v>
      </c>
      <c r="AN17" s="3152">
        <f t="shared" si="49"/>
        <v>99.98377002223684</v>
      </c>
      <c r="AO17" s="3152">
        <f t="shared" si="50"/>
        <v>104.27831037257232</v>
      </c>
      <c r="AP17" s="3152">
        <f t="shared" si="51"/>
        <v>99.722955010175667</v>
      </c>
      <c r="AQ17" s="3152">
        <f t="shared" si="52"/>
        <v>96.396648025459271</v>
      </c>
      <c r="AR17" s="3152">
        <f t="shared" si="53"/>
        <v>104.27831037257232</v>
      </c>
    </row>
    <row r="18" spans="1:44" s="2045" customFormat="1" ht="13">
      <c r="A18" s="2904" t="s">
        <v>3362</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99.717658967096568</v>
      </c>
      <c r="AN18" s="3152">
        <f t="shared" si="49"/>
        <v>99.784201618998836</v>
      </c>
      <c r="AO18" s="3152">
        <f t="shared" si="50"/>
        <v>104.1637302692761</v>
      </c>
      <c r="AP18" s="3152">
        <f t="shared" si="51"/>
        <v>99.039581895099488</v>
      </c>
      <c r="AQ18" s="3152">
        <f t="shared" si="52"/>
        <v>95.888439297184192</v>
      </c>
      <c r="AR18" s="3152">
        <f t="shared" si="53"/>
        <v>104.1637302692761</v>
      </c>
    </row>
    <row r="19" spans="1:44" s="2045" customFormat="1" ht="13">
      <c r="A19" s="2904" t="s">
        <v>3353</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99.063837638681278</v>
      </c>
      <c r="AN19" s="3152">
        <f t="shared" si="49"/>
        <v>99.465910704743649</v>
      </c>
      <c r="AO19" s="3152">
        <f t="shared" si="50"/>
        <v>103.92470345133803</v>
      </c>
      <c r="AP19" s="3152">
        <f t="shared" si="51"/>
        <v>98.331594415309254</v>
      </c>
      <c r="AQ19" s="3152">
        <f t="shared" si="52"/>
        <v>95.288124115258071</v>
      </c>
      <c r="AR19" s="3152">
        <f t="shared" si="53"/>
        <v>103.92470345133803</v>
      </c>
    </row>
    <row r="20" spans="1:44" s="2045" customFormat="1" ht="13">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98.151033031488424</v>
      </c>
      <c r="AN20" s="3152">
        <f t="shared" si="49"/>
        <v>99.316935301790963</v>
      </c>
      <c r="AO20" s="3152">
        <f t="shared" si="50"/>
        <v>103.91431202013602</v>
      </c>
      <c r="AP20" s="3152">
        <f t="shared" si="51"/>
        <v>97.309841083928021</v>
      </c>
      <c r="AQ20" s="3152">
        <f t="shared" si="52"/>
        <v>94.270008028549739</v>
      </c>
      <c r="AR20" s="3152">
        <f t="shared" si="53"/>
        <v>103.91431202013602</v>
      </c>
    </row>
    <row r="21" spans="1:44" s="2045" customFormat="1" ht="13">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97.285194797788122</v>
      </c>
      <c r="AN21" s="3152">
        <f t="shared" si="49"/>
        <v>98.881855139178583</v>
      </c>
      <c r="AO21" s="3152">
        <f t="shared" si="50"/>
        <v>103.53124640842485</v>
      </c>
      <c r="AP21" s="3152">
        <f t="shared" si="51"/>
        <v>96.384549409595891</v>
      </c>
      <c r="AQ21" s="3152">
        <f t="shared" si="52"/>
        <v>93.670516721531939</v>
      </c>
      <c r="AR21" s="3152">
        <f t="shared" si="53"/>
        <v>103.53124640842485</v>
      </c>
    </row>
    <row r="22" spans="1:44" s="2045" customFormat="1" ht="13">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96.293373055318341</v>
      </c>
      <c r="AN22" s="3152">
        <f t="shared" si="49"/>
        <v>98.645106882660201</v>
      </c>
      <c r="AO22" s="3152">
        <f t="shared" si="50"/>
        <v>103.45882523076332</v>
      </c>
      <c r="AP22" s="3152">
        <f t="shared" si="51"/>
        <v>95.269891676975277</v>
      </c>
      <c r="AQ22" s="3152">
        <f t="shared" si="52"/>
        <v>93.158146913507636</v>
      </c>
      <c r="AR22" s="3152">
        <f t="shared" si="53"/>
        <v>103.45882523076332</v>
      </c>
    </row>
    <row r="23" spans="1:44" s="2045" customFormat="1" ht="13">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95.842911371870557</v>
      </c>
      <c r="AN23" s="3152">
        <f t="shared" si="49"/>
        <v>98.242313397729504</v>
      </c>
      <c r="AO23" s="3152">
        <f t="shared" si="50"/>
        <v>103.21111854625232</v>
      </c>
      <c r="AP23" s="3152">
        <f t="shared" si="51"/>
        <v>94.81478072947381</v>
      </c>
      <c r="AQ23" s="3152">
        <f t="shared" si="52"/>
        <v>92.713123918697889</v>
      </c>
      <c r="AR23" s="3152">
        <f t="shared" si="53"/>
        <v>103.21111854625232</v>
      </c>
    </row>
    <row r="24" spans="1:44" s="2927" customFormat="1" ht="14.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94.969194779895503</v>
      </c>
      <c r="AN24" s="3159">
        <f t="shared" si="49"/>
        <v>97.540025216173049</v>
      </c>
      <c r="AO24" s="3159">
        <f t="shared" si="50"/>
        <v>102.78968085474786</v>
      </c>
      <c r="AP24" s="3159">
        <f t="shared" si="51"/>
        <v>93.922516819686777</v>
      </c>
      <c r="AQ24" s="3159">
        <f t="shared" si="52"/>
        <v>91.78608446559538</v>
      </c>
      <c r="AR24" s="3159">
        <f t="shared" si="53"/>
        <v>102.78968085474786</v>
      </c>
    </row>
    <row r="25" spans="1:44" ht="14.5" thickTop="1"/>
    <row r="26" spans="1:44">
      <c r="A26" s="3142" t="s">
        <v>3379</v>
      </c>
    </row>
    <row r="27" spans="1:44">
      <c r="I27" s="1405" t="s">
        <v>2825</v>
      </c>
    </row>
    <row r="29" spans="1:44" s="2009" customFormat="1" ht="13">
      <c r="B29" s="2928" t="s">
        <v>3377</v>
      </c>
      <c r="C29" s="2929"/>
      <c r="D29" s="2929"/>
      <c r="E29" s="2929"/>
      <c r="F29" s="2929"/>
      <c r="G29" s="2929"/>
      <c r="H29" s="2929"/>
      <c r="I29" s="2929"/>
      <c r="J29" s="2895"/>
      <c r="K29" s="2929" t="s">
        <v>2826</v>
      </c>
      <c r="L29" s="2929"/>
      <c r="M29" s="2929"/>
      <c r="N29" s="2929"/>
      <c r="O29" s="2929"/>
      <c r="P29" s="2929"/>
      <c r="Q29" s="2895"/>
      <c r="R29" s="3505" t="s">
        <v>2827</v>
      </c>
      <c r="S29" s="3506"/>
      <c r="T29" s="3506"/>
      <c r="U29" s="3506"/>
      <c r="V29" s="3506"/>
      <c r="W29" s="3506"/>
      <c r="X29" s="2895"/>
      <c r="Y29" s="3505" t="s">
        <v>2828</v>
      </c>
      <c r="Z29" s="3506"/>
      <c r="AA29" s="3506"/>
      <c r="AB29" s="3506"/>
      <c r="AC29" s="3506"/>
      <c r="AD29" s="3506"/>
    </row>
    <row r="30" spans="1:44" s="2010" customFormat="1" ht="14.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3402</v>
      </c>
      <c r="AJ30"/>
      <c r="AK30" t="s">
        <v>3403</v>
      </c>
      <c r="AN30" t="s">
        <v>673</v>
      </c>
      <c r="AO30" t="s">
        <v>21</v>
      </c>
      <c r="AP30" t="s">
        <v>3402</v>
      </c>
      <c r="AQ30"/>
      <c r="AR30" t="s">
        <v>3403</v>
      </c>
    </row>
    <row r="31" spans="1:44" s="2885" customFormat="1" ht="13">
      <c r="A31" s="2883" t="s">
        <v>2834</v>
      </c>
      <c r="B31" s="2884"/>
      <c r="E31" s="2885">
        <f t="shared" ref="E31:G31" si="115">ROUND(AVERAGEIF(E32:E52,"&lt;&gt;0"),2)</f>
        <v>0.04</v>
      </c>
      <c r="F31" s="2885">
        <f t="shared" si="115"/>
        <v>-7.0000000000000007E-2</v>
      </c>
      <c r="G31" s="2885">
        <f t="shared" si="115"/>
        <v>0.2</v>
      </c>
      <c r="I31" s="2885">
        <f>F31</f>
        <v>-7.0000000000000007E-2</v>
      </c>
      <c r="J31" s="2886"/>
      <c r="K31" s="2887"/>
      <c r="L31" s="2888">
        <f t="shared" ref="L31:N31" si="116">ROUND(AVERAGEIF(L32:L52,"&lt;&gt;0"),4)</f>
        <v>4.0000000000000002E-4</v>
      </c>
      <c r="M31" s="2888">
        <f t="shared" si="116"/>
        <v>-6.9999999999999999E-4</v>
      </c>
      <c r="N31" s="2888">
        <f t="shared" si="116"/>
        <v>2E-3</v>
      </c>
      <c r="O31" s="2888"/>
      <c r="P31" s="2888">
        <f>M31</f>
        <v>-6.9999999999999999E-4</v>
      </c>
      <c r="Q31" s="2886"/>
      <c r="R31" s="2889"/>
      <c r="S31" s="2890">
        <f>ROUND(SUMPRODUCT(PRODUCT(1+L32:L52)),4)</f>
        <v>1.0072000000000001</v>
      </c>
      <c r="T31" s="2890">
        <f t="shared" ref="T31:U31" si="117">ROUND(SUMPRODUCT(PRODUCT(1+M32:M52)),4)</f>
        <v>0.98699999999999999</v>
      </c>
      <c r="U31" s="2890">
        <f t="shared" si="117"/>
        <v>1.0375000000000001</v>
      </c>
      <c r="V31" s="2890"/>
      <c r="W31" s="2889">
        <f>T31</f>
        <v>0.98699999999999999</v>
      </c>
      <c r="X31" s="2886"/>
      <c r="Y31" s="2891"/>
      <c r="Z31" s="2892">
        <f t="shared" ref="Z31:AB31" si="118">ROUND(AVERAGEIF(Z32:Z52,"&lt;&gt;0"),4)</f>
        <v>2.8999999999999998E-3</v>
      </c>
      <c r="AA31" s="2893">
        <f t="shared" si="118"/>
        <v>2.3E-3</v>
      </c>
      <c r="AB31" s="2891">
        <f t="shared" si="118"/>
        <v>6.0000000000000001E-3</v>
      </c>
      <c r="AC31" s="2894"/>
      <c r="AD31" s="2891">
        <f>AA31</f>
        <v>2.3E-3</v>
      </c>
    </row>
    <row r="32" spans="1:44" s="2009" customFormat="1" ht="13">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3400</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1.0037</v>
      </c>
      <c r="T33" s="2027">
        <f>ROUND(IF(项目基本情况!$B$8="出让",SUMPRODUCT(PRODUCT(1+M33:M$52)),SUMPRODUCT(PRODUCT(1+M33:M$51))),4)</f>
        <v>0.98229999999999995</v>
      </c>
      <c r="U33" s="2027">
        <f>ROUND(IF(项目基本情况!$B$8="出让",SUMPRODUCT(PRODUCT(1+N33:N$52)),SUMPRODUCT(PRODUCT(1+N33:N$51))),4)</f>
        <v>1.0274000000000001</v>
      </c>
      <c r="V33" s="2027"/>
      <c r="W33" s="2027">
        <f t="shared" ref="W33:W39" si="124">T33</f>
        <v>0.98229999999999995</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100.37</v>
      </c>
      <c r="AH33" s="3152">
        <f t="shared" ref="AH33:AH50" si="130">$AG$52*T33</f>
        <v>98.22999999999999</v>
      </c>
      <c r="AI33" s="3152">
        <f t="shared" ref="AI33:AI50" si="131">$AG$52*U33</f>
        <v>102.74000000000001</v>
      </c>
      <c r="AJ33" s="3154"/>
      <c r="AK33" s="3152">
        <f t="shared" ref="AK33:AK50" si="132">$AG$52*W33</f>
        <v>98.22999999999999</v>
      </c>
      <c r="AN33" s="3157">
        <v>100</v>
      </c>
      <c r="AO33" s="3157">
        <v>100</v>
      </c>
      <c r="AP33" s="3157">
        <v>100</v>
      </c>
      <c r="AQ33" s="3157"/>
      <c r="AR33" s="3157">
        <v>100</v>
      </c>
    </row>
    <row r="34" spans="1:44" s="2915" customFormat="1" ht="13">
      <c r="A34" s="2906" t="s">
        <v>3416</v>
      </c>
      <c r="B34" s="2907">
        <v>2025</v>
      </c>
      <c r="C34" s="2908">
        <v>3</v>
      </c>
      <c r="D34" s="2909"/>
      <c r="E34" s="2909">
        <v>-0.8</v>
      </c>
      <c r="F34" s="2909">
        <v>-1.45</v>
      </c>
      <c r="G34" s="2909">
        <v>-0.62</v>
      </c>
      <c r="H34" s="2910"/>
      <c r="I34" s="2911">
        <f t="shared" ref="I34" si="133">F34</f>
        <v>-1.45</v>
      </c>
      <c r="J34" s="2912"/>
      <c r="K34" s="2913"/>
      <c r="L34" s="2914">
        <f t="shared" ref="L34" si="134">E34/100</f>
        <v>-8.0000000000000002E-3</v>
      </c>
      <c r="M34" s="2914">
        <f t="shared" ref="M34" si="135">F34/100</f>
        <v>-1.4499999999999999E-2</v>
      </c>
      <c r="N34" s="2914">
        <f t="shared" ref="N34" si="136">G34/100</f>
        <v>-6.1999999999999998E-3</v>
      </c>
      <c r="O34" s="2914"/>
      <c r="P34" s="2914">
        <f t="shared" si="123"/>
        <v>-1.4499999999999999E-2</v>
      </c>
      <c r="Q34" s="2912"/>
      <c r="R34" s="2912"/>
      <c r="S34" s="2912">
        <f>ROUND(IF(项目基本情况!$B$8="出让",SUMPRODUCT(PRODUCT(1+L34:L$52)),SUMPRODUCT(PRODUCT(1+L34:L$51))),4)</f>
        <v>1.0037</v>
      </c>
      <c r="T34" s="2912">
        <f>ROUND(IF(项目基本情况!$B$8="出让",SUMPRODUCT(PRODUCT(1+M34:M$52)),SUMPRODUCT(PRODUCT(1+M34:M$51))),4)</f>
        <v>0.98229999999999995</v>
      </c>
      <c r="U34" s="2912">
        <f>ROUND(IF(项目基本情况!$B$8="出让",SUMPRODUCT(PRODUCT(1+N34:N$52)),SUMPRODUCT(PRODUCT(1+N34:N$51))),4)</f>
        <v>1.0274000000000001</v>
      </c>
      <c r="V34" s="2912"/>
      <c r="W34" s="2912">
        <f t="shared" si="124"/>
        <v>0.98229999999999995</v>
      </c>
      <c r="X34" s="2912"/>
      <c r="Y34" s="2914"/>
      <c r="Z34" s="2930">
        <f t="shared" ref="Z34" si="137">IF(E34=0,0,ROUND(AVERAGE(E34:E47)/100,4))</f>
        <v>-1.2999999999999999E-3</v>
      </c>
      <c r="AA34" s="2931">
        <f t="shared" ref="AA34" si="138">IF(F34=0,0,ROUND(AVERAGE(F34:F47)/100,4))</f>
        <v>-2.2000000000000001E-3</v>
      </c>
      <c r="AB34" s="2914">
        <f t="shared" ref="AB34" si="139">IF(G34=0,0,ROUND(AVERAGE(G34:G47)/100,4))</f>
        <v>-2.9999999999999997E-4</v>
      </c>
      <c r="AC34" s="2932"/>
      <c r="AD34" s="2914">
        <f t="shared" si="128"/>
        <v>-2.2000000000000001E-3</v>
      </c>
      <c r="AG34" s="3153">
        <f t="shared" si="129"/>
        <v>100.37</v>
      </c>
      <c r="AH34" s="3153">
        <f t="shared" si="130"/>
        <v>98.22999999999999</v>
      </c>
      <c r="AI34" s="3153">
        <f t="shared" si="131"/>
        <v>102.74000000000001</v>
      </c>
      <c r="AJ34" s="3155"/>
      <c r="AK34" s="3153">
        <f t="shared" si="132"/>
        <v>98.22999999999999</v>
      </c>
      <c r="AN34" s="3153">
        <f>AN33/(1+E33/100)</f>
        <v>100</v>
      </c>
      <c r="AO34" s="3153">
        <f t="shared" ref="AO34:AR34" si="140">AO33/(1+F33/100)</f>
        <v>100</v>
      </c>
      <c r="AP34" s="3153">
        <f t="shared" si="140"/>
        <v>100</v>
      </c>
      <c r="AQ34" s="3153"/>
      <c r="AR34" s="3153">
        <f t="shared" si="140"/>
        <v>100</v>
      </c>
    </row>
    <row r="35" spans="1:44" s="2045" customFormat="1" ht="13">
      <c r="A35" s="2040" t="s">
        <v>3415</v>
      </c>
      <c r="B35" s="2031">
        <v>2025</v>
      </c>
      <c r="C35" s="2042">
        <v>2</v>
      </c>
      <c r="D35" s="2007"/>
      <c r="E35" s="2007">
        <v>-0.31</v>
      </c>
      <c r="F35" s="2007">
        <v>-1.03</v>
      </c>
      <c r="G35" s="2007">
        <v>0.03</v>
      </c>
      <c r="H35" s="2007"/>
      <c r="I35" s="2008">
        <f t="shared" ref="I35" si="141">F35</f>
        <v>-1.03</v>
      </c>
      <c r="J35" s="2905"/>
      <c r="K35" s="2043"/>
      <c r="L35" s="2028">
        <f t="shared" ref="L35" si="142">E35/100</f>
        <v>-3.0999999999999999E-3</v>
      </c>
      <c r="M35" s="2028">
        <f t="shared" ref="M35" si="143">F35/100</f>
        <v>-1.03E-2</v>
      </c>
      <c r="N35" s="2028">
        <f t="shared" ref="N35" si="144">G35/100</f>
        <v>2.9999999999999997E-4</v>
      </c>
      <c r="O35" s="2028"/>
      <c r="P35" s="2028">
        <f t="shared" si="123"/>
        <v>-1.03E-2</v>
      </c>
      <c r="Q35" s="2905"/>
      <c r="R35" s="2027"/>
      <c r="S35" s="2027">
        <f>ROUND(IF(项目基本情况!$B$8="出让",SUMPRODUCT(PRODUCT(1+L35:L$52)),SUMPRODUCT(PRODUCT(1+L35:L$51))),4)</f>
        <v>1.0118</v>
      </c>
      <c r="T35" s="2027">
        <f>ROUND(IF(项目基本情况!$B$8="出让",SUMPRODUCT(PRODUCT(1+M35:M$52)),SUMPRODUCT(PRODUCT(1+M35:M$51))),4)</f>
        <v>0.99680000000000002</v>
      </c>
      <c r="U35" s="2027">
        <f>ROUND(IF(项目基本情况!$B$8="出让",SUMPRODUCT(PRODUCT(1+N35:N$52)),SUMPRODUCT(PRODUCT(1+N35:N$51))),4)</f>
        <v>1.0338000000000001</v>
      </c>
      <c r="V35" s="2027"/>
      <c r="W35" s="2027">
        <f t="shared" si="124"/>
        <v>0.99680000000000002</v>
      </c>
      <c r="X35" s="2905"/>
      <c r="Y35" s="2028"/>
      <c r="Z35" s="2901">
        <f t="shared" ref="Z35" si="145">IF(E35=0,0,ROUND(AVERAGE(E35:E48)/100,4))</f>
        <v>-2.9999999999999997E-4</v>
      </c>
      <c r="AA35" s="2901">
        <f t="shared" ref="AA35" si="146">IF(F35=0,0,ROUND(AVERAGE(F35:F48)/100,4))</f>
        <v>-8.0000000000000004E-4</v>
      </c>
      <c r="AB35" s="2901">
        <f t="shared" ref="AB35" si="147">IF(G35=0,0,ROUND(AVERAGE(G35:G48)/100,4))</f>
        <v>5.0000000000000001E-4</v>
      </c>
      <c r="AC35" s="2903"/>
      <c r="AD35" s="2028">
        <f t="shared" si="128"/>
        <v>-8.0000000000000004E-4</v>
      </c>
      <c r="AG35" s="3152">
        <f t="shared" si="129"/>
        <v>101.18</v>
      </c>
      <c r="AH35" s="3152">
        <f t="shared" si="130"/>
        <v>99.68</v>
      </c>
      <c r="AI35" s="3152">
        <f t="shared" si="131"/>
        <v>103.38000000000001</v>
      </c>
      <c r="AJ35" s="3154"/>
      <c r="AK35" s="3152">
        <f t="shared" si="132"/>
        <v>99.68</v>
      </c>
      <c r="AN35" s="3152">
        <f t="shared" ref="AN35:AN52" si="148">AN34/(1+E34/100)</f>
        <v>100.80645161290323</v>
      </c>
      <c r="AO35" s="3152">
        <f t="shared" ref="AO35" si="149">AO34/(1+F34/100)</f>
        <v>101.47133434804667</v>
      </c>
      <c r="AP35" s="3152">
        <f t="shared" ref="AP35" si="150">AP34/(1+G34/100)</f>
        <v>100.6238679814852</v>
      </c>
      <c r="AQ35" s="3152"/>
      <c r="AR35" s="3152">
        <f t="shared" ref="AR35" si="151">AR34/(1+I34/100)</f>
        <v>101.47133434804667</v>
      </c>
    </row>
    <row r="36" spans="1:44" s="2045" customFormat="1" ht="13">
      <c r="A36" s="2040" t="s">
        <v>3404</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101.11992337536687</v>
      </c>
      <c r="AO36" s="3152">
        <f t="shared" ref="AO36:AO52" si="159">AO35/(1+F35/100)</f>
        <v>102.52736622011383</v>
      </c>
      <c r="AP36" s="3152">
        <f t="shared" ref="AP36:AP52" si="160">AP35/(1+G35/100)</f>
        <v>100.59368987452285</v>
      </c>
      <c r="AQ36" s="3152"/>
      <c r="AR36" s="3152">
        <f t="shared" ref="AR36:AR52" si="161">AR35/(1+I35/100)</f>
        <v>102.52736622011383</v>
      </c>
    </row>
    <row r="37" spans="1:44" s="2045" customFormat="1" ht="13">
      <c r="A37" s="2040" t="s">
        <v>3405</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102.62856325521858</v>
      </c>
      <c r="AO37" s="3152">
        <f t="shared" si="159"/>
        <v>103.54207859029877</v>
      </c>
      <c r="AP37" s="3152">
        <f t="shared" si="160"/>
        <v>101.10934754701262</v>
      </c>
      <c r="AQ37" s="3152"/>
      <c r="AR37" s="3152">
        <f t="shared" si="161"/>
        <v>103.54207859029877</v>
      </c>
    </row>
    <row r="38" spans="1:44" s="2045" customFormat="1" ht="13">
      <c r="A38" s="2040" t="s">
        <v>3371</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103.25843973761805</v>
      </c>
      <c r="AO38" s="3152">
        <f t="shared" si="159"/>
        <v>104.28248422831984</v>
      </c>
      <c r="AP38" s="3152">
        <f t="shared" si="160"/>
        <v>102.00700922822097</v>
      </c>
      <c r="AQ38" s="3152"/>
      <c r="AR38" s="3152">
        <f t="shared" si="161"/>
        <v>104.28248422831984</v>
      </c>
    </row>
    <row r="39" spans="1:44" s="2045" customFormat="1" ht="13">
      <c r="A39" s="2904" t="s">
        <v>3375</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103.94447326114158</v>
      </c>
      <c r="AO39" s="3152">
        <f t="shared" si="159"/>
        <v>104.82758768427809</v>
      </c>
      <c r="AP39" s="3152">
        <f t="shared" si="160"/>
        <v>105.02111523547921</v>
      </c>
      <c r="AQ39" s="3152"/>
      <c r="AR39" s="3152">
        <f t="shared" si="161"/>
        <v>104.82758768427809</v>
      </c>
    </row>
    <row r="40" spans="1:44" s="2045" customFormat="1" ht="13">
      <c r="A40" s="2904" t="s">
        <v>3372</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104.2677031408783</v>
      </c>
      <c r="AO40" s="3152">
        <f t="shared" si="159"/>
        <v>105.23801594646932</v>
      </c>
      <c r="AP40" s="3152">
        <f t="shared" si="160"/>
        <v>103.74505110686478</v>
      </c>
      <c r="AQ40" s="3152"/>
      <c r="AR40" s="3152">
        <f t="shared" si="161"/>
        <v>105.23801594646932</v>
      </c>
    </row>
    <row r="41" spans="1:44" s="2045" customFormat="1" ht="13">
      <c r="A41" s="2904" t="s">
        <v>3370</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104.00768393105068</v>
      </c>
      <c r="AO41" s="3152">
        <f t="shared" si="159"/>
        <v>104.81874098253915</v>
      </c>
      <c r="AP41" s="3152">
        <f t="shared" si="160"/>
        <v>104.40278867552055</v>
      </c>
      <c r="AQ41" s="3152"/>
      <c r="AR41" s="3152">
        <f t="shared" si="161"/>
        <v>104.81874098253915</v>
      </c>
    </row>
    <row r="42" spans="1:44" s="2045" customFormat="1" ht="13">
      <c r="A42" s="2904" t="s">
        <v>3368</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103.9349294804144</v>
      </c>
      <c r="AO42" s="3152">
        <f t="shared" si="159"/>
        <v>104.72448894249092</v>
      </c>
      <c r="AP42" s="3152">
        <f t="shared" si="160"/>
        <v>104.37147723235086</v>
      </c>
      <c r="AQ42" s="3152"/>
      <c r="AR42" s="3152">
        <f t="shared" si="161"/>
        <v>104.72448894249092</v>
      </c>
    </row>
    <row r="43" spans="1:44" s="2045" customFormat="1" ht="13">
      <c r="A43" s="2904" t="s">
        <v>3367</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103.5724259894513</v>
      </c>
      <c r="AO43" s="3152">
        <f t="shared" si="159"/>
        <v>104.5467594514235</v>
      </c>
      <c r="AP43" s="3152">
        <f t="shared" si="160"/>
        <v>103.83155315593996</v>
      </c>
      <c r="AQ43" s="3152"/>
      <c r="AR43" s="3152">
        <f t="shared" si="161"/>
        <v>104.5467594514235</v>
      </c>
    </row>
    <row r="44" spans="1:44" s="2045" customFormat="1" ht="13">
      <c r="A44" s="2904" t="s">
        <v>3365</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103.05714028801125</v>
      </c>
      <c r="AO44" s="3152">
        <f t="shared" si="159"/>
        <v>104.07840662162619</v>
      </c>
      <c r="AP44" s="3152">
        <f t="shared" si="160"/>
        <v>102.91560427786695</v>
      </c>
      <c r="AQ44" s="3152"/>
      <c r="AR44" s="3152">
        <f t="shared" si="161"/>
        <v>104.07840662162619</v>
      </c>
    </row>
    <row r="45" spans="1:44" s="2045" customFormat="1" ht="13">
      <c r="A45" s="2904" t="s">
        <v>3364</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102.49342644257707</v>
      </c>
      <c r="AO45" s="3152">
        <f t="shared" si="159"/>
        <v>103.46794574174986</v>
      </c>
      <c r="AP45" s="3152">
        <f t="shared" si="160"/>
        <v>102.26113302649736</v>
      </c>
      <c r="AQ45" s="3152"/>
      <c r="AR45" s="3152">
        <f t="shared" si="161"/>
        <v>103.46794574174986</v>
      </c>
    </row>
    <row r="46" spans="1:44" s="2045" customFormat="1" ht="13">
      <c r="A46" s="2904" t="s">
        <v>3363</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102.03427221759789</v>
      </c>
      <c r="AO46" s="3152">
        <f t="shared" si="159"/>
        <v>103.26142289595795</v>
      </c>
      <c r="AP46" s="3152">
        <f t="shared" si="160"/>
        <v>101.87401178172679</v>
      </c>
      <c r="AQ46" s="3152"/>
      <c r="AR46" s="3152">
        <f t="shared" si="161"/>
        <v>103.26142289595795</v>
      </c>
    </row>
    <row r="47" spans="1:44" s="2045" customFormat="1" ht="13">
      <c r="A47" s="2904" t="s">
        <v>3353</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101.72908496270976</v>
      </c>
      <c r="AO47" s="3152">
        <f t="shared" si="159"/>
        <v>102.96283068696576</v>
      </c>
      <c r="AP47" s="3152">
        <f t="shared" si="160"/>
        <v>101.03541781387166</v>
      </c>
      <c r="AQ47" s="3152"/>
      <c r="AR47" s="3152">
        <f t="shared" si="161"/>
        <v>102.96283068696576</v>
      </c>
    </row>
    <row r="48" spans="1:44" s="2045" customFormat="1" ht="13">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101.84111018391206</v>
      </c>
      <c r="AO48" s="3152">
        <f t="shared" si="159"/>
        <v>103.09685660054646</v>
      </c>
      <c r="AP48" s="3152">
        <f t="shared" si="160"/>
        <v>100.50275322179613</v>
      </c>
      <c r="AQ48" s="3152"/>
      <c r="AR48" s="3152">
        <f t="shared" si="161"/>
        <v>103.09685660054646</v>
      </c>
    </row>
    <row r="49" spans="1:44" s="2045" customFormat="1" ht="13">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101.23370793629429</v>
      </c>
      <c r="AO49" s="3152">
        <f t="shared" si="159"/>
        <v>102.63499910457587</v>
      </c>
      <c r="AP49" s="3152">
        <f t="shared" si="160"/>
        <v>99.972896868393633</v>
      </c>
      <c r="AQ49" s="3152"/>
      <c r="AR49" s="3152">
        <f t="shared" si="161"/>
        <v>102.63499910457587</v>
      </c>
    </row>
    <row r="50" spans="1:44" s="2045" customFormat="1" ht="13">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100.649938294188</v>
      </c>
      <c r="AO50" s="3152">
        <f t="shared" si="159"/>
        <v>102.55295673918452</v>
      </c>
      <c r="AP50" s="3152">
        <f t="shared" si="160"/>
        <v>99.297672694073938</v>
      </c>
      <c r="AQ50" s="3152"/>
      <c r="AR50" s="3152">
        <f t="shared" si="161"/>
        <v>102.55295673918452</v>
      </c>
    </row>
    <row r="51" spans="1:44" s="2045" customFormat="1" ht="13">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100.1790965404479</v>
      </c>
      <c r="AO51" s="3152">
        <f t="shared" si="159"/>
        <v>102.26661023053903</v>
      </c>
      <c r="AP51" s="3152">
        <f t="shared" si="160"/>
        <v>98.402212559779926</v>
      </c>
      <c r="AQ51" s="3152"/>
      <c r="AR51" s="3152">
        <f t="shared" si="161"/>
        <v>102.26661023053903</v>
      </c>
    </row>
    <row r="52" spans="1:44" s="2927" customFormat="1" ht="14.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99.631125351017303</v>
      </c>
      <c r="AO52" s="3159">
        <f t="shared" si="159"/>
        <v>101.79833787630803</v>
      </c>
      <c r="AP52" s="3159">
        <f t="shared" si="160"/>
        <v>97.331565341028622</v>
      </c>
      <c r="AQ52" s="3159"/>
      <c r="AR52" s="3159">
        <f t="shared" si="161"/>
        <v>101.79833787630803</v>
      </c>
    </row>
    <row r="53" spans="1:44" ht="14.5" thickTop="1"/>
    <row r="54" spans="1:44">
      <c r="A54" s="3142" t="s">
        <v>3378</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2.5"/>
  <cols>
    <col min="1" max="1" width="9" style="2027"/>
    <col min="2" max="6" width="9" style="2027" customWidth="1"/>
    <col min="7" max="7" width="9" style="2061"/>
    <col min="8" max="8" width="9" style="2027"/>
    <col min="9" max="12" width="9" style="2027" customWidth="1"/>
    <col min="13" max="13" width="2.26953125" style="2027" customWidth="1"/>
    <col min="14" max="14" width="9" style="2061" customWidth="1"/>
    <col min="15" max="17" width="9" style="2027" customWidth="1"/>
    <col min="18" max="18" width="2.36328125" style="2027" customWidth="1"/>
    <col min="19" max="19" width="7.08984375" style="2061" customWidth="1"/>
    <col min="20" max="22" width="7.08984375" style="2027" customWidth="1"/>
    <col min="23" max="23" width="24.26953125" style="2027" customWidth="1"/>
    <col min="24" max="25" width="9" style="2027"/>
    <col min="26" max="27" width="11.6328125" style="2027" customWidth="1"/>
    <col min="28" max="28" width="9" style="2027"/>
    <col min="29" max="29" width="2" style="2027" customWidth="1"/>
    <col min="30" max="16384" width="9" style="2027"/>
  </cols>
  <sheetData>
    <row r="1" spans="1:34" s="2009" customFormat="1" ht="13">
      <c r="B1" s="3510" t="s">
        <v>452</v>
      </c>
      <c r="C1" s="3510"/>
      <c r="D1" s="3510"/>
      <c r="E1" s="3510"/>
      <c r="F1" s="3510"/>
      <c r="G1" s="3506" t="s">
        <v>453</v>
      </c>
      <c r="H1" s="3506"/>
      <c r="I1" s="3506"/>
      <c r="J1" s="3506"/>
      <c r="K1" s="3506"/>
      <c r="L1" s="3506"/>
      <c r="N1" s="3506" t="s">
        <v>454</v>
      </c>
      <c r="O1" s="3506"/>
      <c r="P1" s="3506"/>
      <c r="Q1" s="3506"/>
      <c r="S1" s="3506" t="s">
        <v>455</v>
      </c>
      <c r="T1" s="3506"/>
      <c r="U1" s="3506"/>
      <c r="V1" s="3506"/>
      <c r="X1" s="3505" t="s">
        <v>456</v>
      </c>
      <c r="Y1" s="3506"/>
      <c r="Z1" s="3506"/>
      <c r="AA1" s="3506"/>
      <c r="AB1" s="3506"/>
      <c r="AD1" s="3505" t="s">
        <v>457</v>
      </c>
      <c r="AE1" s="3506"/>
      <c r="AF1" s="3506"/>
      <c r="AG1" s="3506"/>
      <c r="AH1" s="3506"/>
    </row>
    <row r="2" spans="1:34" s="2010" customFormat="1" ht="14.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ht="13">
      <c r="A5" s="2040" t="s">
        <v>3361</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ht="13">
      <c r="A6" s="2029" t="s">
        <v>3358</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ht="13">
      <c r="A7" s="2040" t="s">
        <v>3359</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ht="13">
      <c r="A8" s="2040" t="s">
        <v>3360</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ht="13">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ht="13">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ht="13">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ht="13">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ht="13">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ht="13">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ht="13">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ht="13">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ht="13">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5"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ht="13">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5"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ht="13">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50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5"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50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5"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50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51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ht="13">
      <c r="A25" s="2040" t="s">
        <v>2111</v>
      </c>
      <c r="B25" s="2049">
        <v>439</v>
      </c>
      <c r="C25" s="2049">
        <v>327</v>
      </c>
      <c r="D25" s="2049">
        <f>C25</f>
        <v>327</v>
      </c>
      <c r="E25" s="2049">
        <v>627</v>
      </c>
      <c r="F25" s="2050">
        <v>283</v>
      </c>
      <c r="G25" s="351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5"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50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5"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50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51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ht="13">
      <c r="A29" s="2040" t="s">
        <v>127</v>
      </c>
      <c r="B29" s="2049">
        <v>392</v>
      </c>
      <c r="C29" s="2049">
        <v>302</v>
      </c>
      <c r="D29" s="2049">
        <f>C29</f>
        <v>302</v>
      </c>
      <c r="E29" s="2049">
        <v>553</v>
      </c>
      <c r="F29" s="2050">
        <v>266</v>
      </c>
      <c r="G29" s="351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50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50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50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5" thickBot="1">
      <c r="A33" s="2040" t="s">
        <v>124</v>
      </c>
      <c r="B33" s="2049">
        <v>333</v>
      </c>
      <c r="C33" s="2049">
        <v>277</v>
      </c>
      <c r="D33" s="2049">
        <f t="shared" si="246"/>
        <v>277</v>
      </c>
      <c r="E33" s="2049">
        <v>459</v>
      </c>
      <c r="F33" s="2050">
        <v>249</v>
      </c>
      <c r="G33" s="350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50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50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50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5" thickBot="1">
      <c r="A37" s="2040" t="s">
        <v>120</v>
      </c>
      <c r="B37" s="2064">
        <v>318</v>
      </c>
      <c r="C37" s="2064">
        <v>268</v>
      </c>
      <c r="D37" s="2064">
        <f t="shared" si="246"/>
        <v>268</v>
      </c>
      <c r="E37" s="2064">
        <v>437</v>
      </c>
      <c r="F37" s="2065">
        <v>237</v>
      </c>
      <c r="G37" s="350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50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50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5"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50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5" thickBot="1">
      <c r="A41" s="2040" t="s">
        <v>465</v>
      </c>
      <c r="B41" s="2049">
        <v>299</v>
      </c>
      <c r="C41" s="2049">
        <v>252</v>
      </c>
      <c r="D41" s="2049">
        <f t="shared" si="246"/>
        <v>252</v>
      </c>
      <c r="E41" s="2049">
        <v>409</v>
      </c>
      <c r="F41" s="2050">
        <v>227</v>
      </c>
      <c r="G41" s="351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51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ht="13">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51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51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5" thickBot="1">
      <c r="A45" s="2040" t="s">
        <v>469</v>
      </c>
      <c r="B45" s="2083">
        <v>278</v>
      </c>
      <c r="C45" s="2083">
        <v>234</v>
      </c>
      <c r="D45" s="2083">
        <f t="shared" si="246"/>
        <v>234</v>
      </c>
      <c r="E45" s="2083">
        <v>379</v>
      </c>
      <c r="F45" s="2084">
        <v>220</v>
      </c>
      <c r="G45" s="350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50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50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 thickBot="1">
      <c r="A48" s="2040" t="s">
        <v>472</v>
      </c>
      <c r="B48" s="2041">
        <f>B47/(1+N47)</f>
        <v>275.19025476197027</v>
      </c>
      <c r="C48" s="2085">
        <v>232</v>
      </c>
      <c r="D48" s="2085">
        <f t="shared" si="246"/>
        <v>232</v>
      </c>
      <c r="E48" s="2041">
        <f t="shared" si="257"/>
        <v>375.65990977608692</v>
      </c>
      <c r="F48" s="2041">
        <f t="shared" si="257"/>
        <v>214.12518283971252</v>
      </c>
      <c r="G48" s="350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5" thickBot="1">
      <c r="A49" s="2040" t="s">
        <v>473</v>
      </c>
      <c r="B49" s="2049">
        <v>275</v>
      </c>
      <c r="C49" s="2049">
        <v>232</v>
      </c>
      <c r="D49" s="2049">
        <f t="shared" si="246"/>
        <v>232</v>
      </c>
      <c r="E49" s="2049">
        <v>376</v>
      </c>
      <c r="F49" s="2050">
        <v>213</v>
      </c>
      <c r="G49" s="350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50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50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50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5" thickBot="1">
      <c r="A53" s="2040" t="s">
        <v>477</v>
      </c>
      <c r="B53" s="2049">
        <v>269</v>
      </c>
      <c r="C53" s="2049">
        <v>221</v>
      </c>
      <c r="D53" s="2049">
        <f t="shared" si="246"/>
        <v>221</v>
      </c>
      <c r="E53" s="2049">
        <v>373</v>
      </c>
      <c r="F53" s="2050">
        <v>196</v>
      </c>
      <c r="G53" s="350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50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50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50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5" thickBot="1">
      <c r="A57" s="2040" t="s">
        <v>481</v>
      </c>
      <c r="B57" s="2049">
        <v>220</v>
      </c>
      <c r="C57" s="2049">
        <v>187</v>
      </c>
      <c r="D57" s="2049">
        <f t="shared" si="246"/>
        <v>187</v>
      </c>
      <c r="E57" s="2049">
        <v>301</v>
      </c>
      <c r="F57" s="2050">
        <v>168</v>
      </c>
      <c r="G57" s="350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50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50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50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5" thickBot="1">
      <c r="A61" s="2040" t="s">
        <v>485</v>
      </c>
      <c r="B61" s="2083">
        <v>214</v>
      </c>
      <c r="C61" s="2083">
        <v>188</v>
      </c>
      <c r="D61" s="2083">
        <f t="shared" si="246"/>
        <v>188</v>
      </c>
      <c r="E61" s="2083">
        <v>289</v>
      </c>
      <c r="F61" s="2084">
        <v>166</v>
      </c>
      <c r="G61" s="350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50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50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50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5" thickBot="1">
      <c r="A65" s="2040" t="s">
        <v>489</v>
      </c>
      <c r="B65" s="2049">
        <v>188</v>
      </c>
      <c r="C65" s="2049">
        <v>165</v>
      </c>
      <c r="D65" s="2049">
        <f t="shared" si="246"/>
        <v>165</v>
      </c>
      <c r="E65" s="2049">
        <v>254</v>
      </c>
      <c r="F65" s="2050">
        <v>148</v>
      </c>
      <c r="G65" s="350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50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50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50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5" thickBot="1">
      <c r="A69" s="2040" t="s">
        <v>493</v>
      </c>
      <c r="B69" s="2064">
        <v>159</v>
      </c>
      <c r="C69" s="2064">
        <v>141</v>
      </c>
      <c r="D69" s="2064">
        <f t="shared" si="246"/>
        <v>141</v>
      </c>
      <c r="E69" s="2064">
        <v>195</v>
      </c>
      <c r="F69" s="2065">
        <v>122</v>
      </c>
      <c r="G69" s="350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50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50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50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5" thickBot="1">
      <c r="A73" s="2040" t="s">
        <v>497</v>
      </c>
      <c r="B73" s="2064">
        <v>138</v>
      </c>
      <c r="C73" s="2064">
        <v>131</v>
      </c>
      <c r="D73" s="2064">
        <f t="shared" si="246"/>
        <v>131</v>
      </c>
      <c r="E73" s="2064">
        <v>155</v>
      </c>
      <c r="F73" s="2065">
        <v>114</v>
      </c>
      <c r="G73" s="350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50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50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50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5" thickBot="1">
      <c r="A77" s="2040" t="s">
        <v>501</v>
      </c>
      <c r="B77" s="2083">
        <v>121</v>
      </c>
      <c r="C77" s="2083">
        <v>122</v>
      </c>
      <c r="D77" s="2083">
        <f t="shared" si="246"/>
        <v>122</v>
      </c>
      <c r="E77" s="2083">
        <v>124</v>
      </c>
      <c r="F77" s="2084">
        <v>107</v>
      </c>
      <c r="G77" s="350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50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50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50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5" thickBot="1">
      <c r="A81" s="2040" t="s">
        <v>505</v>
      </c>
      <c r="B81" s="2103">
        <v>111</v>
      </c>
      <c r="C81" s="2103">
        <v>114</v>
      </c>
      <c r="D81" s="2103">
        <f t="shared" si="246"/>
        <v>114</v>
      </c>
      <c r="E81" s="2103">
        <v>108</v>
      </c>
      <c r="F81" s="2104">
        <v>104</v>
      </c>
      <c r="G81" s="350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50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508">
        <v>2003</v>
      </c>
      <c r="H83" s="2051">
        <v>2</v>
      </c>
      <c r="I83" s="2105"/>
      <c r="J83" s="2105"/>
      <c r="K83" s="2105"/>
      <c r="L83" s="2105"/>
      <c r="X83" s="2097"/>
      <c r="Y83" s="2097"/>
      <c r="Z83" s="2097"/>
    </row>
    <row r="84" spans="1:26" ht="13" thickBot="1">
      <c r="A84" s="2040" t="s">
        <v>508</v>
      </c>
      <c r="B84" s="2107">
        <f t="shared" si="282"/>
        <v>107.25</v>
      </c>
      <c r="C84" s="2107">
        <f t="shared" si="282"/>
        <v>108.75</v>
      </c>
      <c r="D84" s="2107">
        <f t="shared" si="246"/>
        <v>108.75</v>
      </c>
      <c r="E84" s="2107">
        <f t="shared" si="283"/>
        <v>105.75</v>
      </c>
      <c r="F84" s="2107">
        <f t="shared" si="283"/>
        <v>102.5</v>
      </c>
      <c r="G84" s="3509">
        <v>2003</v>
      </c>
      <c r="H84" s="2108">
        <v>1</v>
      </c>
      <c r="I84" s="2105"/>
      <c r="J84" s="2105"/>
      <c r="K84" s="2105"/>
      <c r="L84" s="2105"/>
      <c r="S84" s="2043"/>
      <c r="T84" s="2028"/>
      <c r="U84" s="2028"/>
      <c r="X84" s="2097"/>
      <c r="Y84" s="2097"/>
      <c r="Z84" s="2097"/>
    </row>
    <row r="85" spans="1:26" ht="13.5" thickBot="1">
      <c r="A85" s="2040" t="s">
        <v>509</v>
      </c>
      <c r="B85" s="2109">
        <v>106</v>
      </c>
      <c r="C85" s="2109">
        <v>107</v>
      </c>
      <c r="D85" s="2109">
        <f t="shared" si="246"/>
        <v>107</v>
      </c>
      <c r="E85" s="2109">
        <v>105</v>
      </c>
      <c r="F85" s="2110">
        <v>102</v>
      </c>
      <c r="G85" s="350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50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508">
        <v>2002</v>
      </c>
      <c r="H87" s="2051">
        <v>2</v>
      </c>
      <c r="I87" s="2105"/>
      <c r="J87" s="2105"/>
      <c r="K87" s="2105"/>
      <c r="L87" s="2105"/>
      <c r="X87" s="2097"/>
      <c r="Y87" s="2097"/>
      <c r="Z87" s="2097"/>
    </row>
    <row r="88" spans="1:26" s="2072" customFormat="1" ht="13" thickBot="1">
      <c r="A88" s="2068" t="s">
        <v>512</v>
      </c>
      <c r="B88" s="2075">
        <f t="shared" si="284"/>
        <v>103</v>
      </c>
      <c r="C88" s="2075">
        <f t="shared" si="284"/>
        <v>104</v>
      </c>
      <c r="D88" s="2075">
        <f t="shared" si="246"/>
        <v>104</v>
      </c>
      <c r="E88" s="2075">
        <f t="shared" si="285"/>
        <v>103.5</v>
      </c>
      <c r="F88" s="2075">
        <f t="shared" si="285"/>
        <v>100.5</v>
      </c>
      <c r="G88" s="3509">
        <v>2002</v>
      </c>
      <c r="H88" s="2111">
        <v>1</v>
      </c>
      <c r="I88" s="2112"/>
      <c r="J88" s="2112"/>
      <c r="K88" s="2112"/>
      <c r="L88" s="2112"/>
      <c r="N88" s="2113"/>
      <c r="S88" s="2113"/>
      <c r="X88" s="2114"/>
      <c r="Y88" s="2114"/>
      <c r="Z88" s="2114"/>
    </row>
    <row r="89" spans="1:26" ht="13.5"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ht="13">
      <c r="A91" s="2118" t="s">
        <v>513</v>
      </c>
      <c r="G91" s="2120"/>
      <c r="N91" s="2120"/>
      <c r="S91" s="2120"/>
    </row>
    <row r="92" spans="1:26" s="2119" customFormat="1" ht="13">
      <c r="A92" s="2119" t="s">
        <v>514</v>
      </c>
      <c r="G92" s="2120"/>
      <c r="N92" s="2120"/>
      <c r="S92" s="2120"/>
    </row>
    <row r="93" spans="1:26" s="2119" customFormat="1" ht="13">
      <c r="A93" s="2119" t="s">
        <v>515</v>
      </c>
      <c r="G93" s="2120"/>
      <c r="I93" s="2121"/>
      <c r="J93" s="2121"/>
      <c r="K93" s="2121"/>
      <c r="L93" s="2121"/>
      <c r="N93" s="2122"/>
      <c r="O93" s="2121"/>
      <c r="P93" s="2121"/>
      <c r="Q93" s="2121"/>
      <c r="S93" s="2122"/>
      <c r="T93" s="2121"/>
      <c r="U93" s="2121"/>
      <c r="V93" s="2121"/>
    </row>
    <row r="94" spans="1:26" s="2119" customFormat="1" ht="13">
      <c r="A94" s="2119" t="s">
        <v>516</v>
      </c>
      <c r="G94" s="2120"/>
      <c r="N94" s="2120"/>
      <c r="S94" s="2120"/>
    </row>
    <row r="101" spans="7:22" ht="13" thickBot="1"/>
    <row r="102" spans="7:22" ht="13">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90625" defaultRowHeight="12"/>
  <cols>
    <col min="1" max="1" width="9.6328125" style="2781" customWidth="1"/>
    <col min="2" max="2" width="18.6328125" style="2781" customWidth="1"/>
    <col min="3" max="6" width="10.26953125" style="2781" customWidth="1"/>
    <col min="7" max="7" width="10.453125" style="2781" bestFit="1" customWidth="1"/>
    <col min="8" max="8" width="8.90625" style="2780"/>
    <col min="9" max="9" width="13.36328125" style="2780" customWidth="1"/>
    <col min="10" max="13" width="13.36328125" style="2781" customWidth="1"/>
    <col min="14" max="14" width="18.26953125" style="2781" customWidth="1"/>
    <col min="15" max="17" width="15.08984375" style="2781" customWidth="1"/>
    <col min="18" max="20" width="11.453125" style="2781" customWidth="1"/>
    <col min="21" max="16384" width="8.90625" style="2781"/>
  </cols>
  <sheetData>
    <row r="1" spans="1:20" ht="12.5" thickBot="1">
      <c r="A1" s="3518" t="s">
        <v>2839</v>
      </c>
      <c r="B1" s="3518"/>
      <c r="C1" s="3518"/>
      <c r="D1" s="3518"/>
      <c r="E1" s="3518"/>
      <c r="F1" s="3518"/>
      <c r="G1" s="3519"/>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2.5"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516"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2.5" thickBot="1">
      <c r="A4" s="3517"/>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2.5"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2.5"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2.5"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2.5"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2.5"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2.5"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I44" sqref="I44"/>
    </sheetView>
  </sheetViews>
  <sheetFormatPr defaultRowHeight="14"/>
  <cols>
    <col min="1" max="1" width="4.90625" style="1159" customWidth="1"/>
    <col min="2" max="2" width="13.26953125" style="1165" customWidth="1"/>
    <col min="3" max="3" width="15.6328125" style="1165" customWidth="1"/>
    <col min="4" max="4" width="9.36328125" style="1165" bestFit="1" customWidth="1"/>
    <col min="5" max="5" width="13.453125" style="1165" customWidth="1"/>
    <col min="6" max="6" width="9" style="1165"/>
    <col min="7" max="7" width="9.36328125" style="1165" bestFit="1" customWidth="1"/>
    <col min="8" max="8" width="12.26953125" style="1165" customWidth="1"/>
    <col min="9" max="9" width="9" style="1165"/>
    <col min="10" max="10" width="9.36328125" style="1165" bestFit="1" customWidth="1"/>
    <col min="11" max="11" width="4" style="1159" customWidth="1"/>
    <col min="12" max="12" width="5.08984375" style="1165" customWidth="1"/>
    <col min="13" max="13" width="13.7265625" style="1165" customWidth="1"/>
    <col min="14" max="256" width="9" style="1165"/>
    <col min="257" max="257" width="4.90625" style="1156" customWidth="1"/>
    <col min="258" max="258" width="13.26953125" style="1156" customWidth="1"/>
    <col min="259" max="259" width="15.6328125" style="1156" customWidth="1"/>
    <col min="260" max="260" width="9.36328125" style="1156" bestFit="1" customWidth="1"/>
    <col min="261" max="261" width="13.453125" style="1156" customWidth="1"/>
    <col min="262" max="262" width="9" style="1156"/>
    <col min="263" max="263" width="9.36328125" style="1156" bestFit="1" customWidth="1"/>
    <col min="264" max="265" width="9" style="1156"/>
    <col min="266" max="266" width="9.36328125" style="1156" bestFit="1" customWidth="1"/>
    <col min="267" max="267" width="4" style="1156" customWidth="1"/>
    <col min="268" max="268" width="5.08984375" style="1156" customWidth="1"/>
    <col min="269" max="269" width="13.7265625" style="1156" customWidth="1"/>
    <col min="270" max="512" width="9" style="1156"/>
    <col min="513" max="513" width="4.90625" style="1156" customWidth="1"/>
    <col min="514" max="514" width="13.26953125" style="1156" customWidth="1"/>
    <col min="515" max="515" width="15.6328125" style="1156" customWidth="1"/>
    <col min="516" max="516" width="9.36328125" style="1156" bestFit="1" customWidth="1"/>
    <col min="517" max="517" width="13.453125" style="1156" customWidth="1"/>
    <col min="518" max="518" width="9" style="1156"/>
    <col min="519" max="519" width="9.36328125" style="1156" bestFit="1" customWidth="1"/>
    <col min="520" max="521" width="9" style="1156"/>
    <col min="522" max="522" width="9.36328125" style="1156" bestFit="1" customWidth="1"/>
    <col min="523" max="523" width="4" style="1156" customWidth="1"/>
    <col min="524" max="524" width="5.08984375" style="1156" customWidth="1"/>
    <col min="525" max="525" width="13.7265625" style="1156" customWidth="1"/>
    <col min="526" max="768" width="9" style="1156"/>
    <col min="769" max="769" width="4.90625" style="1156" customWidth="1"/>
    <col min="770" max="770" width="13.26953125" style="1156" customWidth="1"/>
    <col min="771" max="771" width="15.6328125" style="1156" customWidth="1"/>
    <col min="772" max="772" width="9.36328125" style="1156" bestFit="1" customWidth="1"/>
    <col min="773" max="773" width="13.453125" style="1156" customWidth="1"/>
    <col min="774" max="774" width="9" style="1156"/>
    <col min="775" max="775" width="9.36328125" style="1156" bestFit="1" customWidth="1"/>
    <col min="776" max="777" width="9" style="1156"/>
    <col min="778" max="778" width="9.36328125" style="1156" bestFit="1" customWidth="1"/>
    <col min="779" max="779" width="4" style="1156" customWidth="1"/>
    <col min="780" max="780" width="5.08984375" style="1156" customWidth="1"/>
    <col min="781" max="781" width="13.7265625" style="1156" customWidth="1"/>
    <col min="782" max="1024" width="9" style="1156"/>
    <col min="1025" max="1025" width="4.90625" style="1156" customWidth="1"/>
    <col min="1026" max="1026" width="13.26953125" style="1156" customWidth="1"/>
    <col min="1027" max="1027" width="15.6328125" style="1156" customWidth="1"/>
    <col min="1028" max="1028" width="9.36328125" style="1156" bestFit="1" customWidth="1"/>
    <col min="1029" max="1029" width="13.453125" style="1156" customWidth="1"/>
    <col min="1030" max="1030" width="9" style="1156"/>
    <col min="1031" max="1031" width="9.36328125" style="1156" bestFit="1" customWidth="1"/>
    <col min="1032" max="1033" width="9" style="1156"/>
    <col min="1034" max="1034" width="9.36328125" style="1156" bestFit="1" customWidth="1"/>
    <col min="1035" max="1035" width="4" style="1156" customWidth="1"/>
    <col min="1036" max="1036" width="5.08984375" style="1156" customWidth="1"/>
    <col min="1037" max="1037" width="13.7265625" style="1156" customWidth="1"/>
    <col min="1038" max="1280" width="9" style="1156"/>
    <col min="1281" max="1281" width="4.90625" style="1156" customWidth="1"/>
    <col min="1282" max="1282" width="13.26953125" style="1156" customWidth="1"/>
    <col min="1283" max="1283" width="15.6328125" style="1156" customWidth="1"/>
    <col min="1284" max="1284" width="9.36328125" style="1156" bestFit="1" customWidth="1"/>
    <col min="1285" max="1285" width="13.453125" style="1156" customWidth="1"/>
    <col min="1286" max="1286" width="9" style="1156"/>
    <col min="1287" max="1287" width="9.36328125" style="1156" bestFit="1" customWidth="1"/>
    <col min="1288" max="1289" width="9" style="1156"/>
    <col min="1290" max="1290" width="9.36328125" style="1156" bestFit="1" customWidth="1"/>
    <col min="1291" max="1291" width="4" style="1156" customWidth="1"/>
    <col min="1292" max="1292" width="5.08984375" style="1156" customWidth="1"/>
    <col min="1293" max="1293" width="13.7265625" style="1156" customWidth="1"/>
    <col min="1294" max="1536" width="9" style="1156"/>
    <col min="1537" max="1537" width="4.90625" style="1156" customWidth="1"/>
    <col min="1538" max="1538" width="13.26953125" style="1156" customWidth="1"/>
    <col min="1539" max="1539" width="15.6328125" style="1156" customWidth="1"/>
    <col min="1540" max="1540" width="9.36328125" style="1156" bestFit="1" customWidth="1"/>
    <col min="1541" max="1541" width="13.453125" style="1156" customWidth="1"/>
    <col min="1542" max="1542" width="9" style="1156"/>
    <col min="1543" max="1543" width="9.36328125" style="1156" bestFit="1" customWidth="1"/>
    <col min="1544" max="1545" width="9" style="1156"/>
    <col min="1546" max="1546" width="9.36328125" style="1156" bestFit="1" customWidth="1"/>
    <col min="1547" max="1547" width="4" style="1156" customWidth="1"/>
    <col min="1548" max="1548" width="5.08984375" style="1156" customWidth="1"/>
    <col min="1549" max="1549" width="13.7265625" style="1156" customWidth="1"/>
    <col min="1550" max="1792" width="9" style="1156"/>
    <col min="1793" max="1793" width="4.90625" style="1156" customWidth="1"/>
    <col min="1794" max="1794" width="13.26953125" style="1156" customWidth="1"/>
    <col min="1795" max="1795" width="15.6328125" style="1156" customWidth="1"/>
    <col min="1796" max="1796" width="9.36328125" style="1156" bestFit="1" customWidth="1"/>
    <col min="1797" max="1797" width="13.453125" style="1156" customWidth="1"/>
    <col min="1798" max="1798" width="9" style="1156"/>
    <col min="1799" max="1799" width="9.36328125" style="1156" bestFit="1" customWidth="1"/>
    <col min="1800" max="1801" width="9" style="1156"/>
    <col min="1802" max="1802" width="9.36328125" style="1156" bestFit="1" customWidth="1"/>
    <col min="1803" max="1803" width="4" style="1156" customWidth="1"/>
    <col min="1804" max="1804" width="5.08984375" style="1156" customWidth="1"/>
    <col min="1805" max="1805" width="13.7265625" style="1156" customWidth="1"/>
    <col min="1806" max="2048" width="9" style="1156"/>
    <col min="2049" max="2049" width="4.90625" style="1156" customWidth="1"/>
    <col min="2050" max="2050" width="13.26953125" style="1156" customWidth="1"/>
    <col min="2051" max="2051" width="15.6328125" style="1156" customWidth="1"/>
    <col min="2052" max="2052" width="9.36328125" style="1156" bestFit="1" customWidth="1"/>
    <col min="2053" max="2053" width="13.453125" style="1156" customWidth="1"/>
    <col min="2054" max="2054" width="9" style="1156"/>
    <col min="2055" max="2055" width="9.36328125" style="1156" bestFit="1" customWidth="1"/>
    <col min="2056" max="2057" width="9" style="1156"/>
    <col min="2058" max="2058" width="9.36328125" style="1156" bestFit="1" customWidth="1"/>
    <col min="2059" max="2059" width="4" style="1156" customWidth="1"/>
    <col min="2060" max="2060" width="5.08984375" style="1156" customWidth="1"/>
    <col min="2061" max="2061" width="13.7265625" style="1156" customWidth="1"/>
    <col min="2062" max="2304" width="9" style="1156"/>
    <col min="2305" max="2305" width="4.90625" style="1156" customWidth="1"/>
    <col min="2306" max="2306" width="13.26953125" style="1156" customWidth="1"/>
    <col min="2307" max="2307" width="15.6328125" style="1156" customWidth="1"/>
    <col min="2308" max="2308" width="9.36328125" style="1156" bestFit="1" customWidth="1"/>
    <col min="2309" max="2309" width="13.453125" style="1156" customWidth="1"/>
    <col min="2310" max="2310" width="9" style="1156"/>
    <col min="2311" max="2311" width="9.36328125" style="1156" bestFit="1" customWidth="1"/>
    <col min="2312" max="2313" width="9" style="1156"/>
    <col min="2314" max="2314" width="9.36328125" style="1156" bestFit="1" customWidth="1"/>
    <col min="2315" max="2315" width="4" style="1156" customWidth="1"/>
    <col min="2316" max="2316" width="5.08984375" style="1156" customWidth="1"/>
    <col min="2317" max="2317" width="13.7265625" style="1156" customWidth="1"/>
    <col min="2318" max="2560" width="9" style="1156"/>
    <col min="2561" max="2561" width="4.90625" style="1156" customWidth="1"/>
    <col min="2562" max="2562" width="13.26953125" style="1156" customWidth="1"/>
    <col min="2563" max="2563" width="15.6328125" style="1156" customWidth="1"/>
    <col min="2564" max="2564" width="9.36328125" style="1156" bestFit="1" customWidth="1"/>
    <col min="2565" max="2565" width="13.453125" style="1156" customWidth="1"/>
    <col min="2566" max="2566" width="9" style="1156"/>
    <col min="2567" max="2567" width="9.36328125" style="1156" bestFit="1" customWidth="1"/>
    <col min="2568" max="2569" width="9" style="1156"/>
    <col min="2570" max="2570" width="9.36328125" style="1156" bestFit="1" customWidth="1"/>
    <col min="2571" max="2571" width="4" style="1156" customWidth="1"/>
    <col min="2572" max="2572" width="5.08984375" style="1156" customWidth="1"/>
    <col min="2573" max="2573" width="13.7265625" style="1156" customWidth="1"/>
    <col min="2574" max="2816" width="9" style="1156"/>
    <col min="2817" max="2817" width="4.90625" style="1156" customWidth="1"/>
    <col min="2818" max="2818" width="13.26953125" style="1156" customWidth="1"/>
    <col min="2819" max="2819" width="15.6328125" style="1156" customWidth="1"/>
    <col min="2820" max="2820" width="9.36328125" style="1156" bestFit="1" customWidth="1"/>
    <col min="2821" max="2821" width="13.453125" style="1156" customWidth="1"/>
    <col min="2822" max="2822" width="9" style="1156"/>
    <col min="2823" max="2823" width="9.36328125" style="1156" bestFit="1" customWidth="1"/>
    <col min="2824" max="2825" width="9" style="1156"/>
    <col min="2826" max="2826" width="9.36328125" style="1156" bestFit="1" customWidth="1"/>
    <col min="2827" max="2827" width="4" style="1156" customWidth="1"/>
    <col min="2828" max="2828" width="5.08984375" style="1156" customWidth="1"/>
    <col min="2829" max="2829" width="13.7265625" style="1156" customWidth="1"/>
    <col min="2830" max="3072" width="9" style="1156"/>
    <col min="3073" max="3073" width="4.90625" style="1156" customWidth="1"/>
    <col min="3074" max="3074" width="13.26953125" style="1156" customWidth="1"/>
    <col min="3075" max="3075" width="15.6328125" style="1156" customWidth="1"/>
    <col min="3076" max="3076" width="9.36328125" style="1156" bestFit="1" customWidth="1"/>
    <col min="3077" max="3077" width="13.453125" style="1156" customWidth="1"/>
    <col min="3078" max="3078" width="9" style="1156"/>
    <col min="3079" max="3079" width="9.36328125" style="1156" bestFit="1" customWidth="1"/>
    <col min="3080" max="3081" width="9" style="1156"/>
    <col min="3082" max="3082" width="9.36328125" style="1156" bestFit="1" customWidth="1"/>
    <col min="3083" max="3083" width="4" style="1156" customWidth="1"/>
    <col min="3084" max="3084" width="5.08984375" style="1156" customWidth="1"/>
    <col min="3085" max="3085" width="13.7265625" style="1156" customWidth="1"/>
    <col min="3086" max="3328" width="9" style="1156"/>
    <col min="3329" max="3329" width="4.90625" style="1156" customWidth="1"/>
    <col min="3330" max="3330" width="13.26953125" style="1156" customWidth="1"/>
    <col min="3331" max="3331" width="15.6328125" style="1156" customWidth="1"/>
    <col min="3332" max="3332" width="9.36328125" style="1156" bestFit="1" customWidth="1"/>
    <col min="3333" max="3333" width="13.453125" style="1156" customWidth="1"/>
    <col min="3334" max="3334" width="9" style="1156"/>
    <col min="3335" max="3335" width="9.36328125" style="1156" bestFit="1" customWidth="1"/>
    <col min="3336" max="3337" width="9" style="1156"/>
    <col min="3338" max="3338" width="9.36328125" style="1156" bestFit="1" customWidth="1"/>
    <col min="3339" max="3339" width="4" style="1156" customWidth="1"/>
    <col min="3340" max="3340" width="5.08984375" style="1156" customWidth="1"/>
    <col min="3341" max="3341" width="13.7265625" style="1156" customWidth="1"/>
    <col min="3342" max="3584" width="9" style="1156"/>
    <col min="3585" max="3585" width="4.90625" style="1156" customWidth="1"/>
    <col min="3586" max="3586" width="13.26953125" style="1156" customWidth="1"/>
    <col min="3587" max="3587" width="15.6328125" style="1156" customWidth="1"/>
    <col min="3588" max="3588" width="9.36328125" style="1156" bestFit="1" customWidth="1"/>
    <col min="3589" max="3589" width="13.453125" style="1156" customWidth="1"/>
    <col min="3590" max="3590" width="9" style="1156"/>
    <col min="3591" max="3591" width="9.36328125" style="1156" bestFit="1" customWidth="1"/>
    <col min="3592" max="3593" width="9" style="1156"/>
    <col min="3594" max="3594" width="9.36328125" style="1156" bestFit="1" customWidth="1"/>
    <col min="3595" max="3595" width="4" style="1156" customWidth="1"/>
    <col min="3596" max="3596" width="5.08984375" style="1156" customWidth="1"/>
    <col min="3597" max="3597" width="13.7265625" style="1156" customWidth="1"/>
    <col min="3598" max="3840" width="9" style="1156"/>
    <col min="3841" max="3841" width="4.90625" style="1156" customWidth="1"/>
    <col min="3842" max="3842" width="13.26953125" style="1156" customWidth="1"/>
    <col min="3843" max="3843" width="15.6328125" style="1156" customWidth="1"/>
    <col min="3844" max="3844" width="9.36328125" style="1156" bestFit="1" customWidth="1"/>
    <col min="3845" max="3845" width="13.453125" style="1156" customWidth="1"/>
    <col min="3846" max="3846" width="9" style="1156"/>
    <col min="3847" max="3847" width="9.36328125" style="1156" bestFit="1" customWidth="1"/>
    <col min="3848" max="3849" width="9" style="1156"/>
    <col min="3850" max="3850" width="9.36328125" style="1156" bestFit="1" customWidth="1"/>
    <col min="3851" max="3851" width="4" style="1156" customWidth="1"/>
    <col min="3852" max="3852" width="5.08984375" style="1156" customWidth="1"/>
    <col min="3853" max="3853" width="13.7265625" style="1156" customWidth="1"/>
    <col min="3854" max="4096" width="9" style="1156"/>
    <col min="4097" max="4097" width="4.90625" style="1156" customWidth="1"/>
    <col min="4098" max="4098" width="13.26953125" style="1156" customWidth="1"/>
    <col min="4099" max="4099" width="15.6328125" style="1156" customWidth="1"/>
    <col min="4100" max="4100" width="9.36328125" style="1156" bestFit="1" customWidth="1"/>
    <col min="4101" max="4101" width="13.453125" style="1156" customWidth="1"/>
    <col min="4102" max="4102" width="9" style="1156"/>
    <col min="4103" max="4103" width="9.36328125" style="1156" bestFit="1" customWidth="1"/>
    <col min="4104" max="4105" width="9" style="1156"/>
    <col min="4106" max="4106" width="9.36328125" style="1156" bestFit="1" customWidth="1"/>
    <col min="4107" max="4107" width="4" style="1156" customWidth="1"/>
    <col min="4108" max="4108" width="5.08984375" style="1156" customWidth="1"/>
    <col min="4109" max="4109" width="13.7265625" style="1156" customWidth="1"/>
    <col min="4110" max="4352" width="9" style="1156"/>
    <col min="4353" max="4353" width="4.90625" style="1156" customWidth="1"/>
    <col min="4354" max="4354" width="13.26953125" style="1156" customWidth="1"/>
    <col min="4355" max="4355" width="15.6328125" style="1156" customWidth="1"/>
    <col min="4356" max="4356" width="9.36328125" style="1156" bestFit="1" customWidth="1"/>
    <col min="4357" max="4357" width="13.453125" style="1156" customWidth="1"/>
    <col min="4358" max="4358" width="9" style="1156"/>
    <col min="4359" max="4359" width="9.36328125" style="1156" bestFit="1" customWidth="1"/>
    <col min="4360" max="4361" width="9" style="1156"/>
    <col min="4362" max="4362" width="9.36328125" style="1156" bestFit="1" customWidth="1"/>
    <col min="4363" max="4363" width="4" style="1156" customWidth="1"/>
    <col min="4364" max="4364" width="5.08984375" style="1156" customWidth="1"/>
    <col min="4365" max="4365" width="13.7265625" style="1156" customWidth="1"/>
    <col min="4366" max="4608" width="9" style="1156"/>
    <col min="4609" max="4609" width="4.90625" style="1156" customWidth="1"/>
    <col min="4610" max="4610" width="13.26953125" style="1156" customWidth="1"/>
    <col min="4611" max="4611" width="15.6328125" style="1156" customWidth="1"/>
    <col min="4612" max="4612" width="9.36328125" style="1156" bestFit="1" customWidth="1"/>
    <col min="4613" max="4613" width="13.453125" style="1156" customWidth="1"/>
    <col min="4614" max="4614" width="9" style="1156"/>
    <col min="4615" max="4615" width="9.36328125" style="1156" bestFit="1" customWidth="1"/>
    <col min="4616" max="4617" width="9" style="1156"/>
    <col min="4618" max="4618" width="9.36328125" style="1156" bestFit="1" customWidth="1"/>
    <col min="4619" max="4619" width="4" style="1156" customWidth="1"/>
    <col min="4620" max="4620" width="5.08984375" style="1156" customWidth="1"/>
    <col min="4621" max="4621" width="13.7265625" style="1156" customWidth="1"/>
    <col min="4622" max="4864" width="9" style="1156"/>
    <col min="4865" max="4865" width="4.90625" style="1156" customWidth="1"/>
    <col min="4866" max="4866" width="13.26953125" style="1156" customWidth="1"/>
    <col min="4867" max="4867" width="15.6328125" style="1156" customWidth="1"/>
    <col min="4868" max="4868" width="9.36328125" style="1156" bestFit="1" customWidth="1"/>
    <col min="4869" max="4869" width="13.453125" style="1156" customWidth="1"/>
    <col min="4870" max="4870" width="9" style="1156"/>
    <col min="4871" max="4871" width="9.36328125" style="1156" bestFit="1" customWidth="1"/>
    <col min="4872" max="4873" width="9" style="1156"/>
    <col min="4874" max="4874" width="9.36328125" style="1156" bestFit="1" customWidth="1"/>
    <col min="4875" max="4875" width="4" style="1156" customWidth="1"/>
    <col min="4876" max="4876" width="5.08984375" style="1156" customWidth="1"/>
    <col min="4877" max="4877" width="13.7265625" style="1156" customWidth="1"/>
    <col min="4878" max="5120" width="9" style="1156"/>
    <col min="5121" max="5121" width="4.90625" style="1156" customWidth="1"/>
    <col min="5122" max="5122" width="13.26953125" style="1156" customWidth="1"/>
    <col min="5123" max="5123" width="15.6328125" style="1156" customWidth="1"/>
    <col min="5124" max="5124" width="9.36328125" style="1156" bestFit="1" customWidth="1"/>
    <col min="5125" max="5125" width="13.453125" style="1156" customWidth="1"/>
    <col min="5126" max="5126" width="9" style="1156"/>
    <col min="5127" max="5127" width="9.36328125" style="1156" bestFit="1" customWidth="1"/>
    <col min="5128" max="5129" width="9" style="1156"/>
    <col min="5130" max="5130" width="9.36328125" style="1156" bestFit="1" customWidth="1"/>
    <col min="5131" max="5131" width="4" style="1156" customWidth="1"/>
    <col min="5132" max="5132" width="5.08984375" style="1156" customWidth="1"/>
    <col min="5133" max="5133" width="13.7265625" style="1156" customWidth="1"/>
    <col min="5134" max="5376" width="9" style="1156"/>
    <col min="5377" max="5377" width="4.90625" style="1156" customWidth="1"/>
    <col min="5378" max="5378" width="13.26953125" style="1156" customWidth="1"/>
    <col min="5379" max="5379" width="15.6328125" style="1156" customWidth="1"/>
    <col min="5380" max="5380" width="9.36328125" style="1156" bestFit="1" customWidth="1"/>
    <col min="5381" max="5381" width="13.453125" style="1156" customWidth="1"/>
    <col min="5382" max="5382" width="9" style="1156"/>
    <col min="5383" max="5383" width="9.36328125" style="1156" bestFit="1" customWidth="1"/>
    <col min="5384" max="5385" width="9" style="1156"/>
    <col min="5386" max="5386" width="9.36328125" style="1156" bestFit="1" customWidth="1"/>
    <col min="5387" max="5387" width="4" style="1156" customWidth="1"/>
    <col min="5388" max="5388" width="5.08984375" style="1156" customWidth="1"/>
    <col min="5389" max="5389" width="13.7265625" style="1156" customWidth="1"/>
    <col min="5390" max="5632" width="9" style="1156"/>
    <col min="5633" max="5633" width="4.90625" style="1156" customWidth="1"/>
    <col min="5634" max="5634" width="13.26953125" style="1156" customWidth="1"/>
    <col min="5635" max="5635" width="15.6328125" style="1156" customWidth="1"/>
    <col min="5636" max="5636" width="9.36328125" style="1156" bestFit="1" customWidth="1"/>
    <col min="5637" max="5637" width="13.453125" style="1156" customWidth="1"/>
    <col min="5638" max="5638" width="9" style="1156"/>
    <col min="5639" max="5639" width="9.36328125" style="1156" bestFit="1" customWidth="1"/>
    <col min="5640" max="5641" width="9" style="1156"/>
    <col min="5642" max="5642" width="9.36328125" style="1156" bestFit="1" customWidth="1"/>
    <col min="5643" max="5643" width="4" style="1156" customWidth="1"/>
    <col min="5644" max="5644" width="5.08984375" style="1156" customWidth="1"/>
    <col min="5645" max="5645" width="13.7265625" style="1156" customWidth="1"/>
    <col min="5646" max="5888" width="9" style="1156"/>
    <col min="5889" max="5889" width="4.90625" style="1156" customWidth="1"/>
    <col min="5890" max="5890" width="13.26953125" style="1156" customWidth="1"/>
    <col min="5891" max="5891" width="15.6328125" style="1156" customWidth="1"/>
    <col min="5892" max="5892" width="9.36328125" style="1156" bestFit="1" customWidth="1"/>
    <col min="5893" max="5893" width="13.453125" style="1156" customWidth="1"/>
    <col min="5894" max="5894" width="9" style="1156"/>
    <col min="5895" max="5895" width="9.36328125" style="1156" bestFit="1" customWidth="1"/>
    <col min="5896" max="5897" width="9" style="1156"/>
    <col min="5898" max="5898" width="9.36328125" style="1156" bestFit="1" customWidth="1"/>
    <col min="5899" max="5899" width="4" style="1156" customWidth="1"/>
    <col min="5900" max="5900" width="5.08984375" style="1156" customWidth="1"/>
    <col min="5901" max="5901" width="13.7265625" style="1156" customWidth="1"/>
    <col min="5902" max="6144" width="9" style="1156"/>
    <col min="6145" max="6145" width="4.90625" style="1156" customWidth="1"/>
    <col min="6146" max="6146" width="13.26953125" style="1156" customWidth="1"/>
    <col min="6147" max="6147" width="15.6328125" style="1156" customWidth="1"/>
    <col min="6148" max="6148" width="9.36328125" style="1156" bestFit="1" customWidth="1"/>
    <col min="6149" max="6149" width="13.453125" style="1156" customWidth="1"/>
    <col min="6150" max="6150" width="9" style="1156"/>
    <col min="6151" max="6151" width="9.36328125" style="1156" bestFit="1" customWidth="1"/>
    <col min="6152" max="6153" width="9" style="1156"/>
    <col min="6154" max="6154" width="9.36328125" style="1156" bestFit="1" customWidth="1"/>
    <col min="6155" max="6155" width="4" style="1156" customWidth="1"/>
    <col min="6156" max="6156" width="5.08984375" style="1156" customWidth="1"/>
    <col min="6157" max="6157" width="13.7265625" style="1156" customWidth="1"/>
    <col min="6158" max="6400" width="9" style="1156"/>
    <col min="6401" max="6401" width="4.90625" style="1156" customWidth="1"/>
    <col min="6402" max="6402" width="13.26953125" style="1156" customWidth="1"/>
    <col min="6403" max="6403" width="15.6328125" style="1156" customWidth="1"/>
    <col min="6404" max="6404" width="9.36328125" style="1156" bestFit="1" customWidth="1"/>
    <col min="6405" max="6405" width="13.453125" style="1156" customWidth="1"/>
    <col min="6406" max="6406" width="9" style="1156"/>
    <col min="6407" max="6407" width="9.36328125" style="1156" bestFit="1" customWidth="1"/>
    <col min="6408" max="6409" width="9" style="1156"/>
    <col min="6410" max="6410" width="9.36328125" style="1156" bestFit="1" customWidth="1"/>
    <col min="6411" max="6411" width="4" style="1156" customWidth="1"/>
    <col min="6412" max="6412" width="5.08984375" style="1156" customWidth="1"/>
    <col min="6413" max="6413" width="13.7265625" style="1156" customWidth="1"/>
    <col min="6414" max="6656" width="9" style="1156"/>
    <col min="6657" max="6657" width="4.90625" style="1156" customWidth="1"/>
    <col min="6658" max="6658" width="13.26953125" style="1156" customWidth="1"/>
    <col min="6659" max="6659" width="15.6328125" style="1156" customWidth="1"/>
    <col min="6660" max="6660" width="9.36328125" style="1156" bestFit="1" customWidth="1"/>
    <col min="6661" max="6661" width="13.453125" style="1156" customWidth="1"/>
    <col min="6662" max="6662" width="9" style="1156"/>
    <col min="6663" max="6663" width="9.36328125" style="1156" bestFit="1" customWidth="1"/>
    <col min="6664" max="6665" width="9" style="1156"/>
    <col min="6666" max="6666" width="9.36328125" style="1156" bestFit="1" customWidth="1"/>
    <col min="6667" max="6667" width="4" style="1156" customWidth="1"/>
    <col min="6668" max="6668" width="5.08984375" style="1156" customWidth="1"/>
    <col min="6669" max="6669" width="13.7265625" style="1156" customWidth="1"/>
    <col min="6670" max="6912" width="9" style="1156"/>
    <col min="6913" max="6913" width="4.90625" style="1156" customWidth="1"/>
    <col min="6914" max="6914" width="13.26953125" style="1156" customWidth="1"/>
    <col min="6915" max="6915" width="15.6328125" style="1156" customWidth="1"/>
    <col min="6916" max="6916" width="9.36328125" style="1156" bestFit="1" customWidth="1"/>
    <col min="6917" max="6917" width="13.453125" style="1156" customWidth="1"/>
    <col min="6918" max="6918" width="9" style="1156"/>
    <col min="6919" max="6919" width="9.36328125" style="1156" bestFit="1" customWidth="1"/>
    <col min="6920" max="6921" width="9" style="1156"/>
    <col min="6922" max="6922" width="9.36328125" style="1156" bestFit="1" customWidth="1"/>
    <col min="6923" max="6923" width="4" style="1156" customWidth="1"/>
    <col min="6924" max="6924" width="5.08984375" style="1156" customWidth="1"/>
    <col min="6925" max="6925" width="13.7265625" style="1156" customWidth="1"/>
    <col min="6926" max="7168" width="9" style="1156"/>
    <col min="7169" max="7169" width="4.90625" style="1156" customWidth="1"/>
    <col min="7170" max="7170" width="13.26953125" style="1156" customWidth="1"/>
    <col min="7171" max="7171" width="15.6328125" style="1156" customWidth="1"/>
    <col min="7172" max="7172" width="9.36328125" style="1156" bestFit="1" customWidth="1"/>
    <col min="7173" max="7173" width="13.453125" style="1156" customWidth="1"/>
    <col min="7174" max="7174" width="9" style="1156"/>
    <col min="7175" max="7175" width="9.36328125" style="1156" bestFit="1" customWidth="1"/>
    <col min="7176" max="7177" width="9" style="1156"/>
    <col min="7178" max="7178" width="9.36328125" style="1156" bestFit="1" customWidth="1"/>
    <col min="7179" max="7179" width="4" style="1156" customWidth="1"/>
    <col min="7180" max="7180" width="5.08984375" style="1156" customWidth="1"/>
    <col min="7181" max="7181" width="13.7265625" style="1156" customWidth="1"/>
    <col min="7182" max="7424" width="9" style="1156"/>
    <col min="7425" max="7425" width="4.90625" style="1156" customWidth="1"/>
    <col min="7426" max="7426" width="13.26953125" style="1156" customWidth="1"/>
    <col min="7427" max="7427" width="15.6328125" style="1156" customWidth="1"/>
    <col min="7428" max="7428" width="9.36328125" style="1156" bestFit="1" customWidth="1"/>
    <col min="7429" max="7429" width="13.453125" style="1156" customWidth="1"/>
    <col min="7430" max="7430" width="9" style="1156"/>
    <col min="7431" max="7431" width="9.36328125" style="1156" bestFit="1" customWidth="1"/>
    <col min="7432" max="7433" width="9" style="1156"/>
    <col min="7434" max="7434" width="9.36328125" style="1156" bestFit="1" customWidth="1"/>
    <col min="7435" max="7435" width="4" style="1156" customWidth="1"/>
    <col min="7436" max="7436" width="5.08984375" style="1156" customWidth="1"/>
    <col min="7437" max="7437" width="13.7265625" style="1156" customWidth="1"/>
    <col min="7438" max="7680" width="9" style="1156"/>
    <col min="7681" max="7681" width="4.90625" style="1156" customWidth="1"/>
    <col min="7682" max="7682" width="13.26953125" style="1156" customWidth="1"/>
    <col min="7683" max="7683" width="15.6328125" style="1156" customWidth="1"/>
    <col min="7684" max="7684" width="9.36328125" style="1156" bestFit="1" customWidth="1"/>
    <col min="7685" max="7685" width="13.453125" style="1156" customWidth="1"/>
    <col min="7686" max="7686" width="9" style="1156"/>
    <col min="7687" max="7687" width="9.36328125" style="1156" bestFit="1" customWidth="1"/>
    <col min="7688" max="7689" width="9" style="1156"/>
    <col min="7690" max="7690" width="9.36328125" style="1156" bestFit="1" customWidth="1"/>
    <col min="7691" max="7691" width="4" style="1156" customWidth="1"/>
    <col min="7692" max="7692" width="5.08984375" style="1156" customWidth="1"/>
    <col min="7693" max="7693" width="13.7265625" style="1156" customWidth="1"/>
    <col min="7694" max="7936" width="9" style="1156"/>
    <col min="7937" max="7937" width="4.90625" style="1156" customWidth="1"/>
    <col min="7938" max="7938" width="13.26953125" style="1156" customWidth="1"/>
    <col min="7939" max="7939" width="15.6328125" style="1156" customWidth="1"/>
    <col min="7940" max="7940" width="9.36328125" style="1156" bestFit="1" customWidth="1"/>
    <col min="7941" max="7941" width="13.453125" style="1156" customWidth="1"/>
    <col min="7942" max="7942" width="9" style="1156"/>
    <col min="7943" max="7943" width="9.36328125" style="1156" bestFit="1" customWidth="1"/>
    <col min="7944" max="7945" width="9" style="1156"/>
    <col min="7946" max="7946" width="9.36328125" style="1156" bestFit="1" customWidth="1"/>
    <col min="7947" max="7947" width="4" style="1156" customWidth="1"/>
    <col min="7948" max="7948" width="5.08984375" style="1156" customWidth="1"/>
    <col min="7949" max="7949" width="13.7265625" style="1156" customWidth="1"/>
    <col min="7950" max="8192" width="9" style="1156"/>
    <col min="8193" max="8193" width="4.90625" style="1156" customWidth="1"/>
    <col min="8194" max="8194" width="13.26953125" style="1156" customWidth="1"/>
    <col min="8195" max="8195" width="15.6328125" style="1156" customWidth="1"/>
    <col min="8196" max="8196" width="9.36328125" style="1156" bestFit="1" customWidth="1"/>
    <col min="8197" max="8197" width="13.453125" style="1156" customWidth="1"/>
    <col min="8198" max="8198" width="9" style="1156"/>
    <col min="8199" max="8199" width="9.36328125" style="1156" bestFit="1" customWidth="1"/>
    <col min="8200" max="8201" width="9" style="1156"/>
    <col min="8202" max="8202" width="9.36328125" style="1156" bestFit="1" customWidth="1"/>
    <col min="8203" max="8203" width="4" style="1156" customWidth="1"/>
    <col min="8204" max="8204" width="5.08984375" style="1156" customWidth="1"/>
    <col min="8205" max="8205" width="13.7265625" style="1156" customWidth="1"/>
    <col min="8206" max="8448" width="9" style="1156"/>
    <col min="8449" max="8449" width="4.90625" style="1156" customWidth="1"/>
    <col min="8450" max="8450" width="13.26953125" style="1156" customWidth="1"/>
    <col min="8451" max="8451" width="15.6328125" style="1156" customWidth="1"/>
    <col min="8452" max="8452" width="9.36328125" style="1156" bestFit="1" customWidth="1"/>
    <col min="8453" max="8453" width="13.453125" style="1156" customWidth="1"/>
    <col min="8454" max="8454" width="9" style="1156"/>
    <col min="8455" max="8455" width="9.36328125" style="1156" bestFit="1" customWidth="1"/>
    <col min="8456" max="8457" width="9" style="1156"/>
    <col min="8458" max="8458" width="9.36328125" style="1156" bestFit="1" customWidth="1"/>
    <col min="8459" max="8459" width="4" style="1156" customWidth="1"/>
    <col min="8460" max="8460" width="5.08984375" style="1156" customWidth="1"/>
    <col min="8461" max="8461" width="13.7265625" style="1156" customWidth="1"/>
    <col min="8462" max="8704" width="9" style="1156"/>
    <col min="8705" max="8705" width="4.90625" style="1156" customWidth="1"/>
    <col min="8706" max="8706" width="13.26953125" style="1156" customWidth="1"/>
    <col min="8707" max="8707" width="15.6328125" style="1156" customWidth="1"/>
    <col min="8708" max="8708" width="9.36328125" style="1156" bestFit="1" customWidth="1"/>
    <col min="8709" max="8709" width="13.453125" style="1156" customWidth="1"/>
    <col min="8710" max="8710" width="9" style="1156"/>
    <col min="8711" max="8711" width="9.36328125" style="1156" bestFit="1" customWidth="1"/>
    <col min="8712" max="8713" width="9" style="1156"/>
    <col min="8714" max="8714" width="9.36328125" style="1156" bestFit="1" customWidth="1"/>
    <col min="8715" max="8715" width="4" style="1156" customWidth="1"/>
    <col min="8716" max="8716" width="5.08984375" style="1156" customWidth="1"/>
    <col min="8717" max="8717" width="13.7265625" style="1156" customWidth="1"/>
    <col min="8718" max="8960" width="9" style="1156"/>
    <col min="8961" max="8961" width="4.90625" style="1156" customWidth="1"/>
    <col min="8962" max="8962" width="13.26953125" style="1156" customWidth="1"/>
    <col min="8963" max="8963" width="15.6328125" style="1156" customWidth="1"/>
    <col min="8964" max="8964" width="9.36328125" style="1156" bestFit="1" customWidth="1"/>
    <col min="8965" max="8965" width="13.453125" style="1156" customWidth="1"/>
    <col min="8966" max="8966" width="9" style="1156"/>
    <col min="8967" max="8967" width="9.36328125" style="1156" bestFit="1" customWidth="1"/>
    <col min="8968" max="8969" width="9" style="1156"/>
    <col min="8970" max="8970" width="9.36328125" style="1156" bestFit="1" customWidth="1"/>
    <col min="8971" max="8971" width="4" style="1156" customWidth="1"/>
    <col min="8972" max="8972" width="5.08984375" style="1156" customWidth="1"/>
    <col min="8973" max="8973" width="13.7265625" style="1156" customWidth="1"/>
    <col min="8974" max="9216" width="9" style="1156"/>
    <col min="9217" max="9217" width="4.90625" style="1156" customWidth="1"/>
    <col min="9218" max="9218" width="13.26953125" style="1156" customWidth="1"/>
    <col min="9219" max="9219" width="15.6328125" style="1156" customWidth="1"/>
    <col min="9220" max="9220" width="9.36328125" style="1156" bestFit="1" customWidth="1"/>
    <col min="9221" max="9221" width="13.453125" style="1156" customWidth="1"/>
    <col min="9222" max="9222" width="9" style="1156"/>
    <col min="9223" max="9223" width="9.36328125" style="1156" bestFit="1" customWidth="1"/>
    <col min="9224" max="9225" width="9" style="1156"/>
    <col min="9226" max="9226" width="9.36328125" style="1156" bestFit="1" customWidth="1"/>
    <col min="9227" max="9227" width="4" style="1156" customWidth="1"/>
    <col min="9228" max="9228" width="5.08984375" style="1156" customWidth="1"/>
    <col min="9229" max="9229" width="13.7265625" style="1156" customWidth="1"/>
    <col min="9230" max="9472" width="9" style="1156"/>
    <col min="9473" max="9473" width="4.90625" style="1156" customWidth="1"/>
    <col min="9474" max="9474" width="13.26953125" style="1156" customWidth="1"/>
    <col min="9475" max="9475" width="15.6328125" style="1156" customWidth="1"/>
    <col min="9476" max="9476" width="9.36328125" style="1156" bestFit="1" customWidth="1"/>
    <col min="9477" max="9477" width="13.453125" style="1156" customWidth="1"/>
    <col min="9478" max="9478" width="9" style="1156"/>
    <col min="9479" max="9479" width="9.36328125" style="1156" bestFit="1" customWidth="1"/>
    <col min="9480" max="9481" width="9" style="1156"/>
    <col min="9482" max="9482" width="9.36328125" style="1156" bestFit="1" customWidth="1"/>
    <col min="9483" max="9483" width="4" style="1156" customWidth="1"/>
    <col min="9484" max="9484" width="5.08984375" style="1156" customWidth="1"/>
    <col min="9485" max="9485" width="13.7265625" style="1156" customWidth="1"/>
    <col min="9486" max="9728" width="9" style="1156"/>
    <col min="9729" max="9729" width="4.90625" style="1156" customWidth="1"/>
    <col min="9730" max="9730" width="13.26953125" style="1156" customWidth="1"/>
    <col min="9731" max="9731" width="15.6328125" style="1156" customWidth="1"/>
    <col min="9732" max="9732" width="9.36328125" style="1156" bestFit="1" customWidth="1"/>
    <col min="9733" max="9733" width="13.453125" style="1156" customWidth="1"/>
    <col min="9734" max="9734" width="9" style="1156"/>
    <col min="9735" max="9735" width="9.36328125" style="1156" bestFit="1" customWidth="1"/>
    <col min="9736" max="9737" width="9" style="1156"/>
    <col min="9738" max="9738" width="9.36328125" style="1156" bestFit="1" customWidth="1"/>
    <col min="9739" max="9739" width="4" style="1156" customWidth="1"/>
    <col min="9740" max="9740" width="5.08984375" style="1156" customWidth="1"/>
    <col min="9741" max="9741" width="13.7265625" style="1156" customWidth="1"/>
    <col min="9742" max="9984" width="9" style="1156"/>
    <col min="9985" max="9985" width="4.90625" style="1156" customWidth="1"/>
    <col min="9986" max="9986" width="13.26953125" style="1156" customWidth="1"/>
    <col min="9987" max="9987" width="15.6328125" style="1156" customWidth="1"/>
    <col min="9988" max="9988" width="9.36328125" style="1156" bestFit="1" customWidth="1"/>
    <col min="9989" max="9989" width="13.453125" style="1156" customWidth="1"/>
    <col min="9990" max="9990" width="9" style="1156"/>
    <col min="9991" max="9991" width="9.36328125" style="1156" bestFit="1" customWidth="1"/>
    <col min="9992" max="9993" width="9" style="1156"/>
    <col min="9994" max="9994" width="9.36328125" style="1156" bestFit="1" customWidth="1"/>
    <col min="9995" max="9995" width="4" style="1156" customWidth="1"/>
    <col min="9996" max="9996" width="5.08984375" style="1156" customWidth="1"/>
    <col min="9997" max="9997" width="13.7265625" style="1156" customWidth="1"/>
    <col min="9998" max="10240" width="9" style="1156"/>
    <col min="10241" max="10241" width="4.90625" style="1156" customWidth="1"/>
    <col min="10242" max="10242" width="13.26953125" style="1156" customWidth="1"/>
    <col min="10243" max="10243" width="15.6328125" style="1156" customWidth="1"/>
    <col min="10244" max="10244" width="9.36328125" style="1156" bestFit="1" customWidth="1"/>
    <col min="10245" max="10245" width="13.453125" style="1156" customWidth="1"/>
    <col min="10246" max="10246" width="9" style="1156"/>
    <col min="10247" max="10247" width="9.36328125" style="1156" bestFit="1" customWidth="1"/>
    <col min="10248" max="10249" width="9" style="1156"/>
    <col min="10250" max="10250" width="9.36328125" style="1156" bestFit="1" customWidth="1"/>
    <col min="10251" max="10251" width="4" style="1156" customWidth="1"/>
    <col min="10252" max="10252" width="5.08984375" style="1156" customWidth="1"/>
    <col min="10253" max="10253" width="13.7265625" style="1156" customWidth="1"/>
    <col min="10254" max="10496" width="9" style="1156"/>
    <col min="10497" max="10497" width="4.90625" style="1156" customWidth="1"/>
    <col min="10498" max="10498" width="13.26953125" style="1156" customWidth="1"/>
    <col min="10499" max="10499" width="15.6328125" style="1156" customWidth="1"/>
    <col min="10500" max="10500" width="9.36328125" style="1156" bestFit="1" customWidth="1"/>
    <col min="10501" max="10501" width="13.453125" style="1156" customWidth="1"/>
    <col min="10502" max="10502" width="9" style="1156"/>
    <col min="10503" max="10503" width="9.36328125" style="1156" bestFit="1" customWidth="1"/>
    <col min="10504" max="10505" width="9" style="1156"/>
    <col min="10506" max="10506" width="9.36328125" style="1156" bestFit="1" customWidth="1"/>
    <col min="10507" max="10507" width="4" style="1156" customWidth="1"/>
    <col min="10508" max="10508" width="5.08984375" style="1156" customWidth="1"/>
    <col min="10509" max="10509" width="13.7265625" style="1156" customWidth="1"/>
    <col min="10510" max="10752" width="9" style="1156"/>
    <col min="10753" max="10753" width="4.90625" style="1156" customWidth="1"/>
    <col min="10754" max="10754" width="13.26953125" style="1156" customWidth="1"/>
    <col min="10755" max="10755" width="15.6328125" style="1156" customWidth="1"/>
    <col min="10756" max="10756" width="9.36328125" style="1156" bestFit="1" customWidth="1"/>
    <col min="10757" max="10757" width="13.453125" style="1156" customWidth="1"/>
    <col min="10758" max="10758" width="9" style="1156"/>
    <col min="10759" max="10759" width="9.36328125" style="1156" bestFit="1" customWidth="1"/>
    <col min="10760" max="10761" width="9" style="1156"/>
    <col min="10762" max="10762" width="9.36328125" style="1156" bestFit="1" customWidth="1"/>
    <col min="10763" max="10763" width="4" style="1156" customWidth="1"/>
    <col min="10764" max="10764" width="5.08984375" style="1156" customWidth="1"/>
    <col min="10765" max="10765" width="13.7265625" style="1156" customWidth="1"/>
    <col min="10766" max="11008" width="9" style="1156"/>
    <col min="11009" max="11009" width="4.90625" style="1156" customWidth="1"/>
    <col min="11010" max="11010" width="13.26953125" style="1156" customWidth="1"/>
    <col min="11011" max="11011" width="15.6328125" style="1156" customWidth="1"/>
    <col min="11012" max="11012" width="9.36328125" style="1156" bestFit="1" customWidth="1"/>
    <col min="11013" max="11013" width="13.453125" style="1156" customWidth="1"/>
    <col min="11014" max="11014" width="9" style="1156"/>
    <col min="11015" max="11015" width="9.36328125" style="1156" bestFit="1" customWidth="1"/>
    <col min="11016" max="11017" width="9" style="1156"/>
    <col min="11018" max="11018" width="9.36328125" style="1156" bestFit="1" customWidth="1"/>
    <col min="11019" max="11019" width="4" style="1156" customWidth="1"/>
    <col min="11020" max="11020" width="5.08984375" style="1156" customWidth="1"/>
    <col min="11021" max="11021" width="13.7265625" style="1156" customWidth="1"/>
    <col min="11022" max="11264" width="9" style="1156"/>
    <col min="11265" max="11265" width="4.90625" style="1156" customWidth="1"/>
    <col min="11266" max="11266" width="13.26953125" style="1156" customWidth="1"/>
    <col min="11267" max="11267" width="15.6328125" style="1156" customWidth="1"/>
    <col min="11268" max="11268" width="9.36328125" style="1156" bestFit="1" customWidth="1"/>
    <col min="11269" max="11269" width="13.453125" style="1156" customWidth="1"/>
    <col min="11270" max="11270" width="9" style="1156"/>
    <col min="11271" max="11271" width="9.36328125" style="1156" bestFit="1" customWidth="1"/>
    <col min="11272" max="11273" width="9" style="1156"/>
    <col min="11274" max="11274" width="9.36328125" style="1156" bestFit="1" customWidth="1"/>
    <col min="11275" max="11275" width="4" style="1156" customWidth="1"/>
    <col min="11276" max="11276" width="5.08984375" style="1156" customWidth="1"/>
    <col min="11277" max="11277" width="13.7265625" style="1156" customWidth="1"/>
    <col min="11278" max="11520" width="9" style="1156"/>
    <col min="11521" max="11521" width="4.90625" style="1156" customWidth="1"/>
    <col min="11522" max="11522" width="13.26953125" style="1156" customWidth="1"/>
    <col min="11523" max="11523" width="15.6328125" style="1156" customWidth="1"/>
    <col min="11524" max="11524" width="9.36328125" style="1156" bestFit="1" customWidth="1"/>
    <col min="11525" max="11525" width="13.453125" style="1156" customWidth="1"/>
    <col min="11526" max="11526" width="9" style="1156"/>
    <col min="11527" max="11527" width="9.36328125" style="1156" bestFit="1" customWidth="1"/>
    <col min="11528" max="11529" width="9" style="1156"/>
    <col min="11530" max="11530" width="9.36328125" style="1156" bestFit="1" customWidth="1"/>
    <col min="11531" max="11531" width="4" style="1156" customWidth="1"/>
    <col min="11532" max="11532" width="5.08984375" style="1156" customWidth="1"/>
    <col min="11533" max="11533" width="13.7265625" style="1156" customWidth="1"/>
    <col min="11534" max="11776" width="9" style="1156"/>
    <col min="11777" max="11777" width="4.90625" style="1156" customWidth="1"/>
    <col min="11778" max="11778" width="13.26953125" style="1156" customWidth="1"/>
    <col min="11779" max="11779" width="15.6328125" style="1156" customWidth="1"/>
    <col min="11780" max="11780" width="9.36328125" style="1156" bestFit="1" customWidth="1"/>
    <col min="11781" max="11781" width="13.453125" style="1156" customWidth="1"/>
    <col min="11782" max="11782" width="9" style="1156"/>
    <col min="11783" max="11783" width="9.36328125" style="1156" bestFit="1" customWidth="1"/>
    <col min="11784" max="11785" width="9" style="1156"/>
    <col min="11786" max="11786" width="9.36328125" style="1156" bestFit="1" customWidth="1"/>
    <col min="11787" max="11787" width="4" style="1156" customWidth="1"/>
    <col min="11788" max="11788" width="5.08984375" style="1156" customWidth="1"/>
    <col min="11789" max="11789" width="13.7265625" style="1156" customWidth="1"/>
    <col min="11790" max="12032" width="9" style="1156"/>
    <col min="12033" max="12033" width="4.90625" style="1156" customWidth="1"/>
    <col min="12034" max="12034" width="13.26953125" style="1156" customWidth="1"/>
    <col min="12035" max="12035" width="15.6328125" style="1156" customWidth="1"/>
    <col min="12036" max="12036" width="9.36328125" style="1156" bestFit="1" customWidth="1"/>
    <col min="12037" max="12037" width="13.453125" style="1156" customWidth="1"/>
    <col min="12038" max="12038" width="9" style="1156"/>
    <col min="12039" max="12039" width="9.36328125" style="1156" bestFit="1" customWidth="1"/>
    <col min="12040" max="12041" width="9" style="1156"/>
    <col min="12042" max="12042" width="9.36328125" style="1156" bestFit="1" customWidth="1"/>
    <col min="12043" max="12043" width="4" style="1156" customWidth="1"/>
    <col min="12044" max="12044" width="5.08984375" style="1156" customWidth="1"/>
    <col min="12045" max="12045" width="13.7265625" style="1156" customWidth="1"/>
    <col min="12046" max="12288" width="9" style="1156"/>
    <col min="12289" max="12289" width="4.90625" style="1156" customWidth="1"/>
    <col min="12290" max="12290" width="13.26953125" style="1156" customWidth="1"/>
    <col min="12291" max="12291" width="15.6328125" style="1156" customWidth="1"/>
    <col min="12292" max="12292" width="9.36328125" style="1156" bestFit="1" customWidth="1"/>
    <col min="12293" max="12293" width="13.453125" style="1156" customWidth="1"/>
    <col min="12294" max="12294" width="9" style="1156"/>
    <col min="12295" max="12295" width="9.36328125" style="1156" bestFit="1" customWidth="1"/>
    <col min="12296" max="12297" width="9" style="1156"/>
    <col min="12298" max="12298" width="9.36328125" style="1156" bestFit="1" customWidth="1"/>
    <col min="12299" max="12299" width="4" style="1156" customWidth="1"/>
    <col min="12300" max="12300" width="5.08984375" style="1156" customWidth="1"/>
    <col min="12301" max="12301" width="13.7265625" style="1156" customWidth="1"/>
    <col min="12302" max="12544" width="9" style="1156"/>
    <col min="12545" max="12545" width="4.90625" style="1156" customWidth="1"/>
    <col min="12546" max="12546" width="13.26953125" style="1156" customWidth="1"/>
    <col min="12547" max="12547" width="15.6328125" style="1156" customWidth="1"/>
    <col min="12548" max="12548" width="9.36328125" style="1156" bestFit="1" customWidth="1"/>
    <col min="12549" max="12549" width="13.453125" style="1156" customWidth="1"/>
    <col min="12550" max="12550" width="9" style="1156"/>
    <col min="12551" max="12551" width="9.36328125" style="1156" bestFit="1" customWidth="1"/>
    <col min="12552" max="12553" width="9" style="1156"/>
    <col min="12554" max="12554" width="9.36328125" style="1156" bestFit="1" customWidth="1"/>
    <col min="12555" max="12555" width="4" style="1156" customWidth="1"/>
    <col min="12556" max="12556" width="5.08984375" style="1156" customWidth="1"/>
    <col min="12557" max="12557" width="13.7265625" style="1156" customWidth="1"/>
    <col min="12558" max="12800" width="9" style="1156"/>
    <col min="12801" max="12801" width="4.90625" style="1156" customWidth="1"/>
    <col min="12802" max="12802" width="13.26953125" style="1156" customWidth="1"/>
    <col min="12803" max="12803" width="15.6328125" style="1156" customWidth="1"/>
    <col min="12804" max="12804" width="9.36328125" style="1156" bestFit="1" customWidth="1"/>
    <col min="12805" max="12805" width="13.453125" style="1156" customWidth="1"/>
    <col min="12806" max="12806" width="9" style="1156"/>
    <col min="12807" max="12807" width="9.36328125" style="1156" bestFit="1" customWidth="1"/>
    <col min="12808" max="12809" width="9" style="1156"/>
    <col min="12810" max="12810" width="9.36328125" style="1156" bestFit="1" customWidth="1"/>
    <col min="12811" max="12811" width="4" style="1156" customWidth="1"/>
    <col min="12812" max="12812" width="5.08984375" style="1156" customWidth="1"/>
    <col min="12813" max="12813" width="13.7265625" style="1156" customWidth="1"/>
    <col min="12814" max="13056" width="9" style="1156"/>
    <col min="13057" max="13057" width="4.90625" style="1156" customWidth="1"/>
    <col min="13058" max="13058" width="13.26953125" style="1156" customWidth="1"/>
    <col min="13059" max="13059" width="15.6328125" style="1156" customWidth="1"/>
    <col min="13060" max="13060" width="9.36328125" style="1156" bestFit="1" customWidth="1"/>
    <col min="13061" max="13061" width="13.453125" style="1156" customWidth="1"/>
    <col min="13062" max="13062" width="9" style="1156"/>
    <col min="13063" max="13063" width="9.36328125" style="1156" bestFit="1" customWidth="1"/>
    <col min="13064" max="13065" width="9" style="1156"/>
    <col min="13066" max="13066" width="9.36328125" style="1156" bestFit="1" customWidth="1"/>
    <col min="13067" max="13067" width="4" style="1156" customWidth="1"/>
    <col min="13068" max="13068" width="5.08984375" style="1156" customWidth="1"/>
    <col min="13069" max="13069" width="13.7265625" style="1156" customWidth="1"/>
    <col min="13070" max="13312" width="9" style="1156"/>
    <col min="13313" max="13313" width="4.90625" style="1156" customWidth="1"/>
    <col min="13314" max="13314" width="13.26953125" style="1156" customWidth="1"/>
    <col min="13315" max="13315" width="15.6328125" style="1156" customWidth="1"/>
    <col min="13316" max="13316" width="9.36328125" style="1156" bestFit="1" customWidth="1"/>
    <col min="13317" max="13317" width="13.453125" style="1156" customWidth="1"/>
    <col min="13318" max="13318" width="9" style="1156"/>
    <col min="13319" max="13319" width="9.36328125" style="1156" bestFit="1" customWidth="1"/>
    <col min="13320" max="13321" width="9" style="1156"/>
    <col min="13322" max="13322" width="9.36328125" style="1156" bestFit="1" customWidth="1"/>
    <col min="13323" max="13323" width="4" style="1156" customWidth="1"/>
    <col min="13324" max="13324" width="5.08984375" style="1156" customWidth="1"/>
    <col min="13325" max="13325" width="13.7265625" style="1156" customWidth="1"/>
    <col min="13326" max="13568" width="9" style="1156"/>
    <col min="13569" max="13569" width="4.90625" style="1156" customWidth="1"/>
    <col min="13570" max="13570" width="13.26953125" style="1156" customWidth="1"/>
    <col min="13571" max="13571" width="15.6328125" style="1156" customWidth="1"/>
    <col min="13572" max="13572" width="9.36328125" style="1156" bestFit="1" customWidth="1"/>
    <col min="13573" max="13573" width="13.453125" style="1156" customWidth="1"/>
    <col min="13574" max="13574" width="9" style="1156"/>
    <col min="13575" max="13575" width="9.36328125" style="1156" bestFit="1" customWidth="1"/>
    <col min="13576" max="13577" width="9" style="1156"/>
    <col min="13578" max="13578" width="9.36328125" style="1156" bestFit="1" customWidth="1"/>
    <col min="13579" max="13579" width="4" style="1156" customWidth="1"/>
    <col min="13580" max="13580" width="5.08984375" style="1156" customWidth="1"/>
    <col min="13581" max="13581" width="13.7265625" style="1156" customWidth="1"/>
    <col min="13582" max="13824" width="9" style="1156"/>
    <col min="13825" max="13825" width="4.90625" style="1156" customWidth="1"/>
    <col min="13826" max="13826" width="13.26953125" style="1156" customWidth="1"/>
    <col min="13827" max="13827" width="15.6328125" style="1156" customWidth="1"/>
    <col min="13828" max="13828" width="9.36328125" style="1156" bestFit="1" customWidth="1"/>
    <col min="13829" max="13829" width="13.453125" style="1156" customWidth="1"/>
    <col min="13830" max="13830" width="9" style="1156"/>
    <col min="13831" max="13831" width="9.36328125" style="1156" bestFit="1" customWidth="1"/>
    <col min="13832" max="13833" width="9" style="1156"/>
    <col min="13834" max="13834" width="9.36328125" style="1156" bestFit="1" customWidth="1"/>
    <col min="13835" max="13835" width="4" style="1156" customWidth="1"/>
    <col min="13836" max="13836" width="5.08984375" style="1156" customWidth="1"/>
    <col min="13837" max="13837" width="13.7265625" style="1156" customWidth="1"/>
    <col min="13838" max="14080" width="9" style="1156"/>
    <col min="14081" max="14081" width="4.90625" style="1156" customWidth="1"/>
    <col min="14082" max="14082" width="13.26953125" style="1156" customWidth="1"/>
    <col min="14083" max="14083" width="15.6328125" style="1156" customWidth="1"/>
    <col min="14084" max="14084" width="9.36328125" style="1156" bestFit="1" customWidth="1"/>
    <col min="14085" max="14085" width="13.453125" style="1156" customWidth="1"/>
    <col min="14086" max="14086" width="9" style="1156"/>
    <col min="14087" max="14087" width="9.36328125" style="1156" bestFit="1" customWidth="1"/>
    <col min="14088" max="14089" width="9" style="1156"/>
    <col min="14090" max="14090" width="9.36328125" style="1156" bestFit="1" customWidth="1"/>
    <col min="14091" max="14091" width="4" style="1156" customWidth="1"/>
    <col min="14092" max="14092" width="5.08984375" style="1156" customWidth="1"/>
    <col min="14093" max="14093" width="13.7265625" style="1156" customWidth="1"/>
    <col min="14094" max="14336" width="9" style="1156"/>
    <col min="14337" max="14337" width="4.90625" style="1156" customWidth="1"/>
    <col min="14338" max="14338" width="13.26953125" style="1156" customWidth="1"/>
    <col min="14339" max="14339" width="15.6328125" style="1156" customWidth="1"/>
    <col min="14340" max="14340" width="9.36328125" style="1156" bestFit="1" customWidth="1"/>
    <col min="14341" max="14341" width="13.453125" style="1156" customWidth="1"/>
    <col min="14342" max="14342" width="9" style="1156"/>
    <col min="14343" max="14343" width="9.36328125" style="1156" bestFit="1" customWidth="1"/>
    <col min="14344" max="14345" width="9" style="1156"/>
    <col min="14346" max="14346" width="9.36328125" style="1156" bestFit="1" customWidth="1"/>
    <col min="14347" max="14347" width="4" style="1156" customWidth="1"/>
    <col min="14348" max="14348" width="5.08984375" style="1156" customWidth="1"/>
    <col min="14349" max="14349" width="13.7265625" style="1156" customWidth="1"/>
    <col min="14350" max="14592" width="9" style="1156"/>
    <col min="14593" max="14593" width="4.90625" style="1156" customWidth="1"/>
    <col min="14594" max="14594" width="13.26953125" style="1156" customWidth="1"/>
    <col min="14595" max="14595" width="15.6328125" style="1156" customWidth="1"/>
    <col min="14596" max="14596" width="9.36328125" style="1156" bestFit="1" customWidth="1"/>
    <col min="14597" max="14597" width="13.453125" style="1156" customWidth="1"/>
    <col min="14598" max="14598" width="9" style="1156"/>
    <col min="14599" max="14599" width="9.36328125" style="1156" bestFit="1" customWidth="1"/>
    <col min="14600" max="14601" width="9" style="1156"/>
    <col min="14602" max="14602" width="9.36328125" style="1156" bestFit="1" customWidth="1"/>
    <col min="14603" max="14603" width="4" style="1156" customWidth="1"/>
    <col min="14604" max="14604" width="5.08984375" style="1156" customWidth="1"/>
    <col min="14605" max="14605" width="13.7265625" style="1156" customWidth="1"/>
    <col min="14606" max="14848" width="9" style="1156"/>
    <col min="14849" max="14849" width="4.90625" style="1156" customWidth="1"/>
    <col min="14850" max="14850" width="13.26953125" style="1156" customWidth="1"/>
    <col min="14851" max="14851" width="15.6328125" style="1156" customWidth="1"/>
    <col min="14852" max="14852" width="9.36328125" style="1156" bestFit="1" customWidth="1"/>
    <col min="14853" max="14853" width="13.453125" style="1156" customWidth="1"/>
    <col min="14854" max="14854" width="9" style="1156"/>
    <col min="14855" max="14855" width="9.36328125" style="1156" bestFit="1" customWidth="1"/>
    <col min="14856" max="14857" width="9" style="1156"/>
    <col min="14858" max="14858" width="9.36328125" style="1156" bestFit="1" customWidth="1"/>
    <col min="14859" max="14859" width="4" style="1156" customWidth="1"/>
    <col min="14860" max="14860" width="5.08984375" style="1156" customWidth="1"/>
    <col min="14861" max="14861" width="13.7265625" style="1156" customWidth="1"/>
    <col min="14862" max="15104" width="9" style="1156"/>
    <col min="15105" max="15105" width="4.90625" style="1156" customWidth="1"/>
    <col min="15106" max="15106" width="13.26953125" style="1156" customWidth="1"/>
    <col min="15107" max="15107" width="15.6328125" style="1156" customWidth="1"/>
    <col min="15108" max="15108" width="9.36328125" style="1156" bestFit="1" customWidth="1"/>
    <col min="15109" max="15109" width="13.453125" style="1156" customWidth="1"/>
    <col min="15110" max="15110" width="9" style="1156"/>
    <col min="15111" max="15111" width="9.36328125" style="1156" bestFit="1" customWidth="1"/>
    <col min="15112" max="15113" width="9" style="1156"/>
    <col min="15114" max="15114" width="9.36328125" style="1156" bestFit="1" customWidth="1"/>
    <col min="15115" max="15115" width="4" style="1156" customWidth="1"/>
    <col min="15116" max="15116" width="5.08984375" style="1156" customWidth="1"/>
    <col min="15117" max="15117" width="13.7265625" style="1156" customWidth="1"/>
    <col min="15118" max="15360" width="9" style="1156"/>
    <col min="15361" max="15361" width="4.90625" style="1156" customWidth="1"/>
    <col min="15362" max="15362" width="13.26953125" style="1156" customWidth="1"/>
    <col min="15363" max="15363" width="15.6328125" style="1156" customWidth="1"/>
    <col min="15364" max="15364" width="9.36328125" style="1156" bestFit="1" customWidth="1"/>
    <col min="15365" max="15365" width="13.453125" style="1156" customWidth="1"/>
    <col min="15366" max="15366" width="9" style="1156"/>
    <col min="15367" max="15367" width="9.36328125" style="1156" bestFit="1" customWidth="1"/>
    <col min="15368" max="15369" width="9" style="1156"/>
    <col min="15370" max="15370" width="9.36328125" style="1156" bestFit="1" customWidth="1"/>
    <col min="15371" max="15371" width="4" style="1156" customWidth="1"/>
    <col min="15372" max="15372" width="5.08984375" style="1156" customWidth="1"/>
    <col min="15373" max="15373" width="13.7265625" style="1156" customWidth="1"/>
    <col min="15374" max="15616" width="9" style="1156"/>
    <col min="15617" max="15617" width="4.90625" style="1156" customWidth="1"/>
    <col min="15618" max="15618" width="13.26953125" style="1156" customWidth="1"/>
    <col min="15619" max="15619" width="15.6328125" style="1156" customWidth="1"/>
    <col min="15620" max="15620" width="9.36328125" style="1156" bestFit="1" customWidth="1"/>
    <col min="15621" max="15621" width="13.453125" style="1156" customWidth="1"/>
    <col min="15622" max="15622" width="9" style="1156"/>
    <col min="15623" max="15623" width="9.36328125" style="1156" bestFit="1" customWidth="1"/>
    <col min="15624" max="15625" width="9" style="1156"/>
    <col min="15626" max="15626" width="9.36328125" style="1156" bestFit="1" customWidth="1"/>
    <col min="15627" max="15627" width="4" style="1156" customWidth="1"/>
    <col min="15628" max="15628" width="5.08984375" style="1156" customWidth="1"/>
    <col min="15629" max="15629" width="13.7265625" style="1156" customWidth="1"/>
    <col min="15630" max="15872" width="9" style="1156"/>
    <col min="15873" max="15873" width="4.90625" style="1156" customWidth="1"/>
    <col min="15874" max="15874" width="13.26953125" style="1156" customWidth="1"/>
    <col min="15875" max="15875" width="15.6328125" style="1156" customWidth="1"/>
    <col min="15876" max="15876" width="9.36328125" style="1156" bestFit="1" customWidth="1"/>
    <col min="15877" max="15877" width="13.453125" style="1156" customWidth="1"/>
    <col min="15878" max="15878" width="9" style="1156"/>
    <col min="15879" max="15879" width="9.36328125" style="1156" bestFit="1" customWidth="1"/>
    <col min="15880" max="15881" width="9" style="1156"/>
    <col min="15882" max="15882" width="9.36328125" style="1156" bestFit="1" customWidth="1"/>
    <col min="15883" max="15883" width="4" style="1156" customWidth="1"/>
    <col min="15884" max="15884" width="5.08984375" style="1156" customWidth="1"/>
    <col min="15885" max="15885" width="13.7265625" style="1156" customWidth="1"/>
    <col min="15886" max="16128" width="9" style="1156"/>
    <col min="16129" max="16129" width="4.90625" style="1156" customWidth="1"/>
    <col min="16130" max="16130" width="13.26953125" style="1156" customWidth="1"/>
    <col min="16131" max="16131" width="15.6328125" style="1156" customWidth="1"/>
    <col min="16132" max="16132" width="9.36328125" style="1156" bestFit="1" customWidth="1"/>
    <col min="16133" max="16133" width="13.453125" style="1156" customWidth="1"/>
    <col min="16134" max="16134" width="9" style="1156"/>
    <col min="16135" max="16135" width="9.36328125" style="1156" bestFit="1" customWidth="1"/>
    <col min="16136" max="16137" width="9" style="1156"/>
    <col min="16138" max="16138" width="9.36328125" style="1156" bestFit="1" customWidth="1"/>
    <col min="16139" max="16139" width="4" style="1156" customWidth="1"/>
    <col min="16140" max="16140" width="5.08984375" style="1156" customWidth="1"/>
    <col min="16141" max="16141" width="13.7265625" style="1156" customWidth="1"/>
    <col min="16142" max="16384" width="9" style="1156"/>
  </cols>
  <sheetData>
    <row r="1" spans="1:257" s="1216" customFormat="1" ht="14.5" thickBot="1">
      <c r="A1" s="1210"/>
      <c r="B1" s="1217" t="s">
        <v>602</v>
      </c>
      <c r="C1" s="1211">
        <f>项目基本情况!D3</f>
        <v>45950</v>
      </c>
      <c r="D1" s="1217" t="s">
        <v>603</v>
      </c>
      <c r="E1" s="1212">
        <f>'数据-取费表'!B22</f>
        <v>2</v>
      </c>
      <c r="F1" s="1217" t="s">
        <v>604</v>
      </c>
      <c r="G1" s="1213">
        <f ca="1">IF(OR(C1&lt;C27,E1&lt;=1),INDIRECT("d"&amp;$K$1)/100,ROUND((D5+(E1-C5)*(D7-D5)/(C7-C5))/100,4))</f>
        <v>3.1300000000000001E-2</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4.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1">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3">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0">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5">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
  <cols>
    <col min="1" max="1" width="27.6328125" style="642" customWidth="1"/>
    <col min="2" max="9" width="12.08984375" style="642" customWidth="1"/>
    <col min="10" max="16384" width="9" style="642"/>
  </cols>
  <sheetData>
    <row r="1" spans="1:9" ht="18.5" thickBot="1">
      <c r="A1" s="3192" t="str">
        <f>IF(项目基本情况!B9="房地产市场价值","估价结果一览表","结果表-2")</f>
        <v>结果表-2</v>
      </c>
      <c r="B1" s="3192"/>
      <c r="C1" s="3192"/>
      <c r="D1" s="3192"/>
      <c r="E1" s="3192"/>
      <c r="F1" s="3192"/>
      <c r="G1" s="3192"/>
      <c r="H1" s="3192"/>
      <c r="I1" s="3192"/>
    </row>
    <row r="2" spans="1:9" ht="30" customHeight="1" thickTop="1">
      <c r="A2" s="3193" t="s">
        <v>928</v>
      </c>
      <c r="B2" s="3193" t="s">
        <v>929</v>
      </c>
      <c r="C2" s="3193" t="s">
        <v>930</v>
      </c>
      <c r="D2" s="3193" t="str">
        <f>结果表!D116</f>
        <v>出让国有建设用地使用权价值</v>
      </c>
      <c r="E2" s="3193"/>
      <c r="F2" s="3193" t="str">
        <f>结果表!F116</f>
        <v>在建建筑物价值</v>
      </c>
      <c r="G2" s="3193"/>
      <c r="H2" s="3193" t="str">
        <f>IF(项目基本情况!B9="房地产市场价值","房地产市场价值","房地产价值")</f>
        <v>房地产价值</v>
      </c>
      <c r="I2" s="3193"/>
    </row>
    <row r="3" spans="1:9" ht="16">
      <c r="A3" s="3194"/>
      <c r="B3" s="3194"/>
      <c r="C3" s="3194"/>
      <c r="D3" s="801" t="s">
        <v>925</v>
      </c>
      <c r="E3" s="801" t="s">
        <v>931</v>
      </c>
      <c r="F3" s="801" t="s">
        <v>925</v>
      </c>
      <c r="G3" s="801" t="s">
        <v>926</v>
      </c>
      <c r="H3" s="801" t="s">
        <v>925</v>
      </c>
      <c r="I3" s="801" t="s">
        <v>926</v>
      </c>
    </row>
    <row r="4" spans="1:9" ht="31">
      <c r="A4" s="1403" t="str">
        <f>项目基本情况!S2</f>
        <v>北京市朝阳区望京园603号楼8层907房地产</v>
      </c>
      <c r="B4" s="801">
        <f>项目基本情况!C17</f>
        <v>55.89</v>
      </c>
      <c r="C4" s="801">
        <f>项目基本情况!C18</f>
        <v>0</v>
      </c>
      <c r="D4" s="801">
        <f>结果表!D118</f>
        <v>0</v>
      </c>
      <c r="E4" s="801">
        <f>结果表!E118</f>
        <v>0</v>
      </c>
      <c r="F4" s="801">
        <f>结果表!F118</f>
        <v>0</v>
      </c>
      <c r="G4" s="801">
        <f>结果表!G118</f>
        <v>0</v>
      </c>
      <c r="H4" s="801">
        <f ca="1">结果表!H118</f>
        <v>123.41</v>
      </c>
      <c r="I4" s="801">
        <f ca="1">结果表!I118</f>
        <v>22080</v>
      </c>
    </row>
    <row r="5" spans="1:9" ht="30" customHeight="1">
      <c r="A5" s="3194" t="s">
        <v>927</v>
      </c>
      <c r="B5" s="3194"/>
      <c r="C5" s="3194"/>
      <c r="D5" s="3194" t="str">
        <f>结果表!D119</f>
        <v>零元整</v>
      </c>
      <c r="E5" s="3194"/>
      <c r="F5" s="3194" t="str">
        <f>结果表!F119</f>
        <v>零元整</v>
      </c>
      <c r="G5" s="3194"/>
      <c r="H5" s="3194" t="str">
        <f ca="1">结果表!H119</f>
        <v>壹佰贰拾叁万肆仟壹佰元整</v>
      </c>
      <c r="I5" s="3194"/>
    </row>
    <row r="6" spans="1:9" ht="15.5">
      <c r="A6" s="3195" t="str">
        <f>结果表!A120</f>
        <v>估价师知悉的法定优先受偿款</v>
      </c>
      <c r="B6" s="3195"/>
      <c r="C6" s="3195"/>
      <c r="D6" s="3195">
        <f>结果表!D120</f>
        <v>0</v>
      </c>
      <c r="E6" s="3195"/>
      <c r="F6" s="3195"/>
      <c r="G6" s="3195"/>
      <c r="H6" s="3195"/>
      <c r="I6" s="3195"/>
    </row>
    <row r="7" spans="1:9" ht="15.5">
      <c r="A7" s="3194" t="s">
        <v>927</v>
      </c>
      <c r="B7" s="3194"/>
      <c r="C7" s="3194"/>
      <c r="D7" s="3196" t="str">
        <f>结果表!D121</f>
        <v>零元整</v>
      </c>
      <c r="E7" s="3197"/>
      <c r="F7" s="3197"/>
      <c r="G7" s="3197"/>
      <c r="H7" s="3197"/>
      <c r="I7" s="3198"/>
    </row>
    <row r="8" spans="1:9" ht="15.5">
      <c r="A8" s="3195" t="str">
        <f>结果表!A122</f>
        <v>房地产抵押价值</v>
      </c>
      <c r="B8" s="3195"/>
      <c r="C8" s="3195"/>
      <c r="D8" s="3195">
        <f ca="1">结果表!D122</f>
        <v>123.41</v>
      </c>
      <c r="E8" s="3195"/>
      <c r="F8" s="3195"/>
      <c r="G8" s="3195"/>
      <c r="H8" s="3195"/>
      <c r="I8" s="3195"/>
    </row>
    <row r="9" spans="1:9" ht="15.5">
      <c r="A9" s="3194" t="s">
        <v>927</v>
      </c>
      <c r="B9" s="3194"/>
      <c r="C9" s="3194"/>
      <c r="D9" s="3194" t="str">
        <f ca="1">结果表!D123</f>
        <v>壹佰贰拾叁万肆仟壹佰元整</v>
      </c>
      <c r="E9" s="3194"/>
      <c r="F9" s="3194"/>
      <c r="G9" s="3194"/>
      <c r="H9" s="3194"/>
      <c r="I9" s="3194"/>
    </row>
    <row r="10" spans="1:9" ht="15.5">
      <c r="A10" s="3195" t="str">
        <f>结果表!A124</f>
        <v/>
      </c>
      <c r="B10" s="3195"/>
      <c r="C10" s="3195"/>
      <c r="D10" s="3195" t="str">
        <f>结果表!D124</f>
        <v>——</v>
      </c>
      <c r="E10" s="3195"/>
      <c r="F10" s="3195"/>
      <c r="G10" s="3195"/>
      <c r="H10" s="3195"/>
      <c r="I10" s="3195"/>
    </row>
    <row r="11" spans="1:9" ht="15.5">
      <c r="A11" s="3194" t="s">
        <v>927</v>
      </c>
      <c r="B11" s="3194"/>
      <c r="C11" s="3194"/>
      <c r="D11" s="3194" t="e">
        <f>结果表!D125</f>
        <v>#VALUE!</v>
      </c>
      <c r="E11" s="3194"/>
      <c r="F11" s="3194"/>
      <c r="G11" s="3194"/>
      <c r="H11" s="3194"/>
      <c r="I11" s="3194"/>
    </row>
    <row r="12" spans="1:9" ht="15.5">
      <c r="A12" s="3195" t="str">
        <f>结果表!A126</f>
        <v/>
      </c>
      <c r="B12" s="3195"/>
      <c r="C12" s="3195"/>
      <c r="D12" s="3195" t="str">
        <f>结果表!D126</f>
        <v>——</v>
      </c>
      <c r="E12" s="3195"/>
      <c r="F12" s="3195"/>
      <c r="G12" s="3195"/>
      <c r="H12" s="3195"/>
      <c r="I12" s="3195"/>
    </row>
    <row r="13" spans="1:9" ht="16" thickBot="1">
      <c r="A13" s="3199" t="s">
        <v>927</v>
      </c>
      <c r="B13" s="3199"/>
      <c r="C13" s="3199"/>
      <c r="D13" s="3199" t="e">
        <f>结果表!D127</f>
        <v>#VALUE!</v>
      </c>
      <c r="E13" s="3199"/>
      <c r="F13" s="3199"/>
      <c r="G13" s="3199"/>
      <c r="H13" s="3199"/>
      <c r="I13" s="3199"/>
    </row>
    <row r="14" spans="1:9" ht="14.5" thickTop="1">
      <c r="A14" s="3200" t="s">
        <v>932</v>
      </c>
      <c r="B14" s="3200"/>
      <c r="C14" s="3200"/>
      <c r="D14" s="3200"/>
      <c r="E14" s="3200"/>
      <c r="F14" s="3200"/>
      <c r="G14" s="3200"/>
      <c r="H14" s="3200"/>
      <c r="I14" s="3200"/>
    </row>
    <row r="16" spans="1:9" ht="17.5">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
  <cols>
    <col min="1" max="1" width="16.6328125" style="642" customWidth="1"/>
    <col min="2" max="3" width="22.36328125" style="642" customWidth="1"/>
    <col min="4" max="4" width="23" style="642" customWidth="1"/>
    <col min="5" max="16384" width="9" style="642"/>
  </cols>
  <sheetData>
    <row r="1" spans="1:4" ht="18">
      <c r="A1" s="3201" t="s">
        <v>949</v>
      </c>
      <c r="B1" s="3201"/>
      <c r="C1" s="3201"/>
      <c r="D1" s="3201"/>
    </row>
    <row r="2" spans="1:4" ht="18">
      <c r="A2" s="3202" t="s">
        <v>933</v>
      </c>
      <c r="B2" s="3202"/>
      <c r="C2" s="3202"/>
      <c r="D2" s="3202"/>
    </row>
    <row r="3" spans="1:4" ht="17.5">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8">
      <c r="A6" s="3202" t="s">
        <v>939</v>
      </c>
      <c r="B6" s="3202"/>
      <c r="C6" s="3202"/>
      <c r="D6" s="3202"/>
    </row>
    <row r="7" spans="1:4" ht="17.5">
      <c r="A7" s="1407" t="s">
        <v>934</v>
      </c>
      <c r="B7" s="1409" t="s">
        <v>940</v>
      </c>
      <c r="C7" s="1407" t="s">
        <v>936</v>
      </c>
      <c r="D7" s="1407" t="s">
        <v>937</v>
      </c>
    </row>
    <row r="8" spans="1:4" ht="56.25" customHeight="1">
      <c r="A8" s="1413" t="s">
        <v>390</v>
      </c>
      <c r="B8" s="1413" t="s">
        <v>0</v>
      </c>
      <c r="C8" s="1410"/>
      <c r="D8" s="1411" t="s">
        <v>938</v>
      </c>
    </row>
    <row r="10" spans="1:4" ht="18">
      <c r="A10" s="1414" t="s">
        <v>941</v>
      </c>
    </row>
    <row r="11" spans="1:4" ht="30" customHeight="1">
      <c r="A11" s="3203" t="s">
        <v>942</v>
      </c>
      <c r="B11" s="3204"/>
      <c r="C11" s="3204"/>
      <c r="D11" s="3204"/>
    </row>
    <row r="12" spans="1:4" ht="15.5">
      <c r="A12" s="320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05"/>
      <c r="C12" s="3205"/>
      <c r="D12" s="3205"/>
    </row>
    <row r="13" spans="1:4" ht="30" customHeight="1">
      <c r="A13" s="320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05"/>
      <c r="C13" s="3205"/>
      <c r="D13" s="3205"/>
    </row>
    <row r="14" spans="1:4" ht="15.75" customHeight="1">
      <c r="A14" s="3204" t="str">
        <f>IF(项目基本情况!B8="抵押","4.本次评估估价师所知悉的法定优先受偿款情况说明如下：","——")</f>
        <v>4.本次评估估价师所知悉的法定优先受偿款情况说明如下：</v>
      </c>
      <c r="B14" s="3205"/>
      <c r="C14" s="3205"/>
      <c r="D14" s="3205"/>
    </row>
    <row r="15" spans="1:4" ht="42" customHeight="1">
      <c r="A15" s="3204"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04"/>
      <c r="C15" s="3204"/>
      <c r="D15" s="3204"/>
    </row>
    <row r="16" spans="1:4" ht="30" customHeight="1">
      <c r="A16" s="3207" t="s">
        <v>943</v>
      </c>
      <c r="B16" s="3207"/>
      <c r="C16" s="3207"/>
      <c r="D16" s="3207"/>
    </row>
    <row r="17" spans="1:4" ht="144" customHeight="1">
      <c r="A17" s="3207" t="s">
        <v>944</v>
      </c>
      <c r="B17" s="3207"/>
      <c r="C17" s="3207"/>
      <c r="D17" s="3207"/>
    </row>
    <row r="18" spans="1:4" ht="15.75" customHeight="1">
      <c r="A18" s="3204" t="str">
        <f>IF(项目基本情况!B8="抵押",结果表!K120,"——")</f>
        <v>故，本次评估不存在估价师知悉的法定优先受偿款</v>
      </c>
      <c r="B18" s="3204"/>
      <c r="C18" s="3204"/>
      <c r="D18" s="3204"/>
    </row>
    <row r="19" spans="1:4" ht="46.5" customHeight="1">
      <c r="A19" s="320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4"/>
      <c r="C19" s="3204"/>
      <c r="D19" s="3204"/>
    </row>
    <row r="20" spans="1:4" ht="57.75" customHeight="1">
      <c r="A20" s="320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04"/>
      <c r="C20" s="3204"/>
      <c r="D20" s="3204"/>
    </row>
    <row r="21" spans="1:4" ht="57.75" customHeight="1">
      <c r="A21" s="320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08"/>
      <c r="C21" s="3208"/>
      <c r="D21" s="3208"/>
    </row>
    <row r="22" spans="1:4" ht="18.75" customHeight="1">
      <c r="A22" s="3209" t="s">
        <v>945</v>
      </c>
      <c r="B22" s="3209"/>
      <c r="C22" s="3209"/>
      <c r="D22" s="3209"/>
    </row>
    <row r="23" spans="1:4">
      <c r="A23" s="1415"/>
      <c r="B23" s="459"/>
      <c r="C23" s="459"/>
      <c r="D23" s="459"/>
    </row>
    <row r="24" spans="1:4">
      <c r="A24" s="1415"/>
      <c r="B24" s="459"/>
      <c r="C24" s="459"/>
      <c r="D24" s="459"/>
    </row>
    <row r="25" spans="1:4" ht="17.5">
      <c r="A25" s="1416" t="s">
        <v>946</v>
      </c>
    </row>
    <row r="26" spans="1:4" ht="17.5">
      <c r="A26" s="1387"/>
    </row>
    <row r="27" spans="1:4" ht="17.5">
      <c r="A27" s="1387" t="s">
        <v>947</v>
      </c>
    </row>
    <row r="30" spans="1:4" ht="17.5">
      <c r="D30" s="1416" t="s">
        <v>948</v>
      </c>
    </row>
    <row r="31" spans="1:4" ht="13.5" customHeight="1">
      <c r="C31" s="3206">
        <v>42551</v>
      </c>
      <c r="D31" s="3206"/>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
  <cols>
    <col min="1" max="2" width="13.08984375" style="1379" customWidth="1"/>
    <col min="3" max="10" width="12.453125" style="1379" customWidth="1"/>
    <col min="11" max="16384" width="9" style="1379"/>
  </cols>
  <sheetData>
    <row r="1" spans="1:1" ht="17.5">
      <c r="A1" s="1406" t="s">
        <v>391</v>
      </c>
    </row>
    <row r="2" spans="1:1" ht="17.5">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53125" defaultRowHeight="15"/>
  <cols>
    <col min="1" max="1" width="14.453125" style="1422" customWidth="1"/>
    <col min="2" max="16384" width="14.453125" style="1405"/>
  </cols>
  <sheetData>
    <row r="1" spans="1:7" s="1419" customFormat="1" ht="17.5">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
      <c r="A15" s="3215" t="s">
        <v>956</v>
      </c>
      <c r="B15" s="3210" t="s">
        <v>109</v>
      </c>
      <c r="C15" s="3211"/>
    </row>
    <row r="16" spans="1:7" ht="14">
      <c r="A16" s="3216"/>
      <c r="B16" s="3210" t="s">
        <v>42</v>
      </c>
      <c r="C16" s="3211"/>
    </row>
    <row r="17" spans="1:3" ht="14">
      <c r="A17" s="3216"/>
      <c r="B17" s="3213" t="s">
        <v>957</v>
      </c>
      <c r="C17" s="1429" t="s">
        <v>956</v>
      </c>
    </row>
    <row r="18" spans="1:3" ht="14">
      <c r="A18" s="3216"/>
      <c r="B18" s="3213"/>
      <c r="C18" s="1429" t="s">
        <v>958</v>
      </c>
    </row>
    <row r="19" spans="1:3" ht="14">
      <c r="A19" s="3216"/>
      <c r="B19" s="3213"/>
      <c r="C19" s="1429" t="s">
        <v>959</v>
      </c>
    </row>
    <row r="20" spans="1:3" ht="14">
      <c r="A20" s="3217"/>
      <c r="B20" s="3212" t="s">
        <v>960</v>
      </c>
      <c r="C20" s="3211"/>
    </row>
    <row r="21" spans="1:3" ht="14">
      <c r="A21" s="1430" t="s">
        <v>961</v>
      </c>
      <c r="B21" s="1431"/>
      <c r="C21" s="1432"/>
    </row>
    <row r="22" spans="1:3" ht="14">
      <c r="A22" s="3214" t="s">
        <v>962</v>
      </c>
      <c r="B22" s="3212" t="s">
        <v>963</v>
      </c>
      <c r="C22" s="3211"/>
    </row>
    <row r="23" spans="1:3" ht="14">
      <c r="A23" s="3214"/>
      <c r="B23" s="3212" t="s">
        <v>964</v>
      </c>
      <c r="C23" s="3211"/>
    </row>
    <row r="24" spans="1:3" ht="14">
      <c r="A24" s="3214"/>
      <c r="B24" s="3212" t="s">
        <v>965</v>
      </c>
      <c r="C24" s="3211"/>
    </row>
    <row r="25" spans="1:3" ht="14">
      <c r="A25" s="3214"/>
      <c r="B25" s="3213" t="s">
        <v>966</v>
      </c>
      <c r="C25" s="1429" t="s">
        <v>967</v>
      </c>
    </row>
    <row r="26" spans="1:3" ht="14">
      <c r="A26" s="3214"/>
      <c r="B26" s="3213"/>
      <c r="C26" s="1429" t="s">
        <v>968</v>
      </c>
    </row>
    <row r="27" spans="1:3" ht="14">
      <c r="A27" s="3214"/>
      <c r="B27" s="3213"/>
      <c r="C27" s="1429" t="s">
        <v>969</v>
      </c>
    </row>
    <row r="28" spans="1:3" ht="14">
      <c r="A28" s="3214"/>
      <c r="B28" s="3213"/>
      <c r="C28" s="1429" t="s">
        <v>970</v>
      </c>
    </row>
    <row r="29" spans="1:3" ht="14">
      <c r="A29" s="3214"/>
      <c r="B29" s="3213"/>
      <c r="C29" s="1429" t="s">
        <v>971</v>
      </c>
    </row>
    <row r="30" spans="1:3" ht="14">
      <c r="A30" s="3214"/>
      <c r="B30" s="3213"/>
      <c r="C30" s="1429" t="s">
        <v>972</v>
      </c>
    </row>
    <row r="31" spans="1:3" ht="14">
      <c r="A31" s="3214"/>
      <c r="B31" s="3213"/>
      <c r="C31" s="1429" t="s">
        <v>973</v>
      </c>
    </row>
    <row r="32" spans="1:3" ht="14">
      <c r="A32" s="3214"/>
      <c r="B32" s="3213"/>
      <c r="C32" s="1429" t="s">
        <v>974</v>
      </c>
    </row>
    <row r="33" spans="1:3" ht="14">
      <c r="A33" s="3214"/>
      <c r="B33" s="3213"/>
      <c r="C33" s="1429" t="s">
        <v>975</v>
      </c>
    </row>
    <row r="34" spans="1:3">
      <c r="A34" s="1433" t="s">
        <v>49</v>
      </c>
    </row>
    <row r="37" spans="1:3">
      <c r="A37" s="1433" t="s">
        <v>976</v>
      </c>
    </row>
    <row r="38" spans="1:3" ht="14">
      <c r="A38" s="1434" t="s">
        <v>50</v>
      </c>
    </row>
    <row r="39" spans="1:3" ht="14">
      <c r="A39" s="1434" t="s">
        <v>51</v>
      </c>
    </row>
    <row r="40" spans="1:3" ht="14">
      <c r="A40" s="1434" t="s">
        <v>52</v>
      </c>
    </row>
    <row r="41" spans="1:3" ht="14">
      <c r="A41" s="1435" t="s">
        <v>53</v>
      </c>
    </row>
    <row r="42" spans="1:3" ht="1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328125" defaultRowHeight="24" customHeight="1"/>
  <cols>
    <col min="1" max="1" width="24.6328125" style="2155" customWidth="1"/>
    <col min="2" max="2" width="38.6328125" style="2155" customWidth="1"/>
    <col min="3" max="3" width="26" style="2155" customWidth="1"/>
    <col min="4" max="4" width="35" style="2155" hidden="1" customWidth="1"/>
    <col min="5" max="5" width="30.08984375" style="2155" customWidth="1"/>
    <col min="6" max="6" width="35.453125" style="2155" customWidth="1"/>
    <col min="7" max="7" width="31" style="2155" customWidth="1"/>
    <col min="8" max="8" width="37.453125" style="2155" hidden="1" customWidth="1"/>
    <col min="9" max="16384" width="22.6328125" style="2155"/>
  </cols>
  <sheetData>
    <row r="1" spans="1:8" ht="24" customHeight="1">
      <c r="A1" s="2154"/>
      <c r="B1" s="2154"/>
      <c r="C1" s="2154"/>
      <c r="D1" s="2154"/>
      <c r="E1" s="2154"/>
      <c r="F1" s="2154"/>
      <c r="G1" s="2154"/>
      <c r="H1" s="2154"/>
    </row>
    <row r="2" spans="1:8" ht="24" customHeight="1">
      <c r="A2" s="2156" t="s">
        <v>2139</v>
      </c>
      <c r="B2" s="2157">
        <f ca="1">TODAY()</f>
        <v>45950</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t="str">
        <f ca="1">IF(C4&lt;B2,"已过期",1119970066)</f>
        <v>已过期</v>
      </c>
      <c r="C4" s="2162">
        <v>45937</v>
      </c>
      <c r="D4" s="2163" t="str">
        <f ca="1">A4&amp;"（注册号："&amp;B4&amp;"）"</f>
        <v>梁津（注册号：已过期）</v>
      </c>
      <c r="E4" s="2164" t="s">
        <v>2148</v>
      </c>
      <c r="F4" s="1219">
        <f ca="1">IF(G4&lt;B2,"已过期",96010014)</f>
        <v>96010014</v>
      </c>
      <c r="G4" s="2165">
        <v>47118</v>
      </c>
      <c r="H4" s="2166" t="str">
        <f ca="1">E4&amp;"（注册号："&amp;F4&amp;"）"</f>
        <v>梁津（注册号：96010014）</v>
      </c>
    </row>
    <row r="5" spans="1:8" ht="24" customHeight="1">
      <c r="A5" s="1219" t="s">
        <v>2149</v>
      </c>
      <c r="B5" s="1219" t="str">
        <f ca="1">IF(C5&lt;B2,"已过期",1119970111)</f>
        <v>已过期</v>
      </c>
      <c r="C5" s="2162">
        <v>45937</v>
      </c>
      <c r="D5" s="2163" t="str">
        <f t="shared" ref="D5:D15" ca="1" si="0">A5&amp;"（注册号："&amp;B5&amp;"）"</f>
        <v>叶凌（注册号：已过期）</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t="str">
        <f ca="1">IF(C7&lt;B2,"已过期",1120000080)</f>
        <v>已过期</v>
      </c>
      <c r="C7" s="2162">
        <v>45937</v>
      </c>
      <c r="D7" s="2163" t="str">
        <f t="shared" ca="1" si="0"/>
        <v>欧红伟（注册号：已过期）</v>
      </c>
      <c r="E7" s="2164" t="s">
        <v>2151</v>
      </c>
      <c r="F7" s="1219">
        <f ca="1">IF(G7&lt;B2,"已过期",2000110082)</f>
        <v>2000110082</v>
      </c>
      <c r="G7" s="2165">
        <v>46387</v>
      </c>
      <c r="H7" s="2166" t="str">
        <f t="shared" ca="1" si="1"/>
        <v>欧红伟（注册号：2000110082）</v>
      </c>
    </row>
    <row r="8" spans="1:8" ht="24" customHeight="1">
      <c r="A8" s="1219" t="s">
        <v>2152</v>
      </c>
      <c r="B8" s="1219" t="str">
        <f ca="1">IF(C8&lt;B2,"已过期",1419970001)</f>
        <v>已过期</v>
      </c>
      <c r="C8" s="2162">
        <v>45937</v>
      </c>
      <c r="D8" s="2163" t="str">
        <f t="shared" ca="1" si="0"/>
        <v>吴薇（注册号：已过期）</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t="str">
        <f ca="1">IF(C11&lt;B2,"已过期",1120070131)</f>
        <v>已过期</v>
      </c>
      <c r="C11" s="2162">
        <v>45937</v>
      </c>
      <c r="D11" s="2163" t="str">
        <f t="shared" ca="1" si="0"/>
        <v>郑燚（注册号：已过期）</v>
      </c>
      <c r="E11" s="2164" t="s">
        <v>2155</v>
      </c>
      <c r="F11" s="1219">
        <f ca="1">IF(G11&lt;B2,"已过期",2014110011)</f>
        <v>2014110011</v>
      </c>
      <c r="G11" s="2165">
        <v>49302</v>
      </c>
      <c r="H11" s="2166" t="str">
        <f t="shared" ca="1" si="1"/>
        <v>郑燚（注册号：2014110011）</v>
      </c>
    </row>
    <row r="12" spans="1:8" ht="24" customHeight="1">
      <c r="A12" s="1219" t="s">
        <v>2156</v>
      </c>
      <c r="B12" s="1219" t="str">
        <f ca="1">IF(C12&lt;B2,"已过期",1120040230)</f>
        <v>已过期</v>
      </c>
      <c r="C12" s="2167">
        <v>45937</v>
      </c>
      <c r="D12" s="2163" t="str">
        <f t="shared" ca="1" si="0"/>
        <v>苏海（注册号：已过期）</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18" t="s">
        <v>2160</v>
      </c>
      <c r="B17" s="3218"/>
      <c r="C17" s="3218"/>
      <c r="D17" s="3218"/>
      <c r="E17" s="3218"/>
      <c r="F17" s="3218"/>
      <c r="G17" s="3218"/>
      <c r="H17" s="3218"/>
    </row>
    <row r="18" spans="1:8" ht="24" customHeight="1">
      <c r="A18" s="3219" t="s">
        <v>2161</v>
      </c>
      <c r="B18" s="3219"/>
      <c r="C18" s="3219"/>
      <c r="D18" s="2160"/>
      <c r="E18" s="3220" t="s">
        <v>2162</v>
      </c>
      <c r="F18" s="3219"/>
      <c r="G18" s="3219"/>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157</vt:i4>
      </vt:variant>
    </vt:vector>
  </HeadingPairs>
  <TitlesOfParts>
    <vt:vector size="20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悠乐汇案例</vt:lpstr>
      <vt:lpstr>信息</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2025-10-16T04:51:38Z</cp:lastPrinted>
  <dcterms:created xsi:type="dcterms:W3CDTF">2015-07-13T07:17:23Z</dcterms:created>
  <dcterms:modified xsi:type="dcterms:W3CDTF">2025-10-20T01:41:49Z</dcterms:modified>
</cp:coreProperties>
</file>