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1\Desktop\2025-1-E000118-门麒农行怀柔HiMaMa锦会农场询价\"/>
    </mc:Choice>
  </mc:AlternateContent>
  <xr:revisionPtr revIDLastSave="0" documentId="13_ncr:1_{93B02D8F-F556-4527-805A-8216C521A153}" xr6:coauthVersionLast="47" xr6:coauthVersionMax="47" xr10:uidLastSave="{00000000-0000-0000-0000-000000000000}"/>
  <bookViews>
    <workbookView xWindow="-120" yWindow="-120" windowWidth="29040" windowHeight="1584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state="hidden" r:id="rId23"/>
    <sheet name="收益法 (元)" sheetId="67" state="hidden" r:id="rId24"/>
    <sheet name="基准地价修正" sheetId="43"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利润表2022年12期" sheetId="81" r:id="rId38"/>
    <sheet name="利润表2023年12期" sheetId="82" r:id="rId39"/>
    <sheet name="利润表2024年12期" sheetId="83" r:id="rId40"/>
    <sheet name="土地案例" sheetId="84"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34" i="77" l="1"/>
  <c r="D34" i="77"/>
  <c r="F6" i="83"/>
  <c r="F6" i="82"/>
  <c r="F6" i="81"/>
  <c r="J52" i="15"/>
  <c r="A3" i="3"/>
  <c r="F17" i="80"/>
  <c r="I13" i="3" s="1"/>
  <c r="F19" i="6" s="1"/>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U44" i="79"/>
  <c r="AD45" i="79"/>
  <c r="Z3" i="79"/>
  <c r="N28" i="79"/>
  <c r="S17" i="79"/>
  <c r="T19" i="79"/>
  <c r="W19" i="79" s="1"/>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M14" i="77"/>
  <c r="N14" i="77" s="1"/>
  <c r="R13" i="77"/>
  <c r="R12" i="77"/>
  <c r="R11" i="77"/>
  <c r="R10" i="77"/>
  <c r="D10" i="77"/>
  <c r="R9" i="77"/>
  <c r="D9" i="77"/>
  <c r="R8" i="77"/>
  <c r="R7" i="77"/>
  <c r="R4" i="77"/>
  <c r="R3" i="77"/>
  <c r="R14" i="77" l="1"/>
  <c r="R24" i="77" s="1"/>
  <c r="D29" i="77"/>
  <c r="D32" i="77"/>
  <c r="D38" i="77" s="1"/>
  <c r="E23" i="77"/>
  <c r="D26" i="77"/>
  <c r="C29" i="77"/>
  <c r="R35" i="77"/>
  <c r="U34" i="77" s="1"/>
  <c r="AH9" i="71"/>
  <c r="AG9" i="71"/>
  <c r="AE9" i="71"/>
  <c r="AF9" i="71" s="1"/>
  <c r="AD9" i="71"/>
  <c r="Q9" i="71"/>
  <c r="P9" i="71"/>
  <c r="O9" i="71"/>
  <c r="N9" i="71"/>
  <c r="R25" i="77" l="1"/>
  <c r="R19" i="77"/>
  <c r="R5" i="77" s="1"/>
  <c r="U5" i="77" s="1"/>
  <c r="E26" i="77"/>
  <c r="E29" i="77"/>
  <c r="AH10" i="71"/>
  <c r="AG10" i="71"/>
  <c r="AE10" i="71"/>
  <c r="AF10" i="71" s="1"/>
  <c r="AD10" i="71"/>
  <c r="Q10" i="71"/>
  <c r="P10" i="71"/>
  <c r="O10" i="71"/>
  <c r="N10" i="71"/>
  <c r="E32" i="77" l="1"/>
  <c r="E38"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s="1"/>
  <c r="Q38" i="71"/>
  <c r="P38" i="71"/>
  <c r="O38" i="71"/>
  <c r="Y38" i="71" s="1"/>
  <c r="Z38" i="71" s="1"/>
  <c r="N38" i="71"/>
  <c r="F38" i="71"/>
  <c r="F39" i="71" s="1"/>
  <c r="Q37" i="71"/>
  <c r="P37" i="71"/>
  <c r="AA37" i="71" s="1"/>
  <c r="O37" i="71"/>
  <c r="N37" i="71"/>
  <c r="B38" i="71" s="1"/>
  <c r="D37" i="71"/>
  <c r="Q36" i="71"/>
  <c r="AB36" i="71" s="1"/>
  <c r="P36" i="71"/>
  <c r="O36" i="71"/>
  <c r="N36" i="71"/>
  <c r="Q35" i="71"/>
  <c r="AB35" i="71" s="1"/>
  <c r="P35" i="71"/>
  <c r="O35" i="71"/>
  <c r="N35" i="71"/>
  <c r="Q34" i="71"/>
  <c r="AB34" i="71" s="1"/>
  <c r="P34" i="71"/>
  <c r="O34" i="71"/>
  <c r="N34" i="71"/>
  <c r="X34" i="71" s="1"/>
  <c r="Q33" i="71"/>
  <c r="F34"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Y26" i="71" s="1"/>
  <c r="Z26" i="71" s="1"/>
  <c r="N28" i="71"/>
  <c r="B28" i="71" s="1"/>
  <c r="B27" i="71" s="1"/>
  <c r="B26" i="71" s="1"/>
  <c r="B30" i="71"/>
  <c r="B31" i="71" s="1"/>
  <c r="B32" i="71" s="1"/>
  <c r="S32" i="71" s="1"/>
  <c r="E30" i="71"/>
  <c r="E31" i="71" s="1"/>
  <c r="E32" i="71" s="1"/>
  <c r="U32" i="71" s="1"/>
  <c r="B39" i="71"/>
  <c r="E34" i="71"/>
  <c r="X31" i="71"/>
  <c r="P28" i="71"/>
  <c r="E28" i="71" s="1"/>
  <c r="U68" i="71"/>
  <c r="E67" i="71"/>
  <c r="P67" i="71" s="1"/>
  <c r="Q28" i="71"/>
  <c r="D58" i="71"/>
  <c r="C63" i="71"/>
  <c r="C64" i="71" s="1"/>
  <c r="D62" i="71"/>
  <c r="T68" i="71"/>
  <c r="C67" i="71"/>
  <c r="D67" i="71" s="1"/>
  <c r="Q68" i="71"/>
  <c r="E71" i="71"/>
  <c r="E70" i="71" s="1"/>
  <c r="D72" i="71"/>
  <c r="C75" i="71"/>
  <c r="C74" i="71" s="1"/>
  <c r="D74" i="71" s="1"/>
  <c r="D76" i="71"/>
  <c r="D80" i="71"/>
  <c r="C87" i="71"/>
  <c r="C86" i="71" s="1"/>
  <c r="D86" i="71" s="1"/>
  <c r="F28" i="71"/>
  <c r="F27" i="71" s="1"/>
  <c r="F26" i="71" s="1"/>
  <c r="AA3" i="71"/>
  <c r="D63"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AC18" i="35"/>
  <c r="J21" i="37"/>
  <c r="W21" i="37" s="1"/>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1"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M5" i="3" s="1"/>
  <c r="BN561" i="3"/>
  <c r="BO561" i="3"/>
  <c r="BP561" i="3"/>
  <c r="BR561" i="3"/>
  <c r="BS561" i="3"/>
  <c r="BT561" i="3"/>
  <c r="H562" i="3"/>
  <c r="AC562" i="3"/>
  <c r="BB562" i="3"/>
  <c r="BC562" i="3"/>
  <c r="BD562" i="3"/>
  <c r="BE562" i="3"/>
  <c r="BF562" i="3"/>
  <c r="BG562" i="3"/>
  <c r="BH562" i="3"/>
  <c r="BI562" i="3"/>
  <c r="BI5" i="3" s="1"/>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S5" i="3" s="1"/>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D5"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AZ574" i="3" s="1"/>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AB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F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J40" i="37" s="1"/>
  <c r="D107" i="37"/>
  <c r="E107" i="37" s="1"/>
  <c r="D105" i="37"/>
  <c r="E105" i="37" s="1"/>
  <c r="D103" i="37"/>
  <c r="J35" i="37"/>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s="1"/>
  <c r="J16" i="36"/>
  <c r="W16" i="36" s="1"/>
  <c r="D62" i="36"/>
  <c r="E62" i="36" s="1"/>
  <c r="F62" i="36"/>
  <c r="G62" i="36" s="1"/>
  <c r="B59" i="36"/>
  <c r="B57" i="36"/>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s="1"/>
  <c r="Q26" i="36"/>
  <c r="Z26" i="36" s="1"/>
  <c r="H26" i="36"/>
  <c r="AB26" i="36" s="1"/>
  <c r="Q25" i="36"/>
  <c r="Z25" i="36" s="1"/>
  <c r="Q24" i="36"/>
  <c r="Z24" i="36"/>
  <c r="Q23" i="36"/>
  <c r="Z23" i="36"/>
  <c r="Q22" i="36"/>
  <c r="Z22" i="36" s="1"/>
  <c r="J22" i="36"/>
  <c r="AC22" i="36"/>
  <c r="Q20" i="36"/>
  <c r="Z20" i="36" s="1"/>
  <c r="Q16" i="36"/>
  <c r="Z16" i="36" s="1"/>
  <c r="Q14" i="36"/>
  <c r="Z14" i="36" s="1"/>
  <c r="Q13" i="36"/>
  <c r="Z13" i="36" s="1"/>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H35" i="35" s="1"/>
  <c r="B97" i="35"/>
  <c r="B77" i="35"/>
  <c r="H25" i="35" s="1"/>
  <c r="AB25" i="35" s="1"/>
  <c r="B75" i="35"/>
  <c r="J24" i="35" s="1"/>
  <c r="AC24" i="35"/>
  <c r="B73" i="35"/>
  <c r="J23" i="35" s="1"/>
  <c r="AC23" i="35" s="1"/>
  <c r="H23" i="35"/>
  <c r="U23" i="35" s="1"/>
  <c r="B57" i="35"/>
  <c r="B61" i="35"/>
  <c r="H13" i="35" s="1"/>
  <c r="U13" i="35" s="1"/>
  <c r="B59" i="35"/>
  <c r="F12" i="35" s="1"/>
  <c r="B131" i="34"/>
  <c r="J47" i="34" s="1"/>
  <c r="B129" i="34"/>
  <c r="B127" i="34"/>
  <c r="B99" i="34"/>
  <c r="B97" i="34"/>
  <c r="H31" i="34" s="1"/>
  <c r="B95" i="34"/>
  <c r="B93" i="34"/>
  <c r="F29" i="34" s="1"/>
  <c r="S29" i="34" s="1"/>
  <c r="B75" i="34"/>
  <c r="B73" i="34"/>
  <c r="H13" i="34" s="1"/>
  <c r="U13" i="34" s="1"/>
  <c r="B71" i="34"/>
  <c r="J12" i="34" s="1"/>
  <c r="W12" i="34" s="1"/>
  <c r="B130" i="33"/>
  <c r="J46" i="33" s="1"/>
  <c r="AC46" i="33" s="1"/>
  <c r="B128" i="33"/>
  <c r="B126" i="33"/>
  <c r="H44" i="33" s="1"/>
  <c r="B98" i="33"/>
  <c r="B96" i="33"/>
  <c r="B94" i="33"/>
  <c r="B74" i="33"/>
  <c r="J14" i="33" s="1"/>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c r="J28" i="35"/>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c r="J39" i="33"/>
  <c r="Q38" i="33"/>
  <c r="Z38" i="33" s="1"/>
  <c r="J38" i="33"/>
  <c r="AC38" i="33" s="1"/>
  <c r="H38" i="33"/>
  <c r="AB38" i="33"/>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s="1"/>
  <c r="D119" i="2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s="1"/>
  <c r="W45" i="21" s="1"/>
  <c r="B126" i="21"/>
  <c r="B98" i="21"/>
  <c r="H31" i="21"/>
  <c r="B96" i="21"/>
  <c r="H30" i="21" s="1"/>
  <c r="U30" i="21" s="1"/>
  <c r="B94" i="21"/>
  <c r="J29" i="21" s="1"/>
  <c r="AC29" i="21" s="1"/>
  <c r="B92" i="21"/>
  <c r="B90" i="2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F45" i="39"/>
  <c r="S45" i="39" s="1"/>
  <c r="J45" i="39"/>
  <c r="W45" i="39" s="1"/>
  <c r="F36" i="39"/>
  <c r="J35" i="39"/>
  <c r="AC35" i="39" s="1"/>
  <c r="F35" i="39"/>
  <c r="AA35" i="39"/>
  <c r="U9" i="39"/>
  <c r="W40" i="39"/>
  <c r="W25" i="37"/>
  <c r="E103" i="37"/>
  <c r="F103" i="37"/>
  <c r="G103" i="37" s="1"/>
  <c r="H103" i="37" s="1"/>
  <c r="I103" i="37" s="1"/>
  <c r="J103" i="37" s="1"/>
  <c r="K103" i="37" s="1"/>
  <c r="L103" i="37" s="1"/>
  <c r="M103" i="37" s="1"/>
  <c r="F39" i="37"/>
  <c r="S39" i="37" s="1"/>
  <c r="F29" i="36"/>
  <c r="AA29" i="36" s="1"/>
  <c r="F16" i="36"/>
  <c r="AA16" i="36" s="1"/>
  <c r="W28" i="36"/>
  <c r="U31" i="36"/>
  <c r="H22" i="35"/>
  <c r="AB22" i="35"/>
  <c r="AC27" i="35"/>
  <c r="W22" i="35"/>
  <c r="S31" i="35"/>
  <c r="F36" i="34"/>
  <c r="J35" i="34"/>
  <c r="U34" i="34"/>
  <c r="H39" i="33"/>
  <c r="AB39" i="33" s="1"/>
  <c r="F26" i="33"/>
  <c r="AA26" i="33" s="1"/>
  <c r="U35" i="33"/>
  <c r="S40" i="33"/>
  <c r="W33" i="33"/>
  <c r="H39" i="37"/>
  <c r="AB39" i="37" s="1"/>
  <c r="S27" i="35"/>
  <c r="F11" i="40"/>
  <c r="H11" i="40"/>
  <c r="AB11" i="40" s="1"/>
  <c r="AA9" i="40"/>
  <c r="U34" i="40"/>
  <c r="F42" i="39"/>
  <c r="AA42" i="39" s="1"/>
  <c r="F41" i="39"/>
  <c r="H40" i="39"/>
  <c r="AB40" i="39" s="1"/>
  <c r="H39" i="39"/>
  <c r="U39" i="39" s="1"/>
  <c r="S34" i="39"/>
  <c r="H34" i="39"/>
  <c r="U34" i="39" s="1"/>
  <c r="E108" i="39"/>
  <c r="F31" i="39"/>
  <c r="AA31" i="39" s="1"/>
  <c r="E100" i="39"/>
  <c r="H19" i="39"/>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J19" i="39"/>
  <c r="AC19" i="39" s="1"/>
  <c r="J17" i="39"/>
  <c r="J27" i="39"/>
  <c r="AC27" i="39" s="1"/>
  <c r="F27" i="39"/>
  <c r="F11" i="21"/>
  <c r="S11" i="21" s="1"/>
  <c r="U34" i="21"/>
  <c r="C25" i="39"/>
  <c r="H11" i="39"/>
  <c r="S40" i="39"/>
  <c r="H32" i="33"/>
  <c r="AB32" i="33" s="1"/>
  <c r="H11" i="21"/>
  <c r="U11" i="21" s="1"/>
  <c r="J11" i="21"/>
  <c r="W11" i="21" s="1"/>
  <c r="H37" i="40"/>
  <c r="U37" i="40" s="1"/>
  <c r="H36" i="40"/>
  <c r="AB36" i="40" s="1"/>
  <c r="F35" i="40"/>
  <c r="H23" i="40"/>
  <c r="AB23" i="40" s="1"/>
  <c r="H17" i="40"/>
  <c r="U17" i="40" s="1"/>
  <c r="J15" i="40"/>
  <c r="W15" i="40" s="1"/>
  <c r="J11" i="40"/>
  <c r="W11" i="40"/>
  <c r="AB8" i="39"/>
  <c r="AC12" i="34"/>
  <c r="W32" i="40"/>
  <c r="F37" i="39"/>
  <c r="AA37" i="39" s="1"/>
  <c r="J34" i="36"/>
  <c r="W34" i="36" s="1"/>
  <c r="J30" i="35"/>
  <c r="W30" i="35" s="1"/>
  <c r="H30" i="35"/>
  <c r="AB30" i="35" s="1"/>
  <c r="F22" i="35"/>
  <c r="AA22" i="35" s="1"/>
  <c r="H10" i="35"/>
  <c r="U10" i="35" s="1"/>
  <c r="F33" i="36"/>
  <c r="AA33" i="36" s="1"/>
  <c r="W30" i="36"/>
  <c r="H16" i="36"/>
  <c r="E85" i="36"/>
  <c r="F85" i="36" s="1"/>
  <c r="G85" i="36" s="1"/>
  <c r="H85" i="36" s="1"/>
  <c r="I85" i="36" s="1"/>
  <c r="J85" i="36" s="1"/>
  <c r="K85" i="36" s="1"/>
  <c r="L85" i="36" s="1"/>
  <c r="M85" i="36" s="1"/>
  <c r="J29" i="36"/>
  <c r="AC29" i="36" s="1"/>
  <c r="F24" i="36"/>
  <c r="AA24" i="36"/>
  <c r="F34" i="36"/>
  <c r="S34" i="36" s="1"/>
  <c r="F14" i="35"/>
  <c r="AA14" i="35" s="1"/>
  <c r="F23" i="35"/>
  <c r="AA23" i="35" s="1"/>
  <c r="J32" i="35"/>
  <c r="AC32" i="35" s="1"/>
  <c r="J16" i="35"/>
  <c r="AC16" i="35" s="1"/>
  <c r="H16" i="35"/>
  <c r="U16" i="35" s="1"/>
  <c r="F16" i="35"/>
  <c r="S16" i="35" s="1"/>
  <c r="H14" i="35"/>
  <c r="J29" i="35"/>
  <c r="H33" i="35"/>
  <c r="J20" i="35"/>
  <c r="W20" i="35" s="1"/>
  <c r="F35" i="37"/>
  <c r="S35" i="37" s="1"/>
  <c r="E101" i="37"/>
  <c r="F101" i="37" s="1"/>
  <c r="G101" i="37" s="1"/>
  <c r="H101" i="37" s="1"/>
  <c r="I101" i="37" s="1"/>
  <c r="J101" i="37" s="1"/>
  <c r="K101" i="37" s="1"/>
  <c r="L101" i="37" s="1"/>
  <c r="M101" i="37" s="1"/>
  <c r="J34" i="37"/>
  <c r="W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J28" i="34"/>
  <c r="W28" i="34" s="1"/>
  <c r="F41" i="33"/>
  <c r="AA41" i="33" s="1"/>
  <c r="E113" i="33"/>
  <c r="F113" i="33" s="1"/>
  <c r="F32" i="33"/>
  <c r="J19" i="33"/>
  <c r="AC19" i="33" s="1"/>
  <c r="J15" i="33"/>
  <c r="AC15" i="33" s="1"/>
  <c r="F11" i="33"/>
  <c r="AA11" i="33" s="1"/>
  <c r="S26" i="33"/>
  <c r="F37" i="40"/>
  <c r="AA37" i="40" s="1"/>
  <c r="F36" i="40"/>
  <c r="AA36" i="40" s="1"/>
  <c r="H28" i="40"/>
  <c r="U28" i="40" s="1"/>
  <c r="F23" i="40"/>
  <c r="AA23" i="40" s="1"/>
  <c r="F17" i="40"/>
  <c r="AA17" i="40" s="1"/>
  <c r="J17" i="40"/>
  <c r="W17" i="40"/>
  <c r="F15" i="40"/>
  <c r="S15" i="40" s="1"/>
  <c r="H15" i="40"/>
  <c r="AB15" i="40" s="1"/>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G113" i="33"/>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s="1"/>
  <c r="J42" i="21"/>
  <c r="AC42" i="21"/>
  <c r="H42" i="21"/>
  <c r="U42" i="21" s="1"/>
  <c r="J44" i="34"/>
  <c r="F44" i="34"/>
  <c r="J10" i="35"/>
  <c r="AC10" i="35" s="1"/>
  <c r="W14" i="21"/>
  <c r="F14" i="21"/>
  <c r="S14" i="21" s="1"/>
  <c r="H14" i="21"/>
  <c r="U14" i="21" s="1"/>
  <c r="H28" i="21"/>
  <c r="AB28" i="21" s="1"/>
  <c r="F28" i="21"/>
  <c r="AA28" i="21" s="1"/>
  <c r="J28" i="21"/>
  <c r="W28" i="21" s="1"/>
  <c r="F30" i="21"/>
  <c r="S30" i="21" s="1"/>
  <c r="J30" i="21"/>
  <c r="AC30" i="21" s="1"/>
  <c r="F44" i="21"/>
  <c r="AA44" i="21" s="1"/>
  <c r="H46" i="21"/>
  <c r="U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J13" i="33"/>
  <c r="H13" i="33"/>
  <c r="U13" i="33" s="1"/>
  <c r="F13" i="33"/>
  <c r="S13" i="33" s="1"/>
  <c r="J29" i="33"/>
  <c r="H29" i="33"/>
  <c r="U29" i="33" s="1"/>
  <c r="F29" i="33"/>
  <c r="S29" i="33" s="1"/>
  <c r="J31" i="33"/>
  <c r="H31" i="33"/>
  <c r="F31" i="33"/>
  <c r="H45" i="33"/>
  <c r="J45" i="33"/>
  <c r="W45" i="33" s="1"/>
  <c r="F45" i="33"/>
  <c r="AA45" i="33" s="1"/>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14" i="33"/>
  <c r="U14" i="33" s="1"/>
  <c r="F14" i="33"/>
  <c r="H30" i="33"/>
  <c r="AB30" i="33" s="1"/>
  <c r="F30" i="33"/>
  <c r="J30" i="33"/>
  <c r="J44" i="33"/>
  <c r="AC44" i="33" s="1"/>
  <c r="F44" i="33"/>
  <c r="S44" i="33" s="1"/>
  <c r="F46" i="33"/>
  <c r="AA46" i="33" s="1"/>
  <c r="H46" i="33"/>
  <c r="AB46" i="33" s="1"/>
  <c r="J13" i="34"/>
  <c r="W13" i="34" s="1"/>
  <c r="F13" i="34"/>
  <c r="AA13" i="34" s="1"/>
  <c r="J29" i="34"/>
  <c r="H29" i="34"/>
  <c r="AB29" i="34" s="1"/>
  <c r="J31" i="34"/>
  <c r="W31" i="34" s="1"/>
  <c r="AC31" i="34"/>
  <c r="F31" i="34"/>
  <c r="S31" i="34" s="1"/>
  <c r="H45" i="34"/>
  <c r="U45" i="34" s="1"/>
  <c r="J45" i="34"/>
  <c r="W45" i="34" s="1"/>
  <c r="F45" i="34"/>
  <c r="S45" i="34" s="1"/>
  <c r="H47" i="34"/>
  <c r="U47" i="34" s="1"/>
  <c r="F47" i="34"/>
  <c r="S47" i="34" s="1"/>
  <c r="AC47" i="34"/>
  <c r="F13" i="35"/>
  <c r="J13" i="35"/>
  <c r="AC13" i="35" s="1"/>
  <c r="J25" i="35"/>
  <c r="W25" i="35"/>
  <c r="F25" i="35"/>
  <c r="S25" i="35" s="1"/>
  <c r="J35" i="35"/>
  <c r="AC35" i="35" s="1"/>
  <c r="F35" i="35"/>
  <c r="AA35" i="35"/>
  <c r="J25" i="36"/>
  <c r="W25" i="36" s="1"/>
  <c r="F25" i="36"/>
  <c r="S25" i="36" s="1"/>
  <c r="H25" i="36"/>
  <c r="AB25" i="36" s="1"/>
  <c r="F13" i="37"/>
  <c r="F28" i="37"/>
  <c r="AA28" i="37" s="1"/>
  <c r="J28" i="37"/>
  <c r="AC28" i="37" s="1"/>
  <c r="H28" i="37"/>
  <c r="H38" i="37"/>
  <c r="AB38" i="37" s="1"/>
  <c r="J38" i="37"/>
  <c r="AC38" i="37" s="1"/>
  <c r="F38" i="37"/>
  <c r="S38" i="37" s="1"/>
  <c r="F43" i="39"/>
  <c r="H43" i="39"/>
  <c r="J14" i="39"/>
  <c r="AC14" i="39" s="1"/>
  <c r="F14" i="39"/>
  <c r="H14" i="39"/>
  <c r="AB14" i="39" s="1"/>
  <c r="H12" i="40"/>
  <c r="AB12" i="40" s="1"/>
  <c r="H30" i="40"/>
  <c r="AB30" i="40" s="1"/>
  <c r="J35" i="40"/>
  <c r="AC35" i="40" s="1"/>
  <c r="J37" i="40"/>
  <c r="AC37" i="40" s="1"/>
  <c r="H13" i="40"/>
  <c r="U13" i="40" s="1"/>
  <c r="J13" i="40"/>
  <c r="W13" i="40" s="1"/>
  <c r="F13" i="40"/>
  <c r="AA13" i="40" s="1"/>
  <c r="F14" i="37"/>
  <c r="J13" i="39"/>
  <c r="W13" i="39" s="1"/>
  <c r="H13" i="39"/>
  <c r="H14" i="40"/>
  <c r="AB14" i="40" s="1"/>
  <c r="J14" i="40"/>
  <c r="W14" i="40" s="1"/>
  <c r="F14" i="40"/>
  <c r="AA14" i="40" s="1"/>
  <c r="J14" i="37"/>
  <c r="U46" i="33"/>
  <c r="J36" i="37"/>
  <c r="AC36" i="37" s="1"/>
  <c r="J10" i="36"/>
  <c r="AC10" i="36" s="1"/>
  <c r="AB46" i="34"/>
  <c r="S45" i="33"/>
  <c r="AC28" i="21"/>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0" i="3"/>
  <c r="G572" i="3"/>
  <c r="G564" i="3"/>
  <c r="G554" i="3"/>
  <c r="G550" i="3"/>
  <c r="BL560" i="3"/>
  <c r="BL554" i="3"/>
  <c r="BL546" i="3"/>
  <c r="BL538" i="3"/>
  <c r="BL534" i="3"/>
  <c r="BL530" i="3"/>
  <c r="AZ530" i="3" s="1"/>
  <c r="BL522" i="3"/>
  <c r="BL516" i="3"/>
  <c r="BL512" i="3"/>
  <c r="BL502" i="3"/>
  <c r="BL498" i="3"/>
  <c r="BL494" i="3"/>
  <c r="BL574" i="3"/>
  <c r="BL556" i="3"/>
  <c r="BL552" i="3"/>
  <c r="BL540" i="3"/>
  <c r="BL536" i="3"/>
  <c r="G533" i="3"/>
  <c r="G529" i="3"/>
  <c r="BL528" i="3"/>
  <c r="G525" i="3"/>
  <c r="BL518" i="3"/>
  <c r="BL514" i="3"/>
  <c r="BL510" i="3"/>
  <c r="BL500" i="3"/>
  <c r="BL496" i="3"/>
  <c r="G493" i="3"/>
  <c r="BA564" i="3"/>
  <c r="BA558" i="3"/>
  <c r="BA556" i="3"/>
  <c r="AZ556" i="3" s="1"/>
  <c r="BA554" i="3"/>
  <c r="AZ554" i="3" s="1"/>
  <c r="BA548" i="3"/>
  <c r="BA546" i="3"/>
  <c r="BA544" i="3"/>
  <c r="BA540" i="3"/>
  <c r="BA538" i="3"/>
  <c r="BA536" i="3"/>
  <c r="AZ536" i="3" s="1"/>
  <c r="BA534" i="3"/>
  <c r="AZ534" i="3"/>
  <c r="BA532" i="3"/>
  <c r="BA530" i="3"/>
  <c r="BA528" i="3"/>
  <c r="AZ528" i="3" s="1"/>
  <c r="BA526" i="3"/>
  <c r="BA522" i="3"/>
  <c r="BA520" i="3"/>
  <c r="BA518" i="3"/>
  <c r="BA514" i="3"/>
  <c r="BA512" i="3"/>
  <c r="BA510" i="3"/>
  <c r="BA506" i="3"/>
  <c r="BA504" i="3"/>
  <c r="BA502" i="3"/>
  <c r="BA498" i="3"/>
  <c r="BA496" i="3"/>
  <c r="BA494" i="3"/>
  <c r="AZ494" i="3" s="1"/>
  <c r="BA575" i="3"/>
  <c r="BA559" i="3"/>
  <c r="BA555" i="3"/>
  <c r="BA553" i="3"/>
  <c r="AZ553" i="3" s="1"/>
  <c r="BA547" i="3"/>
  <c r="BA545" i="3"/>
  <c r="BA543" i="3"/>
  <c r="AZ543" i="3" s="1"/>
  <c r="BA539" i="3"/>
  <c r="BA537" i="3"/>
  <c r="BA535" i="3"/>
  <c r="BA531" i="3"/>
  <c r="BA529" i="3"/>
  <c r="BA527" i="3"/>
  <c r="BA523" i="3"/>
  <c r="BA519" i="3"/>
  <c r="BA517" i="3"/>
  <c r="BA513" i="3"/>
  <c r="BA511" i="3"/>
  <c r="BA507" i="3"/>
  <c r="BA503" i="3"/>
  <c r="AZ503" i="3" s="1"/>
  <c r="BA501" i="3"/>
  <c r="BA499" i="3"/>
  <c r="BA497" i="3"/>
  <c r="BA495" i="3"/>
  <c r="BA493" i="3"/>
  <c r="G583" i="3"/>
  <c r="G581" i="3"/>
  <c r="G575" i="3"/>
  <c r="G573" i="3"/>
  <c r="G567" i="3"/>
  <c r="G565" i="3"/>
  <c r="G561" i="3"/>
  <c r="BL558" i="3"/>
  <c r="BA557" i="3"/>
  <c r="AC557" i="3"/>
  <c r="G557" i="3" s="1"/>
  <c r="BQ557" i="3"/>
  <c r="BL557" i="3" s="1"/>
  <c r="BQ583" i="3"/>
  <c r="BQ581" i="3"/>
  <c r="BQ579" i="3"/>
  <c r="BQ577" i="3"/>
  <c r="BQ575" i="3"/>
  <c r="BQ573" i="3"/>
  <c r="BQ571" i="3"/>
  <c r="BQ569" i="3"/>
  <c r="BQ567" i="3"/>
  <c r="BQ565" i="3"/>
  <c r="BQ563" i="3"/>
  <c r="BQ561" i="3"/>
  <c r="BQ559" i="3"/>
  <c r="BL559" i="3" s="1"/>
  <c r="AZ559" i="3" s="1"/>
  <c r="G559" i="3"/>
  <c r="G555" i="3"/>
  <c r="G553" i="3"/>
  <c r="G549" i="3"/>
  <c r="G547" i="3"/>
  <c r="G545" i="3"/>
  <c r="G543" i="3"/>
  <c r="G541" i="3"/>
  <c r="G539" i="3"/>
  <c r="G537" i="3"/>
  <c r="BQ555" i="3"/>
  <c r="BL555" i="3" s="1"/>
  <c r="BQ553" i="3"/>
  <c r="BL553" i="3" s="1"/>
  <c r="BQ551" i="3"/>
  <c r="BL551" i="3"/>
  <c r="BQ549" i="3"/>
  <c r="BQ547" i="3"/>
  <c r="BL547" i="3" s="1"/>
  <c r="BQ545" i="3"/>
  <c r="BL545" i="3"/>
  <c r="BQ543" i="3"/>
  <c r="BL543" i="3" s="1"/>
  <c r="BQ541" i="3"/>
  <c r="BL541" i="3"/>
  <c r="BQ539" i="3"/>
  <c r="BL539" i="3" s="1"/>
  <c r="BQ537" i="3"/>
  <c r="BL537" i="3" s="1"/>
  <c r="BQ535" i="3"/>
  <c r="BL535" i="3" s="1"/>
  <c r="BQ533" i="3"/>
  <c r="BL533" i="3"/>
  <c r="BQ531" i="3"/>
  <c r="BL531" i="3" s="1"/>
  <c r="BQ529" i="3"/>
  <c r="BL529" i="3" s="1"/>
  <c r="BQ527" i="3"/>
  <c r="BL527" i="3" s="1"/>
  <c r="BQ525" i="3"/>
  <c r="BL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BL508" i="3"/>
  <c r="G507" i="3"/>
  <c r="G505" i="3"/>
  <c r="G503" i="3"/>
  <c r="G501" i="3"/>
  <c r="G499" i="3"/>
  <c r="G497" i="3"/>
  <c r="G495" i="3"/>
  <c r="BQ507" i="3"/>
  <c r="BQ505" i="3"/>
  <c r="BL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1" i="40"/>
  <c r="AA31" i="40" s="1"/>
  <c r="H31" i="40"/>
  <c r="U31" i="40" s="1"/>
  <c r="F32" i="40"/>
  <c r="H32" i="40"/>
  <c r="AB32" i="40" s="1"/>
  <c r="J36" i="40"/>
  <c r="W36" i="40" s="1"/>
  <c r="H19" i="37"/>
  <c r="AB19" i="37" s="1"/>
  <c r="H42" i="33"/>
  <c r="AB42" i="33" s="1"/>
  <c r="J43" i="33"/>
  <c r="AC43" i="33"/>
  <c r="S28" i="31"/>
  <c r="S27" i="31"/>
  <c r="S26" i="31"/>
  <c r="U14" i="40"/>
  <c r="W23" i="35"/>
  <c r="U39" i="37"/>
  <c r="U26" i="37"/>
  <c r="W47" i="34"/>
  <c r="AA13" i="33"/>
  <c r="AC45" i="33"/>
  <c r="W44" i="33"/>
  <c r="U19"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U31" i="37"/>
  <c r="J15" i="37"/>
  <c r="AT6" i="3"/>
  <c r="AA25" i="21"/>
  <c r="H19" i="40"/>
  <c r="U19"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G4" i="4"/>
  <c r="I4" i="4"/>
  <c r="A2" i="9"/>
  <c r="F61" i="43"/>
  <c r="H64" i="43" s="1"/>
  <c r="BL549" i="3"/>
  <c r="AZ514"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AZ342" i="3"/>
  <c r="BA344" i="3"/>
  <c r="AZ344" i="3" s="1"/>
  <c r="BL344" i="3"/>
  <c r="BA346" i="3"/>
  <c r="BA347" i="3"/>
  <c r="BL347" i="3"/>
  <c r="G350" i="3"/>
  <c r="BA351" i="3"/>
  <c r="BL351" i="3"/>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AZ315" i="3" s="1"/>
  <c r="G316" i="3"/>
  <c r="BA318" i="3"/>
  <c r="AZ318" i="3" s="1"/>
  <c r="BL319" i="3"/>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AZ345" i="3" s="1"/>
  <c r="G346" i="3"/>
  <c r="BL349" i="3"/>
  <c r="BL352" i="3"/>
  <c r="G353" i="3"/>
  <c r="BA357" i="3"/>
  <c r="BL358" i="3"/>
  <c r="G359" i="3"/>
  <c r="BA361" i="3"/>
  <c r="AZ361" i="3"/>
  <c r="BL362" i="3"/>
  <c r="G363" i="3"/>
  <c r="BA365" i="3"/>
  <c r="BL366" i="3"/>
  <c r="G367" i="3"/>
  <c r="BA369" i="3"/>
  <c r="AZ369" i="3" s="1"/>
  <c r="BL370" i="3"/>
  <c r="G371" i="3"/>
  <c r="BA373" i="3"/>
  <c r="AZ373" i="3" s="1"/>
  <c r="BL374" i="3"/>
  <c r="G375" i="3"/>
  <c r="BA377" i="3"/>
  <c r="AZ377" i="3" s="1"/>
  <c r="AZ233" i="3"/>
  <c r="AZ249" i="3"/>
  <c r="BA379" i="3"/>
  <c r="BL380" i="3"/>
  <c r="G381" i="3"/>
  <c r="BA383" i="3"/>
  <c r="AZ383" i="3" s="1"/>
  <c r="BL384" i="3"/>
  <c r="G385" i="3"/>
  <c r="BA387" i="3"/>
  <c r="AZ387" i="3" s="1"/>
  <c r="BL388" i="3"/>
  <c r="G389" i="3"/>
  <c r="BA391" i="3"/>
  <c r="AZ391" i="3" s="1"/>
  <c r="BL392" i="3"/>
  <c r="AZ392" i="3" s="1"/>
  <c r="G393" i="3"/>
  <c r="AZ496" i="3"/>
  <c r="G548" i="3"/>
  <c r="G538" i="3"/>
  <c r="G520" i="3"/>
  <c r="G502" i="3"/>
  <c r="G17" i="3"/>
  <c r="BA17" i="3"/>
  <c r="BA15" i="3"/>
  <c r="AZ509" i="3"/>
  <c r="G509" i="3"/>
  <c r="BL493" i="3"/>
  <c r="AZ493" i="3" s="1"/>
  <c r="U36" i="40"/>
  <c r="F83" i="43"/>
  <c r="H85" i="43" s="1"/>
  <c r="F50" i="43"/>
  <c r="H54" i="43" s="1"/>
  <c r="G54" i="43" s="1"/>
  <c r="F72" i="43"/>
  <c r="H75" i="43" s="1"/>
  <c r="U17" i="39"/>
  <c r="S14" i="35"/>
  <c r="U43" i="21"/>
  <c r="U35" i="21"/>
  <c r="AC35" i="21"/>
  <c r="AC11" i="39"/>
  <c r="W37" i="37"/>
  <c r="W44" i="34"/>
  <c r="AC44" i="34"/>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3" i="35"/>
  <c r="H32" i="37"/>
  <c r="AB32" i="37" s="1"/>
  <c r="F96" i="37"/>
  <c r="H27" i="40"/>
  <c r="U27" i="40"/>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AC26" i="33"/>
  <c r="W26" i="33"/>
  <c r="AB34" i="36"/>
  <c r="U34" i="36"/>
  <c r="AC12" i="39"/>
  <c r="W12" i="39"/>
  <c r="AC39" i="40"/>
  <c r="W39" i="40"/>
  <c r="AZ412" i="3"/>
  <c r="AA32" i="36"/>
  <c r="S32" i="36"/>
  <c r="BL14" i="3"/>
  <c r="U30" i="33"/>
  <c r="AC13" i="34"/>
  <c r="AA47" i="34"/>
  <c r="W28" i="37"/>
  <c r="S19" i="39"/>
  <c r="F12" i="33"/>
  <c r="H12" i="39"/>
  <c r="AB12" i="39"/>
  <c r="F39" i="40"/>
  <c r="BA14" i="3"/>
  <c r="B12" i="1"/>
  <c r="E12" i="1" s="1"/>
  <c r="B10" i="1"/>
  <c r="E10" i="1" s="1"/>
  <c r="K12" i="1"/>
  <c r="M12" i="1" s="1"/>
  <c r="S13" i="1"/>
  <c r="AR13" i="1" s="1"/>
  <c r="R13" i="1"/>
  <c r="J51" i="67"/>
  <c r="AC34" i="33"/>
  <c r="AB37" i="40"/>
  <c r="U35" i="40"/>
  <c r="AC36" i="40"/>
  <c r="S17" i="40"/>
  <c r="S23" i="40"/>
  <c r="AC17" i="40"/>
  <c r="AC15" i="40"/>
  <c r="AB27" i="40"/>
  <c r="S30" i="40"/>
  <c r="AA19" i="40"/>
  <c r="S28" i="40"/>
  <c r="AA27" i="40"/>
  <c r="AB19" i="40"/>
  <c r="U37" i="39"/>
  <c r="S37" i="39"/>
  <c r="U35" i="39"/>
  <c r="F32" i="39"/>
  <c r="AA32" i="39" s="1"/>
  <c r="F106" i="39"/>
  <c r="G106" i="39" s="1"/>
  <c r="H106" i="39" s="1"/>
  <c r="I106" i="39" s="1"/>
  <c r="J106" i="39" s="1"/>
  <c r="K106" i="39" s="1"/>
  <c r="L106" i="39" s="1"/>
  <c r="M106" i="39" s="1"/>
  <c r="U31" i="39"/>
  <c r="J21" i="39"/>
  <c r="W21" i="39" s="1"/>
  <c r="F21" i="39"/>
  <c r="G94" i="39"/>
  <c r="H21" i="39"/>
  <c r="U21" i="39" s="1"/>
  <c r="W19" i="39"/>
  <c r="S17" i="39"/>
  <c r="S15" i="39"/>
  <c r="S9" i="39"/>
  <c r="U14" i="39"/>
  <c r="AC13" i="39"/>
  <c r="U12" i="39"/>
  <c r="U26" i="36"/>
  <c r="S33" i="36"/>
  <c r="AA34" i="36"/>
  <c r="AC26" i="36"/>
  <c r="AA22" i="36"/>
  <c r="W14" i="36"/>
  <c r="U22" i="36"/>
  <c r="S16" i="36"/>
  <c r="AA25" i="36"/>
  <c r="S24" i="36"/>
  <c r="AB20" i="36"/>
  <c r="S14" i="36"/>
  <c r="AA25" i="35"/>
  <c r="S23" i="35"/>
  <c r="W24" i="35"/>
  <c r="AB13" i="35"/>
  <c r="U29" i="35"/>
  <c r="U28" i="35"/>
  <c r="AB27" i="35"/>
  <c r="U36" i="35"/>
  <c r="AA33" i="35"/>
  <c r="AC30" i="35"/>
  <c r="S32" i="35"/>
  <c r="AA36" i="35"/>
  <c r="S28" i="35"/>
  <c r="AB16" i="35"/>
  <c r="U22" i="35"/>
  <c r="AC20" i="35"/>
  <c r="S22" i="35"/>
  <c r="AA11" i="35"/>
  <c r="AC9" i="35"/>
  <c r="W9" i="35"/>
  <c r="AC12" i="35"/>
  <c r="W13" i="35"/>
  <c r="F9" i="35"/>
  <c r="S9" i="35" s="1"/>
  <c r="H9" i="35"/>
  <c r="U9" i="35" s="1"/>
  <c r="S25" i="37"/>
  <c r="AC29" i="37"/>
  <c r="U29" i="37"/>
  <c r="S32" i="37"/>
  <c r="AB31" i="37"/>
  <c r="W30" i="37"/>
  <c r="AA38" i="37"/>
  <c r="U32" i="37"/>
  <c r="W38" i="37"/>
  <c r="W39" i="37"/>
  <c r="S37" i="37"/>
  <c r="J17" i="37"/>
  <c r="W17" i="37" s="1"/>
  <c r="F17" i="37"/>
  <c r="AB17" i="37"/>
  <c r="F75" i="37"/>
  <c r="F19" i="37"/>
  <c r="S19" i="37" s="1"/>
  <c r="F79" i="37"/>
  <c r="F23" i="37"/>
  <c r="S23" i="37" s="1"/>
  <c r="U23" i="37"/>
  <c r="U15" i="37"/>
  <c r="H10" i="37"/>
  <c r="AB10" i="37" s="1"/>
  <c r="F63" i="37"/>
  <c r="F11" i="37"/>
  <c r="S11" i="37" s="1"/>
  <c r="W25" i="34"/>
  <c r="AB8" i="34"/>
  <c r="AA33" i="34"/>
  <c r="U43" i="34"/>
  <c r="W41" i="34"/>
  <c r="AC42" i="34"/>
  <c r="AB35" i="34"/>
  <c r="U39" i="34"/>
  <c r="AB41" i="34"/>
  <c r="AA45" i="34"/>
  <c r="AA25" i="34"/>
  <c r="U28" i="34"/>
  <c r="S17" i="34"/>
  <c r="AA29" i="34"/>
  <c r="S23" i="34"/>
  <c r="U15" i="34"/>
  <c r="S13" i="34"/>
  <c r="H10" i="34"/>
  <c r="AB10" i="34" s="1"/>
  <c r="F11" i="34"/>
  <c r="S11" i="34" s="1"/>
  <c r="F70" i="34"/>
  <c r="W42" i="33"/>
  <c r="S27"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27" i="33"/>
  <c r="F87" i="33"/>
  <c r="H25" i="33"/>
  <c r="U25" i="33" s="1"/>
  <c r="F25" i="33"/>
  <c r="J23" i="33"/>
  <c r="AC23" i="33" s="1"/>
  <c r="F85" i="33"/>
  <c r="H23" i="33"/>
  <c r="AB23" i="33" s="1"/>
  <c r="F81" i="33"/>
  <c r="G81" i="33" s="1"/>
  <c r="F19" i="33"/>
  <c r="S19" i="33" s="1"/>
  <c r="W19" i="33"/>
  <c r="J17" i="33"/>
  <c r="W17" i="33" s="1"/>
  <c r="F79" i="33"/>
  <c r="G79" i="33" s="1"/>
  <c r="S15" i="33"/>
  <c r="W15" i="33"/>
  <c r="U9" i="33"/>
  <c r="J10" i="33"/>
  <c r="W10" i="33" s="1"/>
  <c r="H10" i="33"/>
  <c r="U10" i="33" s="1"/>
  <c r="AB14" i="33"/>
  <c r="W43" i="21"/>
  <c r="W36" i="21"/>
  <c r="W41" i="21"/>
  <c r="AB39" i="21"/>
  <c r="AA43" i="21"/>
  <c r="AA38" i="21"/>
  <c r="AA36" i="21"/>
  <c r="AC40" i="21"/>
  <c r="J15" i="21"/>
  <c r="W15" i="21" s="1"/>
  <c r="F77" i="21"/>
  <c r="G77" i="21"/>
  <c r="F23" i="21"/>
  <c r="S23" i="21" s="1"/>
  <c r="E85" i="21"/>
  <c r="AA14" i="21"/>
  <c r="D120" i="9"/>
  <c r="F34" i="67"/>
  <c r="F62" i="67" s="1"/>
  <c r="M20" i="67"/>
  <c r="F34" i="15"/>
  <c r="F62" i="15" s="1"/>
  <c r="BA13" i="3"/>
  <c r="BL17" i="3"/>
  <c r="AZ17" i="3" s="1"/>
  <c r="BL13" i="3"/>
  <c r="J56" i="9"/>
  <c r="J57" i="9" s="1"/>
  <c r="J59" i="9" s="1"/>
  <c r="J61" i="9" s="1"/>
  <c r="A24" i="51"/>
  <c r="B18" i="72" s="1"/>
  <c r="U29" i="34"/>
  <c r="E5" i="6"/>
  <c r="E32" i="6"/>
  <c r="K1" i="12"/>
  <c r="E19" i="69"/>
  <c r="E19" i="68"/>
  <c r="E19" i="11"/>
  <c r="G22" i="69"/>
  <c r="G22" i="68"/>
  <c r="C6" i="43"/>
  <c r="B19" i="53"/>
  <c r="B37" i="72" s="1"/>
  <c r="C7" i="39"/>
  <c r="C67" i="39" s="1"/>
  <c r="C7" i="35"/>
  <c r="C48" i="35" s="1"/>
  <c r="D48" i="35" s="1"/>
  <c r="C7" i="40"/>
  <c r="C63" i="40" s="1"/>
  <c r="M47" i="9"/>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AC25" i="35"/>
  <c r="U25" i="35"/>
  <c r="S24" i="35"/>
  <c r="U24" i="35"/>
  <c r="S35" i="35"/>
  <c r="W35" i="35"/>
  <c r="AA16" i="35"/>
  <c r="W36" i="37"/>
  <c r="S28" i="37"/>
  <c r="W32" i="37"/>
  <c r="U36"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c r="AC19" i="21"/>
  <c r="W39" i="21"/>
  <c r="AC14" i="21"/>
  <c r="W30"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AB25" i="21"/>
  <c r="AA30" i="21"/>
  <c r="W13" i="21"/>
  <c r="W42" i="21"/>
  <c r="AC45" i="21"/>
  <c r="F10" i="21"/>
  <c r="AA10" i="21" s="1"/>
  <c r="K145" i="21"/>
  <c r="W17" i="21"/>
  <c r="W25" i="21"/>
  <c r="W31" i="21"/>
  <c r="S17" i="21"/>
  <c r="AA15"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S32" i="39"/>
  <c r="AA21" i="39"/>
  <c r="S21" i="39"/>
  <c r="AC17" i="37"/>
  <c r="J19" i="37"/>
  <c r="W19" i="37" s="1"/>
  <c r="G75" i="37"/>
  <c r="AA19" i="37"/>
  <c r="AA23" i="37"/>
  <c r="J23" i="37"/>
  <c r="AC23" i="37" s="1"/>
  <c r="G79" i="37"/>
  <c r="J10" i="37"/>
  <c r="W10" i="37" s="1"/>
  <c r="G63" i="37"/>
  <c r="H63" i="37" s="1"/>
  <c r="I63" i="37" s="1"/>
  <c r="J63" i="37" s="1"/>
  <c r="K63" i="37" s="1"/>
  <c r="L63" i="37" s="1"/>
  <c r="M63" i="37" s="1"/>
  <c r="H11" i="37"/>
  <c r="AB11" i="37" s="1"/>
  <c r="G70" i="34"/>
  <c r="H11" i="34"/>
  <c r="U11" i="34" s="1"/>
  <c r="J10" i="34"/>
  <c r="AC10" i="34" s="1"/>
  <c r="AB41" i="33"/>
  <c r="U41" i="33"/>
  <c r="W35" i="33"/>
  <c r="J36" i="33"/>
  <c r="W36" i="33" s="1"/>
  <c r="H36" i="33"/>
  <c r="U36" i="33" s="1"/>
  <c r="S36" i="33"/>
  <c r="U27" i="33"/>
  <c r="AB27" i="33"/>
  <c r="H91" i="33"/>
  <c r="I91" i="33" s="1"/>
  <c r="J91" i="33" s="1"/>
  <c r="K91" i="33" s="1"/>
  <c r="L91" i="33" s="1"/>
  <c r="M91" i="33" s="1"/>
  <c r="J27" i="33"/>
  <c r="W27" i="33" s="1"/>
  <c r="G87" i="33"/>
  <c r="H87" i="33"/>
  <c r="I87" i="33" s="1"/>
  <c r="J87" i="33" s="1"/>
  <c r="K87" i="33" s="1"/>
  <c r="L87" i="33" s="1"/>
  <c r="M87" i="33" s="1"/>
  <c r="J25" i="33"/>
  <c r="F23" i="33"/>
  <c r="G85" i="33"/>
  <c r="AA19" i="33"/>
  <c r="H19" i="33"/>
  <c r="U19" i="33" s="1"/>
  <c r="H17" i="33"/>
  <c r="U17" i="33" s="1"/>
  <c r="F17" i="33"/>
  <c r="AA23" i="21"/>
  <c r="J23" i="21"/>
  <c r="W23" i="21" s="1"/>
  <c r="F85" i="21"/>
  <c r="G85" i="21" s="1"/>
  <c r="H23" i="21"/>
  <c r="S13" i="21"/>
  <c r="AP7" i="1"/>
  <c r="AB45" i="21"/>
  <c r="AB9" i="21"/>
  <c r="U9" i="21"/>
  <c r="AA32" i="21"/>
  <c r="S32" i="21"/>
  <c r="AB32" i="21"/>
  <c r="U32" i="21"/>
  <c r="W32" i="39"/>
  <c r="W23" i="37"/>
  <c r="J11" i="37"/>
  <c r="AC11" i="37" s="1"/>
  <c r="H70" i="34"/>
  <c r="I70" i="34" s="1"/>
  <c r="J70" i="34" s="1"/>
  <c r="K70" i="34" s="1"/>
  <c r="L70" i="34" s="1"/>
  <c r="M70" i="34" s="1"/>
  <c r="J11" i="34"/>
  <c r="W11" i="34" s="1"/>
  <c r="W25" i="33"/>
  <c r="AC25" i="33"/>
  <c r="AB19" i="33"/>
  <c r="U23" i="21"/>
  <c r="AB23" i="2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1" i="76"/>
  <c r="B7" i="76"/>
  <c r="AO13" i="1"/>
  <c r="B12" i="76"/>
  <c r="E13" i="76"/>
  <c r="F7" i="73"/>
  <c r="F3" i="73"/>
  <c r="F6" i="73"/>
  <c r="B8" i="76"/>
  <c r="E9" i="76"/>
  <c r="F4" i="73"/>
  <c r="F5" i="73"/>
  <c r="E7" i="76"/>
  <c r="E11" i="76"/>
  <c r="E10" i="76"/>
  <c r="F20" i="31"/>
  <c r="E8" i="76"/>
  <c r="E12" i="76"/>
  <c r="E2" i="69"/>
  <c r="B13" i="76"/>
  <c r="D6" i="73"/>
  <c r="E2" i="68"/>
  <c r="B9" i="76"/>
  <c r="B10" i="76"/>
  <c r="W40" i="37" l="1"/>
  <c r="AC40" i="37"/>
  <c r="F29" i="6"/>
  <c r="AB14" i="35"/>
  <c r="U14" i="35"/>
  <c r="W9" i="21"/>
  <c r="AC17" i="33"/>
  <c r="U23" i="33"/>
  <c r="AC26" i="21"/>
  <c r="AC11" i="33"/>
  <c r="S30" i="37"/>
  <c r="U32" i="35"/>
  <c r="AA26" i="36"/>
  <c r="U29" i="36"/>
  <c r="W15" i="37"/>
  <c r="AC15" i="37"/>
  <c r="AA43" i="39"/>
  <c r="S43" i="39"/>
  <c r="AA32" i="33"/>
  <c r="S32" i="33"/>
  <c r="S36" i="39"/>
  <c r="AA36" i="39"/>
  <c r="S40" i="21"/>
  <c r="AA40" i="21"/>
  <c r="U12" i="35"/>
  <c r="AB12" i="35"/>
  <c r="AC28" i="35"/>
  <c r="W28" i="35"/>
  <c r="S39" i="21"/>
  <c r="AZ115" i="3"/>
  <c r="S11" i="39"/>
  <c r="AA11" i="39"/>
  <c r="S32" i="40"/>
  <c r="AA32" i="40"/>
  <c r="AA36" i="37"/>
  <c r="S36" i="37"/>
  <c r="BL581" i="3"/>
  <c r="U27" i="39"/>
  <c r="AB27" i="39"/>
  <c r="AB19" i="39"/>
  <c r="U19" i="39"/>
  <c r="S41" i="39"/>
  <c r="AA41" i="39"/>
  <c r="J27" i="34"/>
  <c r="H27" i="34"/>
  <c r="AB21" i="40"/>
  <c r="U21" i="40"/>
  <c r="AC27" i="33"/>
  <c r="U32" i="39"/>
  <c r="AB25" i="33"/>
  <c r="AB21" i="39"/>
  <c r="AC15" i="21"/>
  <c r="AA35" i="37"/>
  <c r="AB20" i="35"/>
  <c r="AA34" i="33"/>
  <c r="AZ204" i="3"/>
  <c r="U30" i="36"/>
  <c r="AA35" i="40"/>
  <c r="S35" i="40"/>
  <c r="BA586" i="3"/>
  <c r="BA585" i="3"/>
  <c r="J27" i="21"/>
  <c r="F27" i="21"/>
  <c r="J46" i="21"/>
  <c r="F46" i="21"/>
  <c r="W39" i="34"/>
  <c r="AC39" i="34"/>
  <c r="S13" i="37"/>
  <c r="AA13" i="37"/>
  <c r="AA14" i="33"/>
  <c r="S14" i="33"/>
  <c r="AB26" i="33"/>
  <c r="U26" i="33"/>
  <c r="AB16" i="36"/>
  <c r="U16" i="36"/>
  <c r="AA11" i="40"/>
  <c r="S11" i="40"/>
  <c r="U38" i="21"/>
  <c r="AB38" i="21"/>
  <c r="AC39" i="33"/>
  <c r="W39" i="33"/>
  <c r="AB40" i="33"/>
  <c r="U40" i="33"/>
  <c r="AC31" i="37"/>
  <c r="W31" i="37"/>
  <c r="J13" i="37"/>
  <c r="H13" i="37"/>
  <c r="H27" i="37"/>
  <c r="J27" i="37"/>
  <c r="F27" i="37"/>
  <c r="W35" i="37"/>
  <c r="AC35" i="37"/>
  <c r="H40" i="37"/>
  <c r="F40" i="37"/>
  <c r="J33" i="40"/>
  <c r="H33" i="40"/>
  <c r="F33" i="40"/>
  <c r="U31" i="35"/>
  <c r="AB31" i="35"/>
  <c r="BL584" i="3"/>
  <c r="BA583" i="3"/>
  <c r="BA582" i="3"/>
  <c r="BA581" i="3"/>
  <c r="AZ581" i="3" s="1"/>
  <c r="BA580" i="3"/>
  <c r="BA579" i="3"/>
  <c r="BL578" i="3"/>
  <c r="BA578" i="3"/>
  <c r="AZ578" i="3" s="1"/>
  <c r="BA573" i="3"/>
  <c r="BL572" i="3"/>
  <c r="BA572" i="3"/>
  <c r="AZ572" i="3" s="1"/>
  <c r="BA571" i="3"/>
  <c r="AZ571" i="3" s="1"/>
  <c r="BL570" i="3"/>
  <c r="BA570" i="3"/>
  <c r="AZ570" i="3" s="1"/>
  <c r="BL568" i="3"/>
  <c r="BA567" i="3"/>
  <c r="BP5" i="3"/>
  <c r="BK5" i="3"/>
  <c r="BG5" i="3"/>
  <c r="BA566" i="3"/>
  <c r="AZ566" i="3" s="1"/>
  <c r="BC5" i="3"/>
  <c r="BT5" i="3"/>
  <c r="BO5" i="3"/>
  <c r="BJ5" i="3"/>
  <c r="BF5" i="3"/>
  <c r="BB5" i="3"/>
  <c r="BL563" i="3"/>
  <c r="BA563" i="3"/>
  <c r="AZ563" i="3" s="1"/>
  <c r="BL562" i="3"/>
  <c r="BN5" i="3"/>
  <c r="G29" i="6" s="1"/>
  <c r="BA562" i="3"/>
  <c r="BE5" i="3"/>
  <c r="AC5" i="3"/>
  <c r="BR5" i="3"/>
  <c r="BL561" i="3"/>
  <c r="BH5" i="3"/>
  <c r="AZ372" i="3"/>
  <c r="AZ329" i="3"/>
  <c r="AZ380" i="3"/>
  <c r="AZ341" i="3"/>
  <c r="BL569" i="3"/>
  <c r="BL583" i="3"/>
  <c r="AC40" i="33"/>
  <c r="W40" i="33"/>
  <c r="J12" i="36"/>
  <c r="F12" i="36"/>
  <c r="H12" i="36"/>
  <c r="BA552" i="3"/>
  <c r="AZ552" i="3" s="1"/>
  <c r="BA549" i="3"/>
  <c r="AZ549" i="3" s="1"/>
  <c r="BL544" i="3"/>
  <c r="AZ544" i="3" s="1"/>
  <c r="BL542" i="3"/>
  <c r="BA542" i="3"/>
  <c r="BA541" i="3"/>
  <c r="AZ541" i="3" s="1"/>
  <c r="BA533" i="3"/>
  <c r="AZ533" i="3" s="1"/>
  <c r="BL532" i="3"/>
  <c r="BL526" i="3"/>
  <c r="BA525" i="3"/>
  <c r="AZ525" i="3" s="1"/>
  <c r="BL524" i="3"/>
  <c r="BA524" i="3"/>
  <c r="BA516" i="3"/>
  <c r="AZ516" i="3" s="1"/>
  <c r="BA515" i="3"/>
  <c r="AZ515" i="3" s="1"/>
  <c r="BA508" i="3"/>
  <c r="AZ508" i="3" s="1"/>
  <c r="BL506" i="3"/>
  <c r="AZ506" i="3" s="1"/>
  <c r="BA505" i="3"/>
  <c r="BL504" i="3"/>
  <c r="AZ504" i="3" s="1"/>
  <c r="BA500" i="3"/>
  <c r="AZ500" i="3" s="1"/>
  <c r="K54" i="43"/>
  <c r="J54" i="43" s="1"/>
  <c r="M54" i="43"/>
  <c r="N54" i="43" s="1"/>
  <c r="AZ379" i="3"/>
  <c r="AZ322" i="3"/>
  <c r="AZ311" i="3"/>
  <c r="AZ355" i="3"/>
  <c r="AZ340" i="3"/>
  <c r="AZ547" i="3"/>
  <c r="BL565" i="3"/>
  <c r="AZ565" i="3" s="1"/>
  <c r="BL571" i="3"/>
  <c r="BL577" i="3"/>
  <c r="AZ498" i="3"/>
  <c r="AZ510" i="3"/>
  <c r="AZ558" i="3"/>
  <c r="AZ538" i="3"/>
  <c r="AA44" i="33"/>
  <c r="C15" i="39"/>
  <c r="BA587" i="3"/>
  <c r="J44" i="21"/>
  <c r="H44" i="21"/>
  <c r="J33" i="36"/>
  <c r="AC33" i="36" s="1"/>
  <c r="H33" i="36"/>
  <c r="H38" i="40"/>
  <c r="F38" i="40"/>
  <c r="H36" i="39"/>
  <c r="J36" i="39"/>
  <c r="AC36" i="39" s="1"/>
  <c r="BA584" i="3"/>
  <c r="AZ584" i="3" s="1"/>
  <c r="BL582" i="3"/>
  <c r="BL580" i="3"/>
  <c r="AZ580" i="3" s="1"/>
  <c r="BA577" i="3"/>
  <c r="BA576" i="3"/>
  <c r="BA569" i="3"/>
  <c r="BA568" i="3"/>
  <c r="AZ568" i="3" s="1"/>
  <c r="BL566" i="3"/>
  <c r="BL564" i="3"/>
  <c r="BA561" i="3"/>
  <c r="BA560" i="3"/>
  <c r="AZ560" i="3" s="1"/>
  <c r="AZ364" i="3"/>
  <c r="AZ305" i="3"/>
  <c r="AZ505" i="3"/>
  <c r="BL573" i="3"/>
  <c r="AZ573" i="3" s="1"/>
  <c r="BL579" i="3"/>
  <c r="AZ527" i="3"/>
  <c r="AZ512" i="3"/>
  <c r="AZ532" i="3"/>
  <c r="AZ522" i="3"/>
  <c r="AA38" i="33"/>
  <c r="S38" i="33"/>
  <c r="F9" i="34"/>
  <c r="AA9" i="34" s="1"/>
  <c r="J9" i="34"/>
  <c r="H23" i="36"/>
  <c r="F23" i="36"/>
  <c r="AA38" i="39"/>
  <c r="S38" i="39"/>
  <c r="AB9" i="40"/>
  <c r="U9" i="40"/>
  <c r="J12" i="40"/>
  <c r="F12" i="40"/>
  <c r="G551" i="3"/>
  <c r="G542" i="3"/>
  <c r="H5" i="3"/>
  <c r="BL15" i="3"/>
  <c r="AZ15" i="3" s="1"/>
  <c r="A15" i="62"/>
  <c r="B61" i="72" s="1"/>
  <c r="BA399" i="3"/>
  <c r="AZ399" i="3" s="1"/>
  <c r="BL402" i="3"/>
  <c r="BA403" i="3"/>
  <c r="BL406" i="3"/>
  <c r="BA419" i="3"/>
  <c r="AZ419" i="3" s="1"/>
  <c r="G425" i="3"/>
  <c r="BA425" i="3"/>
  <c r="BA426" i="3"/>
  <c r="BA427" i="3"/>
  <c r="AZ427" i="3" s="1"/>
  <c r="BA452" i="3"/>
  <c r="BA454" i="3"/>
  <c r="BL458" i="3"/>
  <c r="BL462" i="3"/>
  <c r="BA470" i="3"/>
  <c r="BL359" i="3"/>
  <c r="AZ359" i="3" s="1"/>
  <c r="U34" i="35"/>
  <c r="G570" i="3"/>
  <c r="G14" i="3"/>
  <c r="F6" i="1"/>
  <c r="BA402" i="3"/>
  <c r="AZ402" i="3" s="1"/>
  <c r="BA406" i="3"/>
  <c r="BL409" i="3"/>
  <c r="G410" i="3"/>
  <c r="G414" i="3"/>
  <c r="BA414" i="3"/>
  <c r="BA415" i="3"/>
  <c r="BA416" i="3"/>
  <c r="AZ416" i="3" s="1"/>
  <c r="BA418" i="3"/>
  <c r="BA424" i="3"/>
  <c r="G429" i="3"/>
  <c r="BA437" i="3"/>
  <c r="BL437" i="3"/>
  <c r="G439" i="3"/>
  <c r="G440" i="3"/>
  <c r="BL443" i="3"/>
  <c r="G448" i="3"/>
  <c r="BL451" i="3"/>
  <c r="BA458" i="3"/>
  <c r="BA462" i="3"/>
  <c r="AZ462" i="3" s="1"/>
  <c r="BL465" i="3"/>
  <c r="G471" i="3"/>
  <c r="BA476" i="3"/>
  <c r="BL476" i="3"/>
  <c r="BL477" i="3"/>
  <c r="BL478" i="3"/>
  <c r="G479" i="3"/>
  <c r="BA486" i="3"/>
  <c r="G489" i="3"/>
  <c r="F7" i="1"/>
  <c r="G7" i="1" s="1"/>
  <c r="C36" i="77"/>
  <c r="G398" i="3"/>
  <c r="G404" i="3"/>
  <c r="BA413" i="3"/>
  <c r="G418" i="3"/>
  <c r="BA421" i="3"/>
  <c r="BA423" i="3"/>
  <c r="AZ423" i="3" s="1"/>
  <c r="G426" i="3"/>
  <c r="BA431" i="3"/>
  <c r="BA433" i="3"/>
  <c r="AZ433" i="3" s="1"/>
  <c r="BA435" i="3"/>
  <c r="AZ435" i="3" s="1"/>
  <c r="BA443" i="3"/>
  <c r="BL447" i="3"/>
  <c r="G470" i="3"/>
  <c r="BA473" i="3"/>
  <c r="BL484" i="3"/>
  <c r="BL488" i="3"/>
  <c r="BL316" i="3"/>
  <c r="G329" i="3"/>
  <c r="BL340" i="3"/>
  <c r="BL346" i="3"/>
  <c r="AZ346" i="3" s="1"/>
  <c r="G349" i="3"/>
  <c r="G380" i="3"/>
  <c r="G384" i="3"/>
  <c r="BA386" i="3"/>
  <c r="AZ386" i="3" s="1"/>
  <c r="G392" i="3"/>
  <c r="BL395" i="3"/>
  <c r="G397" i="3"/>
  <c r="G212" i="3"/>
  <c r="BA217" i="3"/>
  <c r="G220" i="3"/>
  <c r="BA227" i="3"/>
  <c r="AZ227" i="3" s="1"/>
  <c r="BA235" i="3"/>
  <c r="BL235" i="3"/>
  <c r="BL236" i="3"/>
  <c r="G237" i="3"/>
  <c r="BL242" i="3"/>
  <c r="BL243" i="3"/>
  <c r="G244" i="3"/>
  <c r="G249" i="3"/>
  <c r="BA250" i="3"/>
  <c r="G253" i="3"/>
  <c r="BL254" i="3"/>
  <c r="BL259" i="3"/>
  <c r="G266" i="3"/>
  <c r="G270" i="3"/>
  <c r="BL275" i="3"/>
  <c r="G277" i="3"/>
  <c r="G284" i="3"/>
  <c r="BL285" i="3"/>
  <c r="BA290" i="3"/>
  <c r="AZ290" i="3" s="1"/>
  <c r="G292" i="3"/>
  <c r="BA122" i="3"/>
  <c r="AZ122" i="3" s="1"/>
  <c r="BL135" i="3"/>
  <c r="AZ135" i="3" s="1"/>
  <c r="G143" i="3"/>
  <c r="BA149" i="3"/>
  <c r="BL158" i="3"/>
  <c r="BL183" i="3"/>
  <c r="AZ183" i="3" s="1"/>
  <c r="AZ270" i="3"/>
  <c r="AZ177" i="3"/>
  <c r="BL440" i="3"/>
  <c r="G444" i="3"/>
  <c r="BA448" i="3"/>
  <c r="AZ448" i="3" s="1"/>
  <c r="BL448" i="3"/>
  <c r="G450" i="3"/>
  <c r="G451" i="3"/>
  <c r="BA456" i="3"/>
  <c r="AZ456" i="3" s="1"/>
  <c r="BA457" i="3"/>
  <c r="G460" i="3"/>
  <c r="BA460" i="3"/>
  <c r="BA461" i="3"/>
  <c r="G464" i="3"/>
  <c r="BL464" i="3"/>
  <c r="BL469" i="3"/>
  <c r="G472" i="3"/>
  <c r="G473" i="3"/>
  <c r="BL479" i="3"/>
  <c r="G480" i="3"/>
  <c r="G485" i="3"/>
  <c r="BA487" i="3"/>
  <c r="AZ487" i="3" s="1"/>
  <c r="BA489" i="3"/>
  <c r="BL489" i="3"/>
  <c r="BL491" i="3"/>
  <c r="BL492" i="3"/>
  <c r="G307" i="3"/>
  <c r="G311" i="3"/>
  <c r="G315" i="3"/>
  <c r="G323" i="3"/>
  <c r="G339" i="3"/>
  <c r="G343" i="3"/>
  <c r="G347" i="3"/>
  <c r="G351" i="3"/>
  <c r="G382" i="3"/>
  <c r="G387" i="3"/>
  <c r="BA208" i="3"/>
  <c r="AZ208" i="3" s="1"/>
  <c r="BL208" i="3"/>
  <c r="G210" i="3"/>
  <c r="G216" i="3"/>
  <c r="BL222" i="3"/>
  <c r="BL223" i="3"/>
  <c r="G224" i="3"/>
  <c r="BA229" i="3"/>
  <c r="BL229" i="3"/>
  <c r="BA231" i="3"/>
  <c r="BL231" i="3"/>
  <c r="BA248" i="3"/>
  <c r="BL252" i="3"/>
  <c r="BA260" i="3"/>
  <c r="BL260" i="3"/>
  <c r="BA272" i="3"/>
  <c r="AZ272" i="3" s="1"/>
  <c r="BA275" i="3"/>
  <c r="AZ275" i="3" s="1"/>
  <c r="BL278" i="3"/>
  <c r="G287" i="3"/>
  <c r="BL287" i="3"/>
  <c r="BL289" i="3"/>
  <c r="G291" i="3"/>
  <c r="BL113" i="3"/>
  <c r="BL115" i="3"/>
  <c r="BA118" i="3"/>
  <c r="AZ118" i="3" s="1"/>
  <c r="BL118" i="3"/>
  <c r="G128" i="3"/>
  <c r="BA128" i="3"/>
  <c r="AZ128" i="3" s="1"/>
  <c r="BA134" i="3"/>
  <c r="AZ134" i="3" s="1"/>
  <c r="G138" i="3"/>
  <c r="BL138" i="3"/>
  <c r="BA140" i="3"/>
  <c r="AZ140" i="3" s="1"/>
  <c r="BA142" i="3"/>
  <c r="BA157" i="3"/>
  <c r="C51" i="71"/>
  <c r="D50" i="71"/>
  <c r="BA319" i="3"/>
  <c r="AZ319" i="3" s="1"/>
  <c r="BL350" i="3"/>
  <c r="BL381" i="3"/>
  <c r="AZ381" i="3" s="1"/>
  <c r="BA385" i="3"/>
  <c r="BA212" i="3"/>
  <c r="BL212" i="3"/>
  <c r="BA220" i="3"/>
  <c r="BL220" i="3"/>
  <c r="BL221" i="3"/>
  <c r="AZ221" i="3" s="1"/>
  <c r="BA225" i="3"/>
  <c r="BA228" i="3"/>
  <c r="BL230" i="3"/>
  <c r="G231" i="3"/>
  <c r="BL237" i="3"/>
  <c r="BL238" i="3"/>
  <c r="G239" i="3"/>
  <c r="G246" i="3"/>
  <c r="BA247" i="3"/>
  <c r="AZ247" i="3" s="1"/>
  <c r="BL247" i="3"/>
  <c r="BA251" i="3"/>
  <c r="BL251" i="3"/>
  <c r="G254" i="3"/>
  <c r="G255" i="3"/>
  <c r="G260" i="3"/>
  <c r="BL267" i="3"/>
  <c r="BL270" i="3"/>
  <c r="G273" i="3"/>
  <c r="BA286" i="3"/>
  <c r="BA291" i="3"/>
  <c r="BL298" i="3"/>
  <c r="BL299" i="3"/>
  <c r="BA125" i="3"/>
  <c r="BA137" i="3"/>
  <c r="AZ137" i="3" s="1"/>
  <c r="BL161" i="3"/>
  <c r="BA186" i="3"/>
  <c r="AZ186" i="3" s="1"/>
  <c r="BA190" i="3"/>
  <c r="BL198" i="3"/>
  <c r="BL201" i="3"/>
  <c r="BL203" i="3"/>
  <c r="AZ203" i="3" s="1"/>
  <c r="BA204" i="3"/>
  <c r="BA18" i="3"/>
  <c r="AZ18" i="3" s="1"/>
  <c r="BL21" i="3"/>
  <c r="BL34" i="3"/>
  <c r="BA40" i="3"/>
  <c r="BA55" i="3"/>
  <c r="BA62" i="3"/>
  <c r="AZ62" i="3" s="1"/>
  <c r="BL65" i="3"/>
  <c r="BL66" i="3"/>
  <c r="BL79" i="3"/>
  <c r="BL81" i="3"/>
  <c r="BA82" i="3"/>
  <c r="BA94" i="3"/>
  <c r="E66" i="71"/>
  <c r="D75" i="71"/>
  <c r="O68" i="71"/>
  <c r="F35" i="71"/>
  <c r="F36" i="71" s="1"/>
  <c r="V36" i="71" s="1"/>
  <c r="B51" i="71"/>
  <c r="B52" i="71" s="1"/>
  <c r="S52" i="71" s="1"/>
  <c r="S68" i="71"/>
  <c r="V68" i="71"/>
  <c r="F71" i="71"/>
  <c r="F70" i="71" s="1"/>
  <c r="BA160" i="3"/>
  <c r="AZ160" i="3" s="1"/>
  <c r="BL173" i="3"/>
  <c r="BL177" i="3"/>
  <c r="G179" i="3"/>
  <c r="G183" i="3"/>
  <c r="BA189" i="3"/>
  <c r="G192" i="3"/>
  <c r="G206" i="3"/>
  <c r="BA207" i="3"/>
  <c r="G20" i="3"/>
  <c r="BL24" i="3"/>
  <c r="G29" i="3"/>
  <c r="BL29" i="3"/>
  <c r="BA36" i="3"/>
  <c r="BL38" i="3"/>
  <c r="BA39" i="3"/>
  <c r="BA43" i="3"/>
  <c r="G46" i="3"/>
  <c r="BA47" i="3"/>
  <c r="BL52" i="3"/>
  <c r="BA54" i="3"/>
  <c r="AZ54" i="3" s="1"/>
  <c r="G56" i="3"/>
  <c r="BL64" i="3"/>
  <c r="G65" i="3"/>
  <c r="BA67" i="3"/>
  <c r="AZ67" i="3" s="1"/>
  <c r="BL70" i="3"/>
  <c r="BL71" i="3"/>
  <c r="G79" i="3"/>
  <c r="G84" i="3"/>
  <c r="G98" i="3"/>
  <c r="G102" i="3"/>
  <c r="G103" i="3"/>
  <c r="BA109" i="3"/>
  <c r="U21" i="34"/>
  <c r="Y27" i="71"/>
  <c r="Z27" i="71" s="1"/>
  <c r="B40" i="71"/>
  <c r="S40" i="71" s="1"/>
  <c r="X26" i="71"/>
  <c r="Y29" i="71"/>
  <c r="Z29" i="71" s="1"/>
  <c r="X25" i="71"/>
  <c r="AA35" i="71"/>
  <c r="Y35" i="71"/>
  <c r="Z35" i="71" s="1"/>
  <c r="X36" i="71"/>
  <c r="C23" i="71"/>
  <c r="B22" i="71"/>
  <c r="B21" i="71" s="1"/>
  <c r="B20" i="71" s="1"/>
  <c r="AZ65" i="3"/>
  <c r="AC21" i="21"/>
  <c r="G147" i="3"/>
  <c r="BA156" i="3"/>
  <c r="AZ156" i="3" s="1"/>
  <c r="G159" i="3"/>
  <c r="BA162" i="3"/>
  <c r="BL162" i="3"/>
  <c r="BL165" i="3"/>
  <c r="G166" i="3"/>
  <c r="G175" i="3"/>
  <c r="G176" i="3"/>
  <c r="BL181" i="3"/>
  <c r="G190" i="3"/>
  <c r="G195" i="3"/>
  <c r="BA201" i="3"/>
  <c r="AZ201" i="3" s="1"/>
  <c r="G205" i="3"/>
  <c r="G18" i="3"/>
  <c r="G32" i="3"/>
  <c r="BA33" i="3"/>
  <c r="BL35" i="3"/>
  <c r="G36" i="3"/>
  <c r="G37" i="3"/>
  <c r="G40" i="3"/>
  <c r="G41" i="3"/>
  <c r="BL47" i="3"/>
  <c r="G49" i="3"/>
  <c r="G50" i="3"/>
  <c r="G54" i="3"/>
  <c r="G55" i="3"/>
  <c r="BL57" i="3"/>
  <c r="G59" i="3"/>
  <c r="G62" i="3"/>
  <c r="BL67" i="3"/>
  <c r="G69" i="3"/>
  <c r="BA70" i="3"/>
  <c r="AZ70" i="3" s="1"/>
  <c r="BL76" i="3"/>
  <c r="BA78" i="3"/>
  <c r="BL82" i="3"/>
  <c r="BL83" i="3"/>
  <c r="G86" i="3"/>
  <c r="BA88" i="3"/>
  <c r="BA92" i="3"/>
  <c r="BL93" i="3"/>
  <c r="G95" i="3"/>
  <c r="BL99" i="3"/>
  <c r="BA102" i="3"/>
  <c r="G110" i="3"/>
  <c r="G111" i="3"/>
  <c r="BA111" i="3"/>
  <c r="K6" i="1"/>
  <c r="B57" i="43"/>
  <c r="P27" i="6"/>
  <c r="C38" i="71"/>
  <c r="D38" i="71" s="1"/>
  <c r="C30" i="71"/>
  <c r="D30" i="71" s="1"/>
  <c r="AB32" i="71"/>
  <c r="AA34" i="71"/>
  <c r="C43" i="71"/>
  <c r="B71" i="71"/>
  <c r="B70" i="71" s="1"/>
  <c r="D54" i="43"/>
  <c r="B41" i="1"/>
  <c r="D93" i="9"/>
  <c r="C40" i="69"/>
  <c r="C21" i="68"/>
  <c r="G22" i="11"/>
  <c r="E1" i="73"/>
  <c r="G26" i="12"/>
  <c r="G1" i="67"/>
  <c r="G1" i="68"/>
  <c r="G1" i="69"/>
  <c r="G1" i="15"/>
  <c r="B6" i="1"/>
  <c r="E6" i="1" s="1"/>
  <c r="G13" i="3"/>
  <c r="C7" i="21"/>
  <c r="C42" i="1"/>
  <c r="C24" i="12" s="1"/>
  <c r="C7" i="37"/>
  <c r="C52" i="37" s="1"/>
  <c r="D52" i="37" s="1"/>
  <c r="G23" i="43"/>
  <c r="C23" i="43" s="1"/>
  <c r="S17" i="33"/>
  <c r="AA17" i="33"/>
  <c r="D121" i="9"/>
  <c r="D7" i="52" s="1"/>
  <c r="D6" i="52"/>
  <c r="AA17" i="37"/>
  <c r="S17" i="37"/>
  <c r="AB15" i="21"/>
  <c r="AB36" i="33"/>
  <c r="W32" i="33"/>
  <c r="AA37" i="21"/>
  <c r="S37" i="21"/>
  <c r="S25" i="33"/>
  <c r="AA25" i="33"/>
  <c r="AA14" i="37"/>
  <c r="S14" i="37"/>
  <c r="S29" i="35"/>
  <c r="AA29" i="35"/>
  <c r="U17" i="34"/>
  <c r="AB17" i="34"/>
  <c r="AC31" i="40"/>
  <c r="W31" i="40"/>
  <c r="AZ306" i="3"/>
  <c r="AB14" i="36"/>
  <c r="U13" i="36"/>
  <c r="AZ357" i="3"/>
  <c r="AZ313" i="3"/>
  <c r="AZ394" i="3"/>
  <c r="S14" i="40"/>
  <c r="AC12" i="37"/>
  <c r="U11" i="33"/>
  <c r="AC36" i="34"/>
  <c r="AZ520" i="3"/>
  <c r="AB33" i="34"/>
  <c r="S23" i="39"/>
  <c r="S43" i="34"/>
  <c r="U25" i="39"/>
  <c r="AZ14" i="3"/>
  <c r="S15" i="37"/>
  <c r="AZ334" i="3"/>
  <c r="AZ347" i="3"/>
  <c r="AZ535" i="3"/>
  <c r="AZ557" i="3"/>
  <c r="AZ513" i="3"/>
  <c r="AZ575" i="3"/>
  <c r="U33" i="40"/>
  <c r="AB33" i="40"/>
  <c r="S14" i="34"/>
  <c r="AA14" i="34"/>
  <c r="W31" i="33"/>
  <c r="AC31" i="33"/>
  <c r="S44" i="34"/>
  <c r="AA44" i="34"/>
  <c r="AA35" i="33"/>
  <c r="S20" i="35"/>
  <c r="AA12" i="39"/>
  <c r="AZ362" i="3"/>
  <c r="AZ390" i="3"/>
  <c r="AZ351" i="3"/>
  <c r="AZ336" i="3"/>
  <c r="AZ540" i="3"/>
  <c r="AZ502" i="3"/>
  <c r="AB30" i="21"/>
  <c r="U45" i="33"/>
  <c r="AB45" i="33"/>
  <c r="BL585" i="3"/>
  <c r="AZ585" i="3" s="1"/>
  <c r="B97" i="43"/>
  <c r="B75" i="43"/>
  <c r="AZ360" i="3"/>
  <c r="AZ539" i="3"/>
  <c r="AZ529" i="3"/>
  <c r="AZ537" i="3"/>
  <c r="AZ518" i="3"/>
  <c r="AZ526" i="3"/>
  <c r="AZ546" i="3"/>
  <c r="AZ564" i="3"/>
  <c r="S11" i="36"/>
  <c r="H27" i="21"/>
  <c r="S34" i="40"/>
  <c r="W8" i="40"/>
  <c r="U33" i="33"/>
  <c r="B79" i="43"/>
  <c r="F44" i="39"/>
  <c r="J38" i="40"/>
  <c r="G582" i="3"/>
  <c r="G574" i="3"/>
  <c r="BA551" i="3"/>
  <c r="AZ551" i="3" s="1"/>
  <c r="BA550" i="3"/>
  <c r="BL548" i="3"/>
  <c r="AZ548" i="3" s="1"/>
  <c r="AZ406" i="3"/>
  <c r="G585" i="3"/>
  <c r="BL587" i="3"/>
  <c r="AZ587" i="3" s="1"/>
  <c r="BL586" i="3"/>
  <c r="AZ586" i="3" s="1"/>
  <c r="J9" i="36"/>
  <c r="AZ531" i="3"/>
  <c r="AZ583" i="3"/>
  <c r="AZ576" i="3"/>
  <c r="U30" i="37"/>
  <c r="J44" i="39"/>
  <c r="G587" i="3"/>
  <c r="J12" i="33"/>
  <c r="J23" i="36"/>
  <c r="J24" i="36"/>
  <c r="H24" i="36"/>
  <c r="H39" i="40"/>
  <c r="W31" i="35"/>
  <c r="AC31" i="35"/>
  <c r="BL550" i="3"/>
  <c r="BA398" i="3"/>
  <c r="BL401" i="3"/>
  <c r="AZ401" i="3" s="1"/>
  <c r="BL404" i="3"/>
  <c r="AZ404" i="3" s="1"/>
  <c r="BL405" i="3"/>
  <c r="AZ405" i="3" s="1"/>
  <c r="BL407" i="3"/>
  <c r="AZ407" i="3" s="1"/>
  <c r="AZ451" i="3"/>
  <c r="AZ469" i="3"/>
  <c r="AZ483" i="3"/>
  <c r="BA384" i="3"/>
  <c r="AZ384" i="3" s="1"/>
  <c r="BA395" i="3"/>
  <c r="BA218" i="3"/>
  <c r="BL218" i="3"/>
  <c r="BL16" i="3"/>
  <c r="AZ16" i="3" s="1"/>
  <c r="BL410" i="3"/>
  <c r="AZ410" i="3" s="1"/>
  <c r="G419" i="3"/>
  <c r="BA422" i="3"/>
  <c r="G430" i="3"/>
  <c r="BL431" i="3"/>
  <c r="AZ431" i="3" s="1"/>
  <c r="BL434" i="3"/>
  <c r="G437" i="3"/>
  <c r="BL438" i="3"/>
  <c r="BL439" i="3"/>
  <c r="BA441" i="3"/>
  <c r="AZ441" i="3" s="1"/>
  <c r="BL445" i="3"/>
  <c r="BL446" i="3"/>
  <c r="BL449" i="3"/>
  <c r="BL450" i="3"/>
  <c r="BL452" i="3"/>
  <c r="G455" i="3"/>
  <c r="BL456" i="3"/>
  <c r="BA464" i="3"/>
  <c r="AZ464" i="3" s="1"/>
  <c r="BL467" i="3"/>
  <c r="BL468" i="3"/>
  <c r="BL470" i="3"/>
  <c r="BL473" i="3"/>
  <c r="BL474" i="3"/>
  <c r="BA482" i="3"/>
  <c r="BA484" i="3"/>
  <c r="AZ484" i="3" s="1"/>
  <c r="BA303" i="3"/>
  <c r="AZ303" i="3" s="1"/>
  <c r="BA307" i="3"/>
  <c r="AZ307" i="3" s="1"/>
  <c r="BL314" i="3"/>
  <c r="AZ314" i="3" s="1"/>
  <c r="BA332" i="3"/>
  <c r="BL332" i="3"/>
  <c r="BA367" i="3"/>
  <c r="AZ367" i="3" s="1"/>
  <c r="BA370" i="3"/>
  <c r="AZ370" i="3" s="1"/>
  <c r="BA210" i="3"/>
  <c r="AZ210" i="3" s="1"/>
  <c r="BL210" i="3"/>
  <c r="G399" i="3"/>
  <c r="BL400" i="3"/>
  <c r="AZ400" i="3" s="1"/>
  <c r="BL408" i="3"/>
  <c r="BL411" i="3"/>
  <c r="BL413" i="3"/>
  <c r="AZ413" i="3" s="1"/>
  <c r="G416" i="3"/>
  <c r="BL417" i="3"/>
  <c r="BL418" i="3"/>
  <c r="BL420" i="3"/>
  <c r="G423" i="3"/>
  <c r="BL424" i="3"/>
  <c r="AZ424" i="3" s="1"/>
  <c r="G427" i="3"/>
  <c r="BL428" i="3"/>
  <c r="BL429" i="3"/>
  <c r="BL432" i="3"/>
  <c r="BL435" i="3"/>
  <c r="BL436" i="3"/>
  <c r="BA439" i="3"/>
  <c r="BA440" i="3"/>
  <c r="AZ440" i="3" s="1"/>
  <c r="BA442" i="3"/>
  <c r="BA445" i="3"/>
  <c r="BA447" i="3"/>
  <c r="AZ447" i="3" s="1"/>
  <c r="BA449" i="3"/>
  <c r="AZ449" i="3" s="1"/>
  <c r="BL453" i="3"/>
  <c r="BL454" i="3"/>
  <c r="AZ454" i="3" s="1"/>
  <c r="G458" i="3"/>
  <c r="BL459" i="3"/>
  <c r="AZ459" i="3" s="1"/>
  <c r="G462" i="3"/>
  <c r="BA465" i="3"/>
  <c r="BA467" i="3"/>
  <c r="BA468" i="3"/>
  <c r="AZ468" i="3" s="1"/>
  <c r="BL471" i="3"/>
  <c r="BL475" i="3"/>
  <c r="BA477" i="3"/>
  <c r="BA478" i="3"/>
  <c r="AZ478" i="3" s="1"/>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09" i="3"/>
  <c r="G558" i="3"/>
  <c r="BL398" i="3"/>
  <c r="G402" i="3"/>
  <c r="BL403" i="3"/>
  <c r="AZ403" i="3" s="1"/>
  <c r="G405" i="3"/>
  <c r="G406" i="3"/>
  <c r="BA408" i="3"/>
  <c r="AZ408" i="3" s="1"/>
  <c r="BA409" i="3"/>
  <c r="AZ409" i="3" s="1"/>
  <c r="BA411" i="3"/>
  <c r="AZ411" i="3" s="1"/>
  <c r="BL414" i="3"/>
  <c r="AZ414" i="3" s="1"/>
  <c r="BL415" i="3"/>
  <c r="AZ415" i="3" s="1"/>
  <c r="BA417" i="3"/>
  <c r="BL421" i="3"/>
  <c r="AZ421" i="3" s="1"/>
  <c r="BL422" i="3"/>
  <c r="BL425" i="3"/>
  <c r="AZ425" i="3" s="1"/>
  <c r="BL426" i="3"/>
  <c r="BA428" i="3"/>
  <c r="AZ428" i="3" s="1"/>
  <c r="BA429" i="3"/>
  <c r="AZ429" i="3" s="1"/>
  <c r="BA430" i="3"/>
  <c r="AZ430" i="3" s="1"/>
  <c r="BA432" i="3"/>
  <c r="BA434" i="3"/>
  <c r="BA436" i="3"/>
  <c r="BA438" i="3"/>
  <c r="G442" i="3"/>
  <c r="G443" i="3"/>
  <c r="BA446" i="3"/>
  <c r="BA450" i="3"/>
  <c r="AZ450" i="3" s="1"/>
  <c r="BA453" i="3"/>
  <c r="AZ453" i="3" s="1"/>
  <c r="BA455" i="3"/>
  <c r="AZ455" i="3" s="1"/>
  <c r="BL457" i="3"/>
  <c r="AZ457" i="3" s="1"/>
  <c r="BL460" i="3"/>
  <c r="AZ460" i="3" s="1"/>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L211" i="3"/>
  <c r="BL214" i="3"/>
  <c r="AZ214" i="3" s="1"/>
  <c r="G229" i="3"/>
  <c r="BL217" i="3"/>
  <c r="AZ217" i="3" s="1"/>
  <c r="BA219" i="3"/>
  <c r="AZ219" i="3" s="1"/>
  <c r="BA221" i="3"/>
  <c r="BA223" i="3"/>
  <c r="AZ223" i="3" s="1"/>
  <c r="BL228" i="3"/>
  <c r="AZ228" i="3" s="1"/>
  <c r="BA230" i="3"/>
  <c r="AZ230" i="3" s="1"/>
  <c r="BL232" i="3"/>
  <c r="BL234" i="3"/>
  <c r="BA236" i="3"/>
  <c r="AZ236" i="3" s="1"/>
  <c r="BA238" i="3"/>
  <c r="AZ238" i="3" s="1"/>
  <c r="BA243" i="3"/>
  <c r="AZ243" i="3" s="1"/>
  <c r="BL248" i="3"/>
  <c r="AZ248" i="3" s="1"/>
  <c r="G250" i="3"/>
  <c r="BL250" i="3"/>
  <c r="AZ250" i="3" s="1"/>
  <c r="G252" i="3"/>
  <c r="BA259" i="3"/>
  <c r="AZ259" i="3" s="1"/>
  <c r="BL261" i="3"/>
  <c r="BA263" i="3"/>
  <c r="AZ263" i="3" s="1"/>
  <c r="BA267" i="3"/>
  <c r="BA269" i="3"/>
  <c r="AZ269" i="3" s="1"/>
  <c r="BA271" i="3"/>
  <c r="AZ271" i="3" s="1"/>
  <c r="BL271" i="3"/>
  <c r="BA274" i="3"/>
  <c r="BL274" i="3"/>
  <c r="BA276" i="3"/>
  <c r="BA279" i="3"/>
  <c r="BA281" i="3"/>
  <c r="BL286" i="3"/>
  <c r="AZ286" i="3" s="1"/>
  <c r="BA296" i="3"/>
  <c r="BA116" i="3"/>
  <c r="AZ116" i="3" s="1"/>
  <c r="BA121" i="3"/>
  <c r="BL121" i="3"/>
  <c r="BA124" i="3"/>
  <c r="AZ124" i="3" s="1"/>
  <c r="BL127" i="3"/>
  <c r="AZ127" i="3" s="1"/>
  <c r="BA130" i="3"/>
  <c r="BL130" i="3"/>
  <c r="BL137" i="3"/>
  <c r="BL157" i="3"/>
  <c r="AZ157" i="3" s="1"/>
  <c r="BL159" i="3"/>
  <c r="AZ159" i="3" s="1"/>
  <c r="BA211" i="3"/>
  <c r="AZ211" i="3" s="1"/>
  <c r="BL213" i="3"/>
  <c r="BL215" i="3"/>
  <c r="BA222" i="3"/>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G127" i="3"/>
  <c r="BA129" i="3"/>
  <c r="BL133" i="3"/>
  <c r="AZ133" i="3" s="1"/>
  <c r="BL134" i="3"/>
  <c r="BA145" i="3"/>
  <c r="BL149" i="3"/>
  <c r="AZ149" i="3" s="1"/>
  <c r="BL150" i="3"/>
  <c r="G151" i="3"/>
  <c r="BA152" i="3"/>
  <c r="AZ152" i="3" s="1"/>
  <c r="BA154" i="3"/>
  <c r="AZ154" i="3" s="1"/>
  <c r="BL166" i="3"/>
  <c r="G172" i="3"/>
  <c r="BL225" i="3"/>
  <c r="BL226" i="3"/>
  <c r="BA239" i="3"/>
  <c r="BL239" i="3"/>
  <c r="BA241" i="3"/>
  <c r="BL241" i="3"/>
  <c r="BA244" i="3"/>
  <c r="BL244" i="3"/>
  <c r="BA246" i="3"/>
  <c r="BA252" i="3"/>
  <c r="BA254" i="3"/>
  <c r="BA256" i="3"/>
  <c r="AZ256" i="3" s="1"/>
  <c r="BL256" i="3"/>
  <c r="BA258" i="3"/>
  <c r="BL264" i="3"/>
  <c r="BL266" i="3"/>
  <c r="BA268" i="3"/>
  <c r="BL273" i="3"/>
  <c r="G274" i="3"/>
  <c r="BA277" i="3"/>
  <c r="AZ277" i="3" s="1"/>
  <c r="BL277" i="3"/>
  <c r="BA282" i="3"/>
  <c r="BL282" i="3"/>
  <c r="BA284" i="3"/>
  <c r="AZ284" i="3" s="1"/>
  <c r="BL290" i="3"/>
  <c r="BL291" i="3"/>
  <c r="BL293" i="3"/>
  <c r="BL294" i="3"/>
  <c r="BA297" i="3"/>
  <c r="BL297" i="3"/>
  <c r="BL300" i="3"/>
  <c r="BA302" i="3"/>
  <c r="AZ302" i="3" s="1"/>
  <c r="BA117" i="3"/>
  <c r="BA126" i="3"/>
  <c r="BL139" i="3"/>
  <c r="AZ139" i="3" s="1"/>
  <c r="BL141" i="3"/>
  <c r="BL143" i="3"/>
  <c r="AZ143" i="3" s="1"/>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BL40" i="3"/>
  <c r="BL41" i="3"/>
  <c r="BL45" i="3"/>
  <c r="BA48" i="3"/>
  <c r="BA49" i="3"/>
  <c r="AZ49" i="3" s="1"/>
  <c r="BA51" i="3"/>
  <c r="BL56" i="3"/>
  <c r="BA58" i="3"/>
  <c r="BL59" i="3"/>
  <c r="BL60" i="3"/>
  <c r="AZ60" i="3" s="1"/>
  <c r="BA61" i="3"/>
  <c r="BA68" i="3"/>
  <c r="BA80" i="3"/>
  <c r="BL84" i="3"/>
  <c r="BA90" i="3"/>
  <c r="BL94" i="3"/>
  <c r="AZ94" i="3" s="1"/>
  <c r="BA105" i="3"/>
  <c r="AZ105" i="3" s="1"/>
  <c r="C52" i="71"/>
  <c r="D51" i="71"/>
  <c r="C55" i="71"/>
  <c r="D54" i="71"/>
  <c r="C60" i="71"/>
  <c r="D59" i="71"/>
  <c r="N67" i="71"/>
  <c r="B66" i="71"/>
  <c r="F66" i="71"/>
  <c r="Q67" i="71"/>
  <c r="G33" i="3"/>
  <c r="G34" i="3"/>
  <c r="BA37" i="3"/>
  <c r="G39" i="3"/>
  <c r="BL39" i="3"/>
  <c r="AZ39" i="3" s="1"/>
  <c r="G43" i="3"/>
  <c r="G44" i="3"/>
  <c r="BA45" i="3"/>
  <c r="AZ45" i="3" s="1"/>
  <c r="BA46" i="3"/>
  <c r="BL49" i="3"/>
  <c r="BL50" i="3"/>
  <c r="AZ50" i="3" s="1"/>
  <c r="BL51" i="3"/>
  <c r="G53" i="3"/>
  <c r="BL53" i="3"/>
  <c r="BA56" i="3"/>
  <c r="BA57" i="3"/>
  <c r="AZ57" i="3" s="1"/>
  <c r="BL58" i="3"/>
  <c r="G60" i="3"/>
  <c r="BA60" i="3"/>
  <c r="BA63" i="3"/>
  <c r="AZ63" i="3" s="1"/>
  <c r="BA66" i="3"/>
  <c r="AZ66" i="3" s="1"/>
  <c r="BA71" i="3"/>
  <c r="AZ71" i="3" s="1"/>
  <c r="BL72" i="3"/>
  <c r="BL75" i="3"/>
  <c r="BL91" i="3"/>
  <c r="BA100" i="3"/>
  <c r="AZ100" i="3" s="1"/>
  <c r="BA146" i="3"/>
  <c r="AZ146" i="3" s="1"/>
  <c r="BA150" i="3"/>
  <c r="AZ150" i="3" s="1"/>
  <c r="BL167" i="3"/>
  <c r="AZ167" i="3" s="1"/>
  <c r="BL178" i="3"/>
  <c r="BA180" i="3"/>
  <c r="AZ180" i="3" s="1"/>
  <c r="BL182" i="3"/>
  <c r="BA185" i="3"/>
  <c r="AZ185" i="3" s="1"/>
  <c r="BL191" i="3"/>
  <c r="AZ191" i="3" s="1"/>
  <c r="BA193" i="3"/>
  <c r="BA196" i="3"/>
  <c r="AZ196" i="3" s="1"/>
  <c r="G203" i="3"/>
  <c r="BA205" i="3"/>
  <c r="AZ205" i="3" s="1"/>
  <c r="BL20" i="3"/>
  <c r="BA21" i="3"/>
  <c r="AZ21" i="3" s="1"/>
  <c r="BA25" i="3"/>
  <c r="BA26" i="3"/>
  <c r="BL28" i="3"/>
  <c r="BA29" i="3"/>
  <c r="AZ52" i="3"/>
  <c r="BA53" i="3"/>
  <c r="AZ53" i="3" s="1"/>
  <c r="C44" i="71"/>
  <c r="D43" i="7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AZ31" i="3" s="1"/>
  <c r="BA32" i="3"/>
  <c r="G38" i="3"/>
  <c r="BA38" i="3"/>
  <c r="AZ38" i="3" s="1"/>
  <c r="BA41" i="3"/>
  <c r="BA42" i="3"/>
  <c r="G47" i="3"/>
  <c r="BL48" i="3"/>
  <c r="BL54" i="3"/>
  <c r="BL55" i="3"/>
  <c r="AZ55" i="3" s="1"/>
  <c r="G57" i="3"/>
  <c r="G58" i="3"/>
  <c r="BA59" i="3"/>
  <c r="AZ59" i="3" s="1"/>
  <c r="G61" i="3"/>
  <c r="BL61" i="3"/>
  <c r="G64" i="3"/>
  <c r="BA64" i="3"/>
  <c r="AZ64" i="3" s="1"/>
  <c r="G67" i="3"/>
  <c r="BL68" i="3"/>
  <c r="BA69" i="3"/>
  <c r="AZ69" i="3" s="1"/>
  <c r="BA72" i="3"/>
  <c r="AZ72" i="3" s="1"/>
  <c r="BA73" i="3"/>
  <c r="AZ73" i="3" s="1"/>
  <c r="C47" i="71"/>
  <c r="D47" i="71" s="1"/>
  <c r="D46" i="71"/>
  <c r="V24" i="71"/>
  <c r="E23" i="71"/>
  <c r="E22" i="71" s="1"/>
  <c r="E21" i="71" s="1"/>
  <c r="E20" i="71" s="1"/>
  <c r="V20" i="71" s="1"/>
  <c r="G72" i="3"/>
  <c r="BL73" i="3"/>
  <c r="BA74" i="3"/>
  <c r="AZ74" i="3" s="1"/>
  <c r="BA75" i="3"/>
  <c r="AZ75" i="3" s="1"/>
  <c r="G81" i="3"/>
  <c r="G85" i="3"/>
  <c r="BL85" i="3"/>
  <c r="BA86" i="3"/>
  <c r="AZ86" i="3" s="1"/>
  <c r="BA87" i="3"/>
  <c r="BA91" i="3"/>
  <c r="G96" i="3"/>
  <c r="BL97" i="3"/>
  <c r="AZ97" i="3" s="1"/>
  <c r="BL101" i="3"/>
  <c r="BL102" i="3"/>
  <c r="AZ102" i="3" s="1"/>
  <c r="G104" i="3"/>
  <c r="G105" i="3"/>
  <c r="BL106" i="3"/>
  <c r="BA108" i="3"/>
  <c r="BA110" i="3"/>
  <c r="AZ110" i="3" s="1"/>
  <c r="F3" i="35"/>
  <c r="S21" i="33"/>
  <c r="S21" i="37"/>
  <c r="S25" i="40"/>
  <c r="B77" i="43"/>
  <c r="AA18" i="35"/>
  <c r="O67" i="71"/>
  <c r="AA28" i="71"/>
  <c r="AB27" i="71"/>
  <c r="E79" i="71"/>
  <c r="E78" i="71" s="1"/>
  <c r="E75" i="71"/>
  <c r="E74" i="71" s="1"/>
  <c r="AB25" i="71"/>
  <c r="Y25" i="71"/>
  <c r="Z25" i="71" s="1"/>
  <c r="X38" i="71"/>
  <c r="C35" i="71"/>
  <c r="N68" i="71"/>
  <c r="E38" i="71"/>
  <c r="E39" i="71" s="1"/>
  <c r="E40" i="71" s="1"/>
  <c r="U40" i="71" s="1"/>
  <c r="B34" i="71"/>
  <c r="B35" i="71" s="1"/>
  <c r="B36" i="71" s="1"/>
  <c r="S36" i="71" s="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76" i="3"/>
  <c r="BL77" i="3"/>
  <c r="AZ77" i="3" s="1"/>
  <c r="BA79" i="3"/>
  <c r="G82" i="3"/>
  <c r="G83" i="3"/>
  <c r="BA84" i="3"/>
  <c r="BL88" i="3"/>
  <c r="AZ88" i="3" s="1"/>
  <c r="G90" i="3"/>
  <c r="BL90" i="3"/>
  <c r="BL92" i="3"/>
  <c r="G101" i="3"/>
  <c r="BA101" i="3"/>
  <c r="AZ101" i="3" s="1"/>
  <c r="G108" i="3"/>
  <c r="G109" i="3"/>
  <c r="BL112" i="3"/>
  <c r="AB21" i="33"/>
  <c r="S21" i="34"/>
  <c r="B88" i="43"/>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AB17" i="33"/>
  <c r="S29" i="21"/>
  <c r="AB44" i="34"/>
  <c r="S39" i="34"/>
  <c r="AZ382" i="3"/>
  <c r="AZ321" i="3"/>
  <c r="AZ343" i="3"/>
  <c r="AZ517" i="3"/>
  <c r="AZ562"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2" i="3"/>
  <c r="AZ445" i="3"/>
  <c r="AZ452" i="3"/>
  <c r="AZ467" i="3"/>
  <c r="AZ470" i="3"/>
  <c r="W35" i="39"/>
  <c r="F27" i="34"/>
  <c r="C21" i="39"/>
  <c r="U9" i="36"/>
  <c r="U14" i="37"/>
  <c r="H12" i="21"/>
  <c r="G526" i="3"/>
  <c r="AZ420" i="3"/>
  <c r="AZ434" i="3"/>
  <c r="AZ436" i="3"/>
  <c r="AZ438" i="3"/>
  <c r="AZ446"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G272" i="3"/>
  <c r="G275" i="3"/>
  <c r="BL276" i="3"/>
  <c r="BL279" i="3"/>
  <c r="AZ279" i="3" s="1"/>
  <c r="BL281" i="3"/>
  <c r="AZ281" i="3" s="1"/>
  <c r="BA285" i="3"/>
  <c r="AZ285" i="3" s="1"/>
  <c r="BA287" i="3"/>
  <c r="AZ287" i="3" s="1"/>
  <c r="AZ207" i="3"/>
  <c r="BA289" i="3"/>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BL147" i="3"/>
  <c r="AZ147" i="3" s="1"/>
  <c r="G148" i="3"/>
  <c r="BL151" i="3"/>
  <c r="AZ151" i="3" s="1"/>
  <c r="BA165" i="3"/>
  <c r="G168" i="3"/>
  <c r="BA170" i="3"/>
  <c r="AZ170" i="3" s="1"/>
  <c r="BL174" i="3"/>
  <c r="AZ174" i="3" s="1"/>
  <c r="AZ193" i="3"/>
  <c r="BL202" i="3"/>
  <c r="AZ202" i="3" s="1"/>
  <c r="AZ30" i="3"/>
  <c r="BL36" i="3"/>
  <c r="AZ36" i="3" s="1"/>
  <c r="AZ40" i="3"/>
  <c r="AZ48" i="3"/>
  <c r="AZ68" i="3"/>
  <c r="AZ106" i="3"/>
  <c r="G200" i="3"/>
  <c r="G207" i="3"/>
  <c r="BA23" i="3"/>
  <c r="AZ23" i="3" s="1"/>
  <c r="BA24" i="3"/>
  <c r="AZ24" i="3" s="1"/>
  <c r="BL26" i="3"/>
  <c r="AZ26" i="3" s="1"/>
  <c r="BL32" i="3"/>
  <c r="BA34" i="3"/>
  <c r="AZ34" i="3" s="1"/>
  <c r="BA35" i="3"/>
  <c r="AZ35" i="3" s="1"/>
  <c r="BL37" i="3"/>
  <c r="AZ37" i="3" s="1"/>
  <c r="BL42" i="3"/>
  <c r="BA44" i="3"/>
  <c r="AZ44" i="3" s="1"/>
  <c r="AZ56" i="3"/>
  <c r="BA206" i="3"/>
  <c r="AZ206" i="3" s="1"/>
  <c r="BL22" i="3"/>
  <c r="AZ22" i="3" s="1"/>
  <c r="BL33" i="3"/>
  <c r="AZ33" i="3" s="1"/>
  <c r="BL43" i="3"/>
  <c r="BL46" i="3"/>
  <c r="AZ90" i="3"/>
  <c r="AZ92" i="3"/>
  <c r="BL78" i="3"/>
  <c r="AZ78" i="3" s="1"/>
  <c r="BA83" i="3"/>
  <c r="AZ83" i="3" s="1"/>
  <c r="G91" i="3"/>
  <c r="BL95" i="3"/>
  <c r="BL98" i="3"/>
  <c r="AZ98" i="3" s="1"/>
  <c r="BL109" i="3"/>
  <c r="AB21" i="21"/>
  <c r="AZ95" i="3"/>
  <c r="G77" i="3"/>
  <c r="BA81" i="3"/>
  <c r="AZ81" i="3" s="1"/>
  <c r="BA85" i="3"/>
  <c r="AZ85" i="3" s="1"/>
  <c r="BL89" i="3"/>
  <c r="AZ89" i="3" s="1"/>
  <c r="G94" i="3"/>
  <c r="G97" i="3"/>
  <c r="G100" i="3"/>
  <c r="BA107" i="3"/>
  <c r="AZ107" i="3" s="1"/>
  <c r="BA112" i="3"/>
  <c r="AZ112" i="3" s="1"/>
  <c r="AC21" i="34"/>
  <c r="E27" i="71"/>
  <c r="E26" i="71" s="1"/>
  <c r="V28" i="71"/>
  <c r="BA76" i="3"/>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S22" i="31"/>
  <c r="R22" i="31" s="1"/>
  <c r="D74" i="43"/>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D9" i="69"/>
  <c r="L48" i="15"/>
  <c r="F26" i="15"/>
  <c r="L48" i="67"/>
  <c r="M6" i="15"/>
  <c r="F42" i="15"/>
  <c r="D4" i="73"/>
  <c r="F8" i="67"/>
  <c r="F6" i="15"/>
  <c r="F13" i="15"/>
  <c r="D9" i="68"/>
  <c r="F9" i="15"/>
  <c r="F40" i="67"/>
  <c r="M8" i="67"/>
  <c r="M22" i="67"/>
  <c r="F7" i="67"/>
  <c r="M23" i="15"/>
  <c r="F13" i="67"/>
  <c r="F36" i="15"/>
  <c r="F42" i="67"/>
  <c r="F7" i="15"/>
  <c r="M26" i="15"/>
  <c r="L47" i="67"/>
  <c r="D7" i="73"/>
  <c r="M28" i="15"/>
  <c r="M29" i="67"/>
  <c r="F37" i="67"/>
  <c r="M9" i="15"/>
  <c r="D5" i="73"/>
  <c r="J15" i="67"/>
  <c r="C76" i="15"/>
  <c r="F16" i="67"/>
  <c r="J15" i="15"/>
  <c r="M26" i="67"/>
  <c r="M29" i="15"/>
  <c r="F43" i="15"/>
  <c r="M24" i="15"/>
  <c r="F40" i="15"/>
  <c r="M8" i="15"/>
  <c r="M24" i="67"/>
  <c r="F6" i="67"/>
  <c r="D3" i="73"/>
  <c r="F36" i="67"/>
  <c r="F38" i="67"/>
  <c r="F38" i="15"/>
  <c r="M22" i="15"/>
  <c r="F16" i="15"/>
  <c r="F37" i="15"/>
  <c r="M28" i="67"/>
  <c r="F43" i="67"/>
  <c r="L47" i="15"/>
  <c r="M6" i="67"/>
  <c r="C76" i="67"/>
  <c r="M9" i="67"/>
  <c r="F26" i="67"/>
  <c r="F8" i="15"/>
  <c r="M23" i="67"/>
  <c r="F9" i="67"/>
  <c r="C36" i="68"/>
  <c r="K57" i="43" l="1"/>
  <c r="J57" i="43" s="1"/>
  <c r="D57" i="43" s="1"/>
  <c r="M57" i="43"/>
  <c r="N57" i="43" s="1"/>
  <c r="B19" i="71"/>
  <c r="B18" i="71" s="1"/>
  <c r="B17" i="71" s="1"/>
  <c r="B16" i="71" s="1"/>
  <c r="S20" i="71"/>
  <c r="P65" i="71"/>
  <c r="P66" i="71"/>
  <c r="AB23" i="36"/>
  <c r="U23" i="36"/>
  <c r="AB36" i="39"/>
  <c r="U36" i="39"/>
  <c r="S12" i="36"/>
  <c r="AA12" i="36"/>
  <c r="W33" i="40"/>
  <c r="AC33" i="40"/>
  <c r="AB13" i="37"/>
  <c r="U13" i="37"/>
  <c r="W27" i="21"/>
  <c r="AC27" i="21"/>
  <c r="M56" i="43"/>
  <c r="K56" i="43"/>
  <c r="J56" i="43" s="1"/>
  <c r="AZ109" i="3"/>
  <c r="AZ41" i="3"/>
  <c r="AZ29" i="3"/>
  <c r="AZ254" i="3"/>
  <c r="AZ244" i="3"/>
  <c r="AZ239" i="3"/>
  <c r="C22" i="71"/>
  <c r="D23" i="71"/>
  <c r="AZ251" i="3"/>
  <c r="AZ229" i="3"/>
  <c r="AZ437" i="3"/>
  <c r="S12" i="40"/>
  <c r="AA12" i="40"/>
  <c r="AC9" i="34"/>
  <c r="W9" i="34"/>
  <c r="AA38" i="40"/>
  <c r="S38" i="40"/>
  <c r="U44" i="21"/>
  <c r="AB44" i="21"/>
  <c r="W12" i="36"/>
  <c r="AC12" i="36"/>
  <c r="AZ561" i="3"/>
  <c r="AZ582" i="3"/>
  <c r="AA40" i="37"/>
  <c r="S40" i="37"/>
  <c r="AA27" i="37"/>
  <c r="S27" i="37"/>
  <c r="W13" i="37"/>
  <c r="AC13" i="37"/>
  <c r="AA46" i="21"/>
  <c r="S46" i="21"/>
  <c r="AB27" i="34"/>
  <c r="U27" i="34"/>
  <c r="M53" i="43"/>
  <c r="K53" i="43"/>
  <c r="J53" i="43" s="1"/>
  <c r="M51" i="43"/>
  <c r="N51" i="43" s="1"/>
  <c r="K51" i="43"/>
  <c r="J51" i="43" s="1"/>
  <c r="AZ76" i="3"/>
  <c r="AZ46" i="3"/>
  <c r="AZ42" i="3"/>
  <c r="AZ32" i="3"/>
  <c r="AZ142" i="3"/>
  <c r="AZ266" i="3"/>
  <c r="AZ213" i="3"/>
  <c r="AZ79" i="3"/>
  <c r="AZ91" i="3"/>
  <c r="AZ291" i="3"/>
  <c r="AZ252" i="3"/>
  <c r="AZ222" i="3"/>
  <c r="AZ130" i="3"/>
  <c r="AZ267" i="3"/>
  <c r="AZ465" i="3"/>
  <c r="AZ395" i="3"/>
  <c r="AP6" i="1"/>
  <c r="C36" i="69" s="1"/>
  <c r="U2" i="43"/>
  <c r="AZ162" i="3"/>
  <c r="C31" i="71"/>
  <c r="AZ47" i="3"/>
  <c r="AZ82" i="3"/>
  <c r="AZ235" i="3"/>
  <c r="F36" i="77"/>
  <c r="D39" i="77"/>
  <c r="E39" i="77"/>
  <c r="AZ476" i="3"/>
  <c r="AZ458" i="3"/>
  <c r="W12" i="40"/>
  <c r="AC12" i="40"/>
  <c r="AB38" i="40"/>
  <c r="U38" i="40"/>
  <c r="AC44" i="21"/>
  <c r="W44" i="21"/>
  <c r="AZ542" i="3"/>
  <c r="AZ569" i="3"/>
  <c r="AZ579" i="3"/>
  <c r="AA33" i="40"/>
  <c r="S33" i="40"/>
  <c r="U40" i="37"/>
  <c r="AB40" i="37"/>
  <c r="AC27" i="37"/>
  <c r="W27" i="37"/>
  <c r="W27" i="34"/>
  <c r="AC27" i="34"/>
  <c r="M55" i="43"/>
  <c r="N55" i="43" s="1"/>
  <c r="K55" i="43"/>
  <c r="D17" i="53"/>
  <c r="B36" i="72" s="1"/>
  <c r="K52" i="43"/>
  <c r="M52" i="43"/>
  <c r="N52" i="43" s="1"/>
  <c r="M58" i="43"/>
  <c r="N58" i="43" s="1"/>
  <c r="K58" i="43"/>
  <c r="W33" i="36"/>
  <c r="M50" i="43"/>
  <c r="K50" i="43"/>
  <c r="J50" i="43" s="1"/>
  <c r="AZ43" i="3"/>
  <c r="AZ165" i="3"/>
  <c r="AZ145" i="3"/>
  <c r="AZ292" i="3"/>
  <c r="AZ289" i="3"/>
  <c r="AZ84" i="3"/>
  <c r="AZ27" i="3"/>
  <c r="AZ461" i="3"/>
  <c r="AZ418" i="3"/>
  <c r="AZ473" i="3"/>
  <c r="AZ443" i="3"/>
  <c r="AA23" i="36"/>
  <c r="S23" i="36"/>
  <c r="AB33" i="36"/>
  <c r="U33" i="36"/>
  <c r="AZ577" i="3"/>
  <c r="AZ524" i="3"/>
  <c r="U12" i="36"/>
  <c r="AB12" i="36"/>
  <c r="U27" i="37"/>
  <c r="AB27" i="37"/>
  <c r="AA27" i="21"/>
  <c r="S27" i="21"/>
  <c r="F48" i="9"/>
  <c r="O52" i="9" s="1"/>
  <c r="F30" i="68"/>
  <c r="F52" i="9"/>
  <c r="F32" i="15"/>
  <c r="F60" i="15" s="1"/>
  <c r="F54" i="9"/>
  <c r="F30" i="11"/>
  <c r="M18" i="67"/>
  <c r="M18" i="15"/>
  <c r="F28" i="67"/>
  <c r="C28" i="67" s="1"/>
  <c r="F32" i="67"/>
  <c r="F60" i="67" s="1"/>
  <c r="F28" i="15"/>
  <c r="C28" i="15" s="1"/>
  <c r="F31" i="12"/>
  <c r="C31" i="12" s="1"/>
  <c r="F30" i="69"/>
  <c r="D68" i="9"/>
  <c r="P6" i="1"/>
  <c r="C13" i="12" s="1"/>
  <c r="K16" i="1"/>
  <c r="F64" i="15"/>
  <c r="F51" i="15"/>
  <c r="M59" i="15"/>
  <c r="L59" i="15"/>
  <c r="Q61" i="15" s="1"/>
  <c r="N59" i="15"/>
  <c r="L58" i="15"/>
  <c r="Q60" i="15" s="1"/>
  <c r="C27" i="15"/>
  <c r="F71" i="15"/>
  <c r="F66" i="15"/>
  <c r="Q71" i="15"/>
  <c r="M7" i="15"/>
  <c r="J6" i="15" s="1"/>
  <c r="F50" i="15"/>
  <c r="F65" i="15"/>
  <c r="F68" i="15"/>
  <c r="C6" i="15"/>
  <c r="I54" i="15"/>
  <c r="J53" i="15"/>
  <c r="L56" i="15" s="1"/>
  <c r="J57" i="15"/>
  <c r="J55" i="15" s="1"/>
  <c r="J58" i="15" s="1"/>
  <c r="Q50" i="15" s="1"/>
  <c r="F65" i="67"/>
  <c r="F68" i="67"/>
  <c r="C27" i="67"/>
  <c r="F71" i="67"/>
  <c r="Q71" i="67"/>
  <c r="N94" i="46"/>
  <c r="F26" i="43"/>
  <c r="D26" i="43" s="1"/>
  <c r="C25" i="43" s="1"/>
  <c r="J26" i="43"/>
  <c r="N370" i="46"/>
  <c r="E26" i="43"/>
  <c r="H26" i="43"/>
  <c r="P26" i="43"/>
  <c r="A1" i="79"/>
  <c r="F31" i="67"/>
  <c r="C6" i="67"/>
  <c r="C32" i="67" s="1"/>
  <c r="J57" i="67"/>
  <c r="J55" i="67" s="1"/>
  <c r="J58" i="67" s="1"/>
  <c r="Q50" i="67" s="1"/>
  <c r="L56" i="67"/>
  <c r="I54" i="67"/>
  <c r="J53" i="67"/>
  <c r="F1" i="67" s="1"/>
  <c r="F51" i="67"/>
  <c r="F64" i="67"/>
  <c r="F66" i="67"/>
  <c r="M7" i="67"/>
  <c r="J6" i="67" s="1"/>
  <c r="J18" i="67" s="1"/>
  <c r="F50" i="67"/>
  <c r="L59" i="67"/>
  <c r="Q61" i="67" s="1"/>
  <c r="L58" i="67"/>
  <c r="Q73" i="67" s="1"/>
  <c r="M59" i="67"/>
  <c r="N59" i="67"/>
  <c r="T28" i="71"/>
  <c r="D28" i="71"/>
  <c r="U28" i="71" s="1"/>
  <c r="C27" i="71"/>
  <c r="D79" i="71"/>
  <c r="C78" i="71"/>
  <c r="D78" i="71" s="1"/>
  <c r="C36" i="71"/>
  <c r="D35" i="71"/>
  <c r="AZ108" i="3"/>
  <c r="D44" i="71"/>
  <c r="T44" i="71"/>
  <c r="AZ19" i="3"/>
  <c r="AZ5" i="3" s="1"/>
  <c r="AY6" i="3" s="1"/>
  <c r="AB24" i="36"/>
  <c r="U24" i="36"/>
  <c r="AC9" i="36"/>
  <c r="W9" i="36"/>
  <c r="AA44" i="39"/>
  <c r="S44" i="39"/>
  <c r="D83" i="71"/>
  <c r="C82" i="71"/>
  <c r="D82" i="71" s="1"/>
  <c r="O65" i="71"/>
  <c r="D66" i="71"/>
  <c r="O66" i="71"/>
  <c r="D60" i="71"/>
  <c r="T60" i="71"/>
  <c r="T52" i="71"/>
  <c r="D52" i="71"/>
  <c r="AZ58" i="3"/>
  <c r="AZ126" i="3"/>
  <c r="AZ282" i="3"/>
  <c r="AZ397" i="3"/>
  <c r="AZ422" i="3"/>
  <c r="AC24" i="36"/>
  <c r="W24" i="36"/>
  <c r="AC44" i="39"/>
  <c r="W44" i="39"/>
  <c r="AB27" i="21"/>
  <c r="U27" i="21"/>
  <c r="G5" i="3"/>
  <c r="B3" i="3" s="1"/>
  <c r="E417" i="3" s="1"/>
  <c r="C40" i="71"/>
  <c r="D39" i="71"/>
  <c r="N65" i="71"/>
  <c r="N66" i="71"/>
  <c r="AZ61" i="3"/>
  <c r="AZ182" i="3"/>
  <c r="AZ297" i="3"/>
  <c r="AZ241" i="3"/>
  <c r="AZ121" i="3"/>
  <c r="AZ274" i="3"/>
  <c r="AZ353" i="3"/>
  <c r="AZ218" i="3"/>
  <c r="AZ398" i="3"/>
  <c r="AC23" i="36"/>
  <c r="W23" i="36"/>
  <c r="G16" i="1"/>
  <c r="F10" i="39" s="1"/>
  <c r="S10" i="39" s="1"/>
  <c r="C70" i="71"/>
  <c r="D70" i="71" s="1"/>
  <c r="D71" i="71"/>
  <c r="AZ25" i="3"/>
  <c r="C56" i="71"/>
  <c r="D55" i="71"/>
  <c r="AZ51" i="3"/>
  <c r="AZ294" i="3"/>
  <c r="AZ432" i="3"/>
  <c r="AZ417" i="3"/>
  <c r="AZ332" i="3"/>
  <c r="U39" i="40"/>
  <c r="AB39" i="40"/>
  <c r="W12" i="33"/>
  <c r="AC12" i="33"/>
  <c r="AZ550" i="3"/>
  <c r="AC38" i="40"/>
  <c r="W38" i="40"/>
  <c r="J7" i="37"/>
  <c r="K1" i="73"/>
  <c r="E309" i="3"/>
  <c r="E198" i="3"/>
  <c r="E308" i="3"/>
  <c r="E197" i="3"/>
  <c r="E13" i="3"/>
  <c r="E470" i="3"/>
  <c r="E428" i="3"/>
  <c r="E190" i="3"/>
  <c r="E158" i="3"/>
  <c r="E188" i="3"/>
  <c r="E507" i="3"/>
  <c r="E422" i="3"/>
  <c r="E25" i="3"/>
  <c r="E108" i="3"/>
  <c r="E60" i="3"/>
  <c r="E79" i="3"/>
  <c r="E392" i="3"/>
  <c r="E36" i="3"/>
  <c r="E62" i="3"/>
  <c r="E176" i="3"/>
  <c r="E552" i="3"/>
  <c r="E460" i="3"/>
  <c r="E24" i="3"/>
  <c r="E250" i="3"/>
  <c r="E500" i="3"/>
  <c r="E110" i="3"/>
  <c r="E284" i="3"/>
  <c r="E464" i="3"/>
  <c r="E584" i="3"/>
  <c r="E341" i="3"/>
  <c r="E66" i="3"/>
  <c r="E179" i="3"/>
  <c r="E154" i="3"/>
  <c r="E187" i="3"/>
  <c r="E82" i="3"/>
  <c r="E461" i="3"/>
  <c r="E224" i="3"/>
  <c r="E313" i="3"/>
  <c r="W6" i="3"/>
  <c r="E471" i="3"/>
  <c r="E357" i="3"/>
  <c r="E14" i="3"/>
  <c r="E145" i="3"/>
  <c r="U6" i="3"/>
  <c r="E547" i="3"/>
  <c r="E71" i="3"/>
  <c r="E317" i="3"/>
  <c r="AM6" i="3"/>
  <c r="E426" i="3"/>
  <c r="E328" i="3"/>
  <c r="E97" i="3"/>
  <c r="E523" i="3"/>
  <c r="E298" i="3"/>
  <c r="E237" i="3"/>
  <c r="E302" i="3"/>
  <c r="E221" i="3"/>
  <c r="E353" i="3"/>
  <c r="AA6" i="3"/>
  <c r="E120" i="3"/>
  <c r="E177" i="3"/>
  <c r="E424" i="3"/>
  <c r="AE6" i="3"/>
  <c r="E203" i="3"/>
  <c r="E394" i="3"/>
  <c r="E252" i="3"/>
  <c r="E164" i="3"/>
  <c r="P6" i="3"/>
  <c r="E443" i="3"/>
  <c r="E404" i="3"/>
  <c r="E121" i="3"/>
  <c r="E334" i="3"/>
  <c r="E30" i="3"/>
  <c r="E553" i="3"/>
  <c r="E282" i="3"/>
  <c r="E569" i="3"/>
  <c r="E229" i="3"/>
  <c r="E551" i="3"/>
  <c r="V6" i="3"/>
  <c r="E230" i="3"/>
  <c r="E130" i="3"/>
  <c r="E260" i="3"/>
  <c r="E117" i="3"/>
  <c r="E382" i="3"/>
  <c r="E578" i="3"/>
  <c r="E583" i="3"/>
  <c r="E253" i="3"/>
  <c r="E511" i="3"/>
  <c r="E45" i="3"/>
  <c r="E458" i="3"/>
  <c r="E527" i="3"/>
  <c r="E450" i="3"/>
  <c r="E433" i="3"/>
  <c r="E279" i="3"/>
  <c r="E318" i="3"/>
  <c r="E269" i="3"/>
  <c r="E271" i="3"/>
  <c r="E478" i="3"/>
  <c r="E414" i="3"/>
  <c r="E476" i="3"/>
  <c r="E27" i="3"/>
  <c r="E331" i="3"/>
  <c r="E384" i="3"/>
  <c r="E530" i="3"/>
  <c r="E343" i="3"/>
  <c r="E555" i="3"/>
  <c r="E337" i="3"/>
  <c r="AR6" i="3"/>
  <c r="E561" i="3"/>
  <c r="E231" i="3"/>
  <c r="E216" i="3"/>
  <c r="E183" i="3"/>
  <c r="E503" i="3"/>
  <c r="E134" i="3"/>
  <c r="E301" i="3"/>
  <c r="E495" i="3"/>
  <c r="E124" i="3"/>
  <c r="E77" i="3"/>
  <c r="E568" i="3"/>
  <c r="AK6" i="3"/>
  <c r="E228" i="3"/>
  <c r="K6" i="3"/>
  <c r="E560" i="3"/>
  <c r="E465" i="3"/>
  <c r="E587" i="3"/>
  <c r="E454" i="3"/>
  <c r="E106" i="3"/>
  <c r="E171" i="3"/>
  <c r="E214" i="3"/>
  <c r="E315" i="3"/>
  <c r="E74" i="3"/>
  <c r="E227" i="3"/>
  <c r="E368" i="3"/>
  <c r="E204" i="3"/>
  <c r="E327" i="3"/>
  <c r="Z6" i="3"/>
  <c r="E485" i="3"/>
  <c r="E400" i="3"/>
  <c r="E345" i="3"/>
  <c r="E531" i="3"/>
  <c r="E489" i="3"/>
  <c r="E28" i="3"/>
  <c r="E182" i="3"/>
  <c r="E211" i="3"/>
  <c r="E273" i="3"/>
  <c r="E572" i="3"/>
  <c r="E109" i="3"/>
  <c r="E217" i="3"/>
  <c r="E268" i="3"/>
  <c r="E322" i="3"/>
  <c r="AJ6" i="3"/>
  <c r="E579" i="3"/>
  <c r="E431" i="3"/>
  <c r="E247" i="3"/>
  <c r="E311" i="3"/>
  <c r="E514" i="3"/>
  <c r="E570" i="3"/>
  <c r="AB6" i="3"/>
  <c r="E387" i="3"/>
  <c r="E335" i="3"/>
  <c r="E189" i="3"/>
  <c r="E69" i="3"/>
  <c r="E278" i="3"/>
  <c r="E172" i="3"/>
  <c r="E445" i="3"/>
  <c r="E535" i="3"/>
  <c r="E135" i="3"/>
  <c r="E191" i="3"/>
  <c r="E263" i="3"/>
  <c r="AI6" i="3"/>
  <c r="E385" i="3"/>
  <c r="E246" i="3"/>
  <c r="E100" i="3"/>
  <c r="E200" i="3"/>
  <c r="E148" i="3"/>
  <c r="E132" i="3"/>
  <c r="E296" i="3"/>
  <c r="E275"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AC7" i="37"/>
  <c r="W7" i="37"/>
  <c r="U7" i="36"/>
  <c r="F7" i="33"/>
  <c r="E58" i="21"/>
  <c r="AC7" i="36"/>
  <c r="V36" i="36" s="1"/>
  <c r="I36" i="36" s="1"/>
  <c r="W7" i="36"/>
  <c r="F7" i="37"/>
  <c r="M17" i="15"/>
  <c r="F59" i="15"/>
  <c r="P28" i="43"/>
  <c r="B66" i="40" s="1"/>
  <c r="P25" i="43"/>
  <c r="P29" i="43"/>
  <c r="P27" i="43"/>
  <c r="B70" i="39" s="1"/>
  <c r="M11" i="67"/>
  <c r="J10" i="67" s="1"/>
  <c r="F11" i="15"/>
  <c r="M11" i="15"/>
  <c r="J10" i="15" s="1"/>
  <c r="F11" i="67"/>
  <c r="AE11" i="1"/>
  <c r="AE6" i="1"/>
  <c r="AE9" i="1"/>
  <c r="AE7" i="1"/>
  <c r="AE8" i="1"/>
  <c r="AE12" i="1"/>
  <c r="AE10" i="1"/>
  <c r="C16" i="15"/>
  <c r="F27" i="68"/>
  <c r="C16" i="67"/>
  <c r="F41" i="67"/>
  <c r="G1" i="73"/>
  <c r="N50" i="43" l="1"/>
  <c r="D50" i="43"/>
  <c r="D22" i="71"/>
  <c r="C21" i="71"/>
  <c r="N56" i="43"/>
  <c r="D56" i="43"/>
  <c r="J55" i="43"/>
  <c r="D55" i="43"/>
  <c r="E468" i="3"/>
  <c r="E406" i="3"/>
  <c r="E133" i="3"/>
  <c r="E545" i="3"/>
  <c r="E347" i="3"/>
  <c r="E586" i="3"/>
  <c r="E91" i="3"/>
  <c r="E528" i="3"/>
  <c r="E380" i="3"/>
  <c r="E270" i="3"/>
  <c r="E388" i="3"/>
  <c r="E175" i="3"/>
  <c r="E186" i="3"/>
  <c r="AS6" i="3"/>
  <c r="E515" i="3"/>
  <c r="E567" i="3"/>
  <c r="E150" i="3"/>
  <c r="E571" i="3"/>
  <c r="E519" i="3"/>
  <c r="E314" i="3"/>
  <c r="E336" i="3"/>
  <c r="E61" i="3"/>
  <c r="E395" i="3"/>
  <c r="E294" i="3"/>
  <c r="E358" i="3"/>
  <c r="E516" i="3"/>
  <c r="E366" i="3"/>
  <c r="E295" i="3"/>
  <c r="E444" i="3"/>
  <c r="E448" i="3"/>
  <c r="E32" i="3"/>
  <c r="E73" i="3"/>
  <c r="E481" i="3"/>
  <c r="E434" i="3"/>
  <c r="E402" i="3"/>
  <c r="E17" i="3"/>
  <c r="E338" i="3"/>
  <c r="E285" i="3"/>
  <c r="E501" i="3"/>
  <c r="E126" i="3"/>
  <c r="E367" i="3"/>
  <c r="E207" i="3"/>
  <c r="E168" i="3"/>
  <c r="E438" i="3"/>
  <c r="E157" i="3"/>
  <c r="E307" i="3"/>
  <c r="E87" i="3"/>
  <c r="E462" i="3"/>
  <c r="E297" i="3"/>
  <c r="E48" i="3"/>
  <c r="E416" i="3"/>
  <c r="E58" i="3"/>
  <c r="E165" i="3"/>
  <c r="E20" i="3"/>
  <c r="E234" i="3"/>
  <c r="L6" i="3"/>
  <c r="E419" i="3"/>
  <c r="E393" i="3"/>
  <c r="E80" i="3"/>
  <c r="E225" i="3"/>
  <c r="E408" i="3"/>
  <c r="E235" i="3"/>
  <c r="E300" i="3"/>
  <c r="J52" i="43"/>
  <c r="D52" i="43"/>
  <c r="N53" i="43"/>
  <c r="D53" i="43"/>
  <c r="F67" i="39"/>
  <c r="E242" i="3"/>
  <c r="E119" i="3"/>
  <c r="X6" i="3"/>
  <c r="E423" i="3"/>
  <c r="E161" i="3"/>
  <c r="E563" i="3"/>
  <c r="E215" i="3"/>
  <c r="M6" i="3"/>
  <c r="E201" i="3"/>
  <c r="E509" i="3"/>
  <c r="E526" i="3"/>
  <c r="E377" i="3"/>
  <c r="E70" i="3"/>
  <c r="E557" i="3"/>
  <c r="AO6" i="3"/>
  <c r="E89" i="3"/>
  <c r="E362" i="3"/>
  <c r="E146" i="3"/>
  <c r="E577" i="3"/>
  <c r="E472" i="3"/>
  <c r="E277" i="3"/>
  <c r="E181" i="3"/>
  <c r="E399" i="3"/>
  <c r="E350" i="3"/>
  <c r="E180" i="3"/>
  <c r="E261" i="3"/>
  <c r="E538" i="3"/>
  <c r="E143" i="3"/>
  <c r="E508" i="3"/>
  <c r="E44" i="3"/>
  <c r="E162" i="3"/>
  <c r="E505" i="3"/>
  <c r="E107" i="3"/>
  <c r="E31" i="3"/>
  <c r="E111" i="3"/>
  <c r="E457" i="3"/>
  <c r="E193" i="3"/>
  <c r="E85" i="3"/>
  <c r="E518" i="3"/>
  <c r="E290" i="3"/>
  <c r="E415" i="3"/>
  <c r="E407" i="3"/>
  <c r="E151" i="3"/>
  <c r="E239" i="3"/>
  <c r="E480" i="3"/>
  <c r="E166" i="3"/>
  <c r="E581" i="3"/>
  <c r="E576" i="3"/>
  <c r="E580" i="3"/>
  <c r="E496" i="3"/>
  <c r="E330" i="3"/>
  <c r="E238" i="3"/>
  <c r="E303" i="3"/>
  <c r="E304" i="3"/>
  <c r="E506" i="3"/>
  <c r="E359" i="3"/>
  <c r="E53" i="3"/>
  <c r="E92" i="3"/>
  <c r="E548" i="3"/>
  <c r="E93" i="3"/>
  <c r="E54" i="3"/>
  <c r="E474" i="3"/>
  <c r="E136" i="3"/>
  <c r="E504" i="3"/>
  <c r="E195" i="3"/>
  <c r="E374" i="3"/>
  <c r="E436" i="3"/>
  <c r="E138" i="3"/>
  <c r="E222" i="3"/>
  <c r="E348" i="3"/>
  <c r="E524" i="3"/>
  <c r="E123" i="3"/>
  <c r="E38" i="3"/>
  <c r="E346" i="3"/>
  <c r="AH6" i="3"/>
  <c r="E116" i="3"/>
  <c r="E35" i="3"/>
  <c r="E420" i="3"/>
  <c r="E456" i="3"/>
  <c r="E174" i="3"/>
  <c r="E409" i="3"/>
  <c r="J58" i="43"/>
  <c r="D58" i="43"/>
  <c r="C32" i="71"/>
  <c r="D31" i="71"/>
  <c r="J18" i="15"/>
  <c r="C32" i="15"/>
  <c r="C48" i="11"/>
  <c r="C30" i="11"/>
  <c r="F48" i="68"/>
  <c r="C30" i="68"/>
  <c r="C48" i="68"/>
  <c r="F48" i="69"/>
  <c r="C48" i="69"/>
  <c r="C30" i="69"/>
  <c r="J5" i="15"/>
  <c r="J24" i="15" s="1"/>
  <c r="Q52" i="15"/>
  <c r="F1" i="15"/>
  <c r="Q74" i="15"/>
  <c r="C49" i="67"/>
  <c r="AA10" i="39"/>
  <c r="H10" i="39"/>
  <c r="U10" i="39" s="1"/>
  <c r="H10" i="40"/>
  <c r="AB10" i="40" s="1"/>
  <c r="J10" i="40"/>
  <c r="AC10" i="40" s="1"/>
  <c r="F10" i="40"/>
  <c r="S10" i="40" s="1"/>
  <c r="J10" i="39"/>
  <c r="W10" i="39" s="1"/>
  <c r="C49" i="15"/>
  <c r="Q73" i="15"/>
  <c r="T6" i="3"/>
  <c r="E113" i="3"/>
  <c r="E482" i="3"/>
  <c r="E381" i="3"/>
  <c r="E76" i="3"/>
  <c r="AD6" i="3"/>
  <c r="E39" i="3"/>
  <c r="E266" i="3"/>
  <c r="E323" i="3"/>
  <c r="E446" i="3"/>
  <c r="E312" i="3"/>
  <c r="E521" i="3"/>
  <c r="E566" i="3"/>
  <c r="E365" i="3"/>
  <c r="E289" i="3"/>
  <c r="E299" i="3"/>
  <c r="E15" i="3"/>
  <c r="E226" i="3"/>
  <c r="J6" i="3"/>
  <c r="E543" i="3"/>
  <c r="E326" i="3"/>
  <c r="E324" i="3"/>
  <c r="E115" i="3"/>
  <c r="E451" i="3"/>
  <c r="E173" i="3"/>
  <c r="E206" i="3"/>
  <c r="E281" i="3"/>
  <c r="E144" i="3"/>
  <c r="E575" i="3"/>
  <c r="E449" i="3"/>
  <c r="E267" i="3"/>
  <c r="E283" i="3"/>
  <c r="E42" i="3"/>
  <c r="E34" i="3"/>
  <c r="E205" i="3"/>
  <c r="E405" i="3"/>
  <c r="E556" i="3"/>
  <c r="E41" i="3"/>
  <c r="E412" i="3"/>
  <c r="E49" i="3"/>
  <c r="E16" i="3"/>
  <c r="E564" i="3"/>
  <c r="E440" i="3"/>
  <c r="E463" i="3"/>
  <c r="E276" i="3"/>
  <c r="E540" i="3"/>
  <c r="E194" i="3"/>
  <c r="AQ6" i="3"/>
  <c r="E340"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56"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02" i="3"/>
  <c r="E86" i="3"/>
  <c r="E96" i="3"/>
  <c r="AL6" i="3"/>
  <c r="E494" i="3"/>
  <c r="E81" i="3"/>
  <c r="E67" i="3"/>
  <c r="E103" i="3"/>
  <c r="E241" i="3"/>
  <c r="E442" i="3"/>
  <c r="E3" i="6"/>
  <c r="G6" i="77" s="1"/>
  <c r="E364" i="3"/>
  <c r="E112" i="3"/>
  <c r="E325" i="3"/>
  <c r="E170" i="3"/>
  <c r="E473" i="3"/>
  <c r="E372" i="3"/>
  <c r="E178" i="3"/>
  <c r="E401" i="3"/>
  <c r="E376" i="3"/>
  <c r="E427" i="3"/>
  <c r="E105" i="3"/>
  <c r="E329" i="3"/>
  <c r="E232" i="3"/>
  <c r="E220" i="3"/>
  <c r="E356" i="3"/>
  <c r="E26" i="3"/>
  <c r="E497" i="3"/>
  <c r="E512" i="3"/>
  <c r="E525" i="3"/>
  <c r="E22" i="3"/>
  <c r="AF6" i="3"/>
  <c r="E383" i="3"/>
  <c r="E18" i="3"/>
  <c r="E391" i="3"/>
  <c r="E513" i="3"/>
  <c r="E63" i="3"/>
  <c r="E23" i="3"/>
  <c r="E425" i="3"/>
  <c r="E95" i="3"/>
  <c r="E212" i="3"/>
  <c r="E536" i="3"/>
  <c r="E554" i="3"/>
  <c r="E389" i="3"/>
  <c r="E64" i="3"/>
  <c r="E310" i="3"/>
  <c r="E233"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H6" i="3" s="1"/>
  <c r="Q60" i="67"/>
  <c r="Q74" i="67"/>
  <c r="M17" i="67"/>
  <c r="Q52" i="67"/>
  <c r="J5" i="67"/>
  <c r="J24" i="67" s="1"/>
  <c r="E68" i="3"/>
  <c r="E184" i="3"/>
  <c r="E84" i="3"/>
  <c r="E371" i="3"/>
  <c r="E160" i="3"/>
  <c r="E467" i="3"/>
  <c r="E59" i="3"/>
  <c r="E349" i="3"/>
  <c r="E258" i="3"/>
  <c r="E37" i="3"/>
  <c r="E491" i="3"/>
  <c r="AP6" i="3"/>
  <c r="E430" i="3"/>
  <c r="E502" i="3"/>
  <c r="E286" i="3"/>
  <c r="E539" i="3"/>
  <c r="E363" i="3"/>
  <c r="E192" i="3"/>
  <c r="E56" i="3"/>
  <c r="E435" i="3"/>
  <c r="I3" i="6"/>
  <c r="E541" i="3"/>
  <c r="R6" i="3"/>
  <c r="E199" i="3"/>
  <c r="E510" i="3"/>
  <c r="D56" i="71"/>
  <c r="T56" i="71"/>
  <c r="E355" i="3"/>
  <c r="E33" i="3"/>
  <c r="E492" i="3"/>
  <c r="E249" i="3"/>
  <c r="E46" i="3"/>
  <c r="E484" i="3"/>
  <c r="E544" i="3"/>
  <c r="E292" i="3"/>
  <c r="E152" i="3"/>
  <c r="E479" i="3"/>
  <c r="E517" i="3"/>
  <c r="E255" i="3"/>
  <c r="E466" i="3"/>
  <c r="E499" i="3"/>
  <c r="T40" i="71"/>
  <c r="D40" i="71"/>
  <c r="C26" i="71"/>
  <c r="D26" i="71" s="1"/>
  <c r="D27"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F41" i="15"/>
  <c r="M27" i="67"/>
  <c r="D21" i="71" l="1"/>
  <c r="C20" i="71"/>
  <c r="U10" i="40"/>
  <c r="B1" i="74"/>
  <c r="B14" i="74"/>
  <c r="B4" i="77"/>
  <c r="E50" i="43"/>
  <c r="B48" i="43" s="1"/>
  <c r="C28" i="43" s="1"/>
  <c r="D32" i="71"/>
  <c r="T32" i="71"/>
  <c r="C48" i="15"/>
  <c r="C66" i="15" s="1"/>
  <c r="C48" i="67"/>
  <c r="C60" i="67" s="1"/>
  <c r="W10" i="40"/>
  <c r="AC6" i="3"/>
  <c r="E6" i="3" s="1"/>
  <c r="F22" i="69"/>
  <c r="F41" i="69" s="1"/>
  <c r="F25" i="12"/>
  <c r="C26" i="12" s="1"/>
  <c r="D25" i="12" s="1"/>
  <c r="F24" i="15"/>
  <c r="C24" i="15" s="1"/>
  <c r="F22" i="68"/>
  <c r="F22" i="11"/>
  <c r="C23" i="11" s="1"/>
  <c r="F24" i="67"/>
  <c r="C24" i="67" s="1"/>
  <c r="D116" i="43"/>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D10" i="69"/>
  <c r="C34" i="69"/>
  <c r="C17" i="67"/>
  <c r="D10" i="68"/>
  <c r="C14" i="67"/>
  <c r="C17" i="15"/>
  <c r="T11" i="43" l="1"/>
  <c r="V11" i="43" s="1"/>
  <c r="T14" i="43"/>
  <c r="V14" i="43" s="1"/>
  <c r="T4" i="43"/>
  <c r="V4" i="43" s="1"/>
  <c r="T5" i="43"/>
  <c r="V5" i="43" s="1"/>
  <c r="C41" i="43"/>
  <c r="T9" i="43"/>
  <c r="V9" i="43" s="1"/>
  <c r="T12" i="43"/>
  <c r="V12" i="43" s="1"/>
  <c r="T3" i="43"/>
  <c r="V3" i="43" s="1"/>
  <c r="C33" i="43"/>
  <c r="C39" i="43"/>
  <c r="T13" i="43"/>
  <c r="V13" i="43" s="1"/>
  <c r="T8" i="43"/>
  <c r="V8" i="43" s="1"/>
  <c r="T6" i="43"/>
  <c r="V6" i="43" s="1"/>
  <c r="C38" i="43"/>
  <c r="T15" i="43"/>
  <c r="V15" i="43" s="1"/>
  <c r="T7" i="43"/>
  <c r="V7" i="43" s="1"/>
  <c r="T10" i="43"/>
  <c r="V10" i="43" s="1"/>
  <c r="T2" i="43"/>
  <c r="V2" i="43" s="1"/>
  <c r="C40" i="43"/>
  <c r="C42" i="43"/>
  <c r="T16" i="43"/>
  <c r="V16" i="43" s="1"/>
  <c r="C37" i="43"/>
  <c r="C19" i="71"/>
  <c r="D20" i="71"/>
  <c r="U20" i="71" s="1"/>
  <c r="T20" i="71"/>
  <c r="C60" i="15"/>
  <c r="C26" i="69"/>
  <c r="D22" i="69" s="1"/>
  <c r="C44" i="69"/>
  <c r="D41" i="69" s="1"/>
  <c r="C26" i="68"/>
  <c r="D22" i="68" s="1"/>
  <c r="C44" i="68"/>
  <c r="D41" i="68" s="1"/>
  <c r="F41" i="68"/>
  <c r="C25" i="11"/>
  <c r="C26" i="11"/>
  <c r="D22" i="11" s="1"/>
  <c r="C44" i="11"/>
  <c r="D41" i="11" s="1"/>
  <c r="C24" i="1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14" i="15"/>
  <c r="C34" i="68"/>
  <c r="C31" i="11" l="1"/>
  <c r="C18" i="71"/>
  <c r="D19" i="71"/>
  <c r="G40" i="43"/>
  <c r="I40" i="43" s="1"/>
  <c r="E40" i="43"/>
  <c r="G37" i="43"/>
  <c r="I37" i="43" s="1"/>
  <c r="E37" i="43"/>
  <c r="E38" i="43"/>
  <c r="G38" i="43"/>
  <c r="I38" i="43" s="1"/>
  <c r="G39" i="43"/>
  <c r="I39" i="43" s="1"/>
  <c r="E39" i="43"/>
  <c r="C14" i="74"/>
  <c r="B2" i="74" s="1"/>
  <c r="B5" i="77"/>
  <c r="D14" i="77" s="1"/>
  <c r="C34" i="43"/>
  <c r="E34" i="43" s="1"/>
  <c r="E33" i="43"/>
  <c r="G41" i="43"/>
  <c r="I41" i="43" s="1"/>
  <c r="E41" i="43"/>
  <c r="E42" i="43"/>
  <c r="G42" i="43"/>
  <c r="I42" i="43"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D8" i="74" l="1"/>
  <c r="D7" i="74"/>
  <c r="C30" i="43"/>
  <c r="C31" i="43"/>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B6" i="76"/>
  <c r="F35" i="67"/>
  <c r="M21" i="15"/>
  <c r="M21" i="67"/>
  <c r="B2" i="76" l="1"/>
  <c r="B3" i="76" s="1"/>
  <c r="E48" i="21"/>
  <c r="M23" i="43"/>
  <c r="C15" i="71"/>
  <c r="T16" i="71"/>
  <c r="D16" i="71"/>
  <c r="U16" i="71" s="1"/>
  <c r="C6" i="68"/>
  <c r="B3" i="43"/>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C7" i="68"/>
  <c r="C5" i="68"/>
  <c r="C51" i="68"/>
  <c r="D13" i="77"/>
  <c r="D12" i="77" s="1"/>
  <c r="D11"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3" i="68" l="1"/>
  <c r="C20" i="68"/>
  <c r="D14" i="71"/>
  <c r="C13" i="71"/>
  <c r="E11" i="77"/>
  <c r="E7" i="77" s="1"/>
  <c r="C27" i="77" s="1"/>
  <c r="D7" i="77"/>
  <c r="C26" i="77" s="1"/>
  <c r="C32" i="7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C28" i="68"/>
  <c r="C27" i="68" s="1"/>
  <c r="C25" i="68"/>
  <c r="C22" i="68" s="1"/>
  <c r="C38" i="77"/>
  <c r="C39" i="77" s="1"/>
  <c r="C40" i="77" s="1"/>
  <c r="B2" i="77" s="1"/>
  <c r="B3" i="77" s="1"/>
  <c r="G33" i="77"/>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6"/>
  <c r="D2" i="35"/>
  <c r="C41" i="77" l="1"/>
  <c r="C31" i="68"/>
  <c r="C52" i="68" s="1"/>
  <c r="C57" i="68" s="1"/>
  <c r="C56" i="68" s="1"/>
  <c r="D12" i="7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6" i="1"/>
  <c r="AO8" i="1"/>
  <c r="AO7" i="1"/>
  <c r="AO10" i="1"/>
  <c r="AO11" i="1"/>
  <c r="B2" i="68" l="1"/>
  <c r="C10" i="71"/>
  <c r="D11"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B3" i="68"/>
  <c r="D34" i="9"/>
  <c r="D19" i="9"/>
  <c r="D35" i="9"/>
  <c r="C20" i="9"/>
  <c r="C102" i="9" l="1"/>
  <c r="C21" i="9"/>
  <c r="C103" i="9"/>
  <c r="D10" i="71"/>
  <c r="C9" i="71"/>
  <c r="D102" i="9"/>
  <c r="D21" i="9"/>
  <c r="G19" i="9"/>
  <c r="D22" i="9"/>
  <c r="B3" i="15"/>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8" i="71" l="1"/>
  <c r="D9" i="71"/>
  <c r="G21" i="9"/>
  <c r="D14" i="74"/>
  <c r="G14" i="74" s="1"/>
  <c r="D103" i="9"/>
  <c r="G20" i="9"/>
  <c r="C32" i="9" s="1"/>
  <c r="C42" i="40"/>
  <c r="C43" i="40"/>
  <c r="E47" i="40"/>
  <c r="F47" i="40" s="1"/>
  <c r="E46" i="40"/>
  <c r="F46" i="40" s="1"/>
  <c r="I47" i="40"/>
  <c r="J47" i="40" s="1"/>
  <c r="C7" i="71" l="1"/>
  <c r="D8" i="7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D118" i="9"/>
  <c r="F118" i="9"/>
  <c r="F119" i="9" s="1"/>
  <c r="F5" i="52" s="1"/>
  <c r="B53" i="72" s="1"/>
  <c r="H118" i="9"/>
  <c r="H119" i="9" s="1"/>
  <c r="H5" i="52" s="1"/>
  <c r="D4" i="52" l="1"/>
  <c r="B47" i="72" s="1"/>
  <c r="J118" i="9"/>
  <c r="H101" i="9"/>
  <c r="H107" i="9" s="1"/>
  <c r="D119" i="9"/>
  <c r="D5" i="52" s="1"/>
  <c r="B49" i="72" s="1"/>
  <c r="I118" i="9"/>
  <c r="I4" i="52" s="1"/>
  <c r="C104" i="9"/>
  <c r="G118" i="9"/>
  <c r="G4" i="52" s="1"/>
  <c r="B52" i="72" s="1"/>
  <c r="H4" i="52"/>
  <c r="F4" i="52"/>
  <c r="B51" i="72" s="1"/>
  <c r="M48" i="9" l="1"/>
  <c r="H102" i="9"/>
  <c r="D7" i="53" s="1"/>
  <c r="B21" i="72" s="1"/>
  <c r="C105" i="9"/>
  <c r="E118" i="9"/>
  <c r="E4" i="52" s="1"/>
  <c r="B48" i="72" s="1"/>
  <c r="D5" i="53"/>
  <c r="D45" i="9"/>
  <c r="M49" i="9"/>
  <c r="H108" i="9"/>
  <c r="D13" i="53"/>
  <c r="D122" i="9"/>
  <c r="C5" i="74"/>
  <c r="C78" i="9" l="1"/>
  <c r="C73" i="9" s="1"/>
  <c r="C72" i="9"/>
  <c r="C79" i="9" s="1"/>
  <c r="D55" i="9"/>
  <c r="M53" i="9" s="1"/>
  <c r="C64" i="9"/>
  <c r="C63" i="9" s="1"/>
  <c r="C67" i="9" s="1"/>
  <c r="C85" i="9"/>
  <c r="C93" i="9"/>
  <c r="C86" i="9" s="1"/>
  <c r="C95" i="9" s="1"/>
  <c r="D52" i="9"/>
  <c r="D53" i="9"/>
  <c r="D6" i="53"/>
  <c r="B22" i="72" s="1"/>
  <c r="B20" i="72"/>
  <c r="D15" i="53"/>
  <c r="B31" i="72" s="1"/>
  <c r="C6" i="74"/>
  <c r="L66" i="9"/>
  <c r="M66" i="9" s="1"/>
  <c r="L67" i="9"/>
  <c r="M67" i="9" s="1"/>
  <c r="L65" i="9"/>
  <c r="M65" i="9" s="1"/>
  <c r="L64" i="9"/>
  <c r="M64" i="9" s="1"/>
  <c r="L63" i="9"/>
  <c r="M63" i="9" s="1"/>
  <c r="L68" i="9"/>
  <c r="M68" i="9" s="1"/>
  <c r="D123" i="9"/>
  <c r="D9" i="52" s="1"/>
  <c r="D8" i="52"/>
  <c r="B30" i="72"/>
  <c r="D14" i="53"/>
  <c r="B32" i="72" s="1"/>
  <c r="M69" i="9" l="1"/>
  <c r="N69" i="9" s="1"/>
  <c r="D59" i="9"/>
  <c r="M55" i="9" s="1"/>
  <c r="C68" i="9"/>
  <c r="D54" i="9" s="1"/>
  <c r="C96" i="9"/>
  <c r="E96" i="9" s="1"/>
  <c r="E97" i="9" s="1"/>
  <c r="C80" i="9"/>
  <c r="E80" i="9" s="1"/>
  <c r="E81" i="9" s="1"/>
  <c r="C81" i="9" l="1"/>
  <c r="C97" i="9"/>
  <c r="D58" i="9" s="1"/>
  <c r="D56" i="9" s="1"/>
  <c r="M54" i="9" s="1"/>
  <c r="N57" i="9" s="1"/>
  <c r="N59" i="9" s="1"/>
  <c r="N58"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<sst xmlns="http://schemas.openxmlformats.org/spreadsheetml/2006/main" count="8177" uniqueCount="3584">
  <si>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</si>
  <si>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</si>
  <si>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</si>
  <si>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</si>
  <si>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</si>
  <si>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</si>
  <si>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</si>
  <si>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</si>
  <si>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</si>
  <si>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</si>
  <si>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</si>
  <si>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</si>
  <si>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</si>
  <si>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</si>
  <si>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</si>
  <si>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</si>
  <si>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</si>
  <si>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</si>
  <si>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</si>
  <si>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</si>
  <si>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</si>
  <si>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</si>
  <si>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</si>
  <si>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</si>
  <si>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</si>
  <si>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</si>
  <si>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</si>
  <si>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</si>
  <si>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</si>
  <si>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</si>
  <si>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</si>
  <si>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</si>
  <si>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</si>
  <si>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</si>
  <si>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</si>
  <si>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</si>
  <si>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</si>
  <si>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</si>
  <si>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</si>
  <si>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</si>
  <si>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</si>
  <si>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</si>
  <si>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</si>
  <si>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</si>
  <si>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</si>
  <si>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</si>
  <si>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</si>
  <si>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</si>
  <si>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</si>
  <si>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</si>
  <si>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</si>
  <si>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</si>
  <si>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</si>
  <si>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</si>
  <si>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</si>
  <si>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</si>
  <si>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</si>
  <si>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</si>
  <si>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</si>
  <si>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</si>
  <si>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</si>
  <si>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</si>
  <si>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</si>
  <si>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</si>
  <si>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</si>
  <si>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</si>
  <si>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</si>
  <si>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</si>
  <si>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</si>
  <si>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</si>
  <si>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</si>
  <si>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</si>
  <si>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</si>
  <si>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</si>
  <si>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</si>
  <si>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</si>
  <si>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</si>
  <si>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</si>
  <si>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</si>
  <si>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</si>
  <si>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</si>
  <si>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</si>
  <si>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</si>
  <si>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</si>
  <si>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</si>
  <si>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</si>
  <si>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</si>
  <si>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</si>
  <si>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</si>
  <si>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</si>
  <si>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</si>
  <si>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</si>
  <si>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</si>
  <si>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</si>
  <si>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</si>
  <si>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</si>
  <si>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</si>
  <si>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</si>
  <si>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</si>
  <si>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</si>
  <si>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</si>
  <si>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</si>
  <si>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</si>
  <si>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</si>
  <si>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</si>
  <si>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</si>
  <si>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</si>
  <si>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</si>
  <si>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</si>
  <si>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</si>
  <si>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</si>
  <si>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</si>
  <si>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</si>
  <si>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</si>
  <si>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</si>
  <si>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</si>
  <si>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</si>
  <si>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</si>
  <si>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</si>
  <si>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</si>
  <si>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</si>
  <si>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</si>
  <si>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</si>
  <si>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</si>
  <si>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</si>
  <si>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</si>
  <si>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</si>
  <si>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</si>
  <si>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</si>
  <si>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</si>
  <si>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</si>
  <si>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</si>
  <si>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</si>
  <si>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</si>
  <si>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</si>
  <si>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</si>
  <si>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</si>
  <si>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</si>
  <si>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</si>
  <si>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</si>
  <si>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</si>
  <si>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</si>
  <si>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</si>
  <si>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</si>
  <si>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</si>
  <si>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</si>
  <si>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</si>
  <si>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</si>
  <si>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</si>
  <si>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</si>
  <si>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</si>
  <si>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</si>
  <si>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</si>
  <si>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</si>
  <si>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</si>
  <si>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</si>
  <si>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</si>
  <si>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</si>
  <si>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</si>
  <si>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</si>
  <si>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</si>
  <si>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</si>
  <si>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</si>
  <si>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</si>
  <si>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</si>
  <si>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</si>
  <si>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</si>
  <si>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</si>
  <si>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</si>
  <si>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</si>
  <si>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</si>
  <si>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</si>
  <si>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</si>
  <si>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</si>
  <si>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</si>
  <si>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</si>
  <si>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</si>
  <si>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</si>
  <si>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</si>
  <si>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</si>
  <si>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</si>
  <si>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</si>
  <si>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</si>
  <si>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</si>
  <si>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</si>
  <si>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</si>
  <si>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</si>
  <si>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</si>
  <si>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</si>
  <si>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</si>
  <si>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</si>
  <si>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</si>
  <si>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</si>
  <si>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</si>
  <si>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</si>
  <si>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</si>
  <si>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</si>
  <si>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</si>
  <si>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</si>
  <si>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</si>
  <si>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</si>
  <si>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</si>
  <si>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</si>
  <si>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</si>
  <si>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</si>
  <si>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</si>
  <si>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</si>
  <si>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</si>
  <si>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</si>
  <si>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</si>
  <si>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</si>
  <si>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</si>
  <si>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</si>
  <si>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</si>
  <si>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</si>
  <si>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</si>
  <si>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</si>
  <si>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</si>
  <si>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</si>
  <si>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</si>
  <si>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</si>
  <si>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</si>
  <si>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</si>
  <si>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</si>
  <si>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</si>
  <si>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</si>
  <si>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</si>
  <si>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</si>
  <si>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</si>
  <si>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</si>
  <si>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</si>
  <si>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</si>
  <si>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</si>
  <si>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</si>
  <si>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</si>
  <si>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</si>
  <si>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</si>
  <si>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</si>
  <si>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</si>
  <si>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</si>
  <si>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</si>
  <si>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</si>
  <si>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</si>
  <si>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</si>
  <si>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</si>
  <si>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</si>
  <si>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</si>
  <si>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</si>
  <si>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</si>
  <si>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</si>
  <si>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</si>
  <si>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</si>
  <si>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</si>
  <si>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</si>
  <si>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</si>
  <si>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</si>
  <si>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</si>
  <si>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</si>
  <si>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</si>
  <si>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</si>
  <si>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</si>
  <si>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</si>
  <si>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</si>
  <si>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</si>
  <si>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</si>
  <si>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</si>
  <si>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</si>
  <si>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</si>
  <si>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</si>
  <si>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</si>
  <si>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</si>
  <si>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</si>
  <si>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</si>
  <si>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</si>
  <si>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</si>
  <si>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</si>
  <si>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</si>
  <si>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</si>
  <si>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</si>
  <si>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</si>
  <si>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</si>
  <si>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</si>
  <si>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</si>
  <si>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</si>
  <si>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</si>
  <si>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</si>
  <si>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</si>
  <si>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</si>
  <si>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</si>
  <si>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</si>
  <si>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</si>
  <si>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</si>
  <si>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</si>
  <si>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</si>
  <si>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</si>
  <si>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</si>
  <si>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</si>
  <si>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</si>
  <si>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</si>
  <si>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</si>
  <si>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</si>
  <si>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</si>
  <si>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</si>
  <si>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</si>
  <si>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</si>
  <si>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</si>
  <si>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</si>
  <si>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</si>
  <si>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</si>
  <si>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</si>
  <si>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</si>
  <si>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</si>
  <si>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</si>
  <si>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</si>
  <si>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</si>
  <si>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</si>
  <si>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</si>
  <si>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</si>
  <si>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</si>
  <si>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</si>
  <si>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</si>
  <si>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</si>
  <si>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</si>
  <si>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</si>
  <si>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</si>
  <si>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</si>
  <si>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</si>
  <si>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</si>
  <si>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</si>
  <si>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</si>
  <si>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</si>
  <si>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</si>
  <si>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</si>
  <si>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</si>
  <si>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</si>
  <si>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</si>
  <si>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</si>
  <si>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</si>
  <si>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</si>
  <si>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</si>
  <si>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</si>
  <si>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</si>
  <si>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</si>
  <si>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</si>
  <si>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</si>
  <si>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</si>
  <si>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</si>
  <si>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</si>
  <si>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</si>
  <si>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</si>
  <si>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</si>
  <si>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</si>
  <si>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</si>
  <si>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</si>
  <si>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</si>
  <si>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</si>
  <si>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</si>
  <si>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</si>
  <si>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</si>
  <si>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</si>
  <si>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</si>
  <si>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</si>
  <si>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</si>
  <si>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</si>
  <si>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</si>
  <si>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</si>
  <si>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</si>
  <si>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</si>
  <si>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</si>
  <si>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</si>
  <si>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</si>
  <si>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</si>
  <si>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</si>
  <si>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</si>
  <si>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</si>
  <si>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</si>
  <si>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</si>
  <si>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</si>
  <si>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</si>
  <si>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</si>
  <si>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</si>
  <si>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</si>
  <si>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</si>
  <si>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</si>
  <si>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</si>
  <si>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</si>
  <si>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</si>
  <si>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</si>
  <si>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</si>
  <si>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</si>
  <si>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</si>
  <si>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</si>
  <si>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</si>
  <si>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</si>
  <si>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</si>
  <si>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</si>
  <si>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</si>
  <si>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</si>
  <si>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</si>
  <si>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</si>
  <si>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</si>
  <si>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</si>
  <si>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</si>
  <si>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</si>
  <si>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</si>
  <si>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</si>
  <si>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</si>
  <si>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</si>
  <si>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</si>
  <si>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</si>
  <si>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</si>
  <si>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</si>
  <si>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</si>
  <si>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</si>
  <si>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</si>
  <si>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</si>
  <si>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</si>
  <si>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</si>
  <si>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</si>
  <si>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</si>
  <si>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</si>
  <si>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</si>
  <si>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</si>
  <si>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</si>
  <si>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</si>
  <si>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</si>
  <si>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</si>
  <si>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</si>
  <si>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</si>
  <si>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</si>
  <si>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</si>
  <si>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</si>
  <si>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</si>
  <si>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</si>
  <si>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</si>
  <si>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</si>
  <si>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</si>
  <si>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</si>
  <si>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</si>
  <si>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</si>
  <si>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</si>
  <si>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</si>
  <si>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</si>
  <si>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</si>
  <si>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</si>
  <si>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</si>
  <si>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</si>
  <si>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</si>
  <si>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</si>
  <si>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</si>
  <si>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</si>
  <si>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</si>
  <si>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</si>
  <si>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</si>
  <si>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</si>
  <si>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</si>
  <si>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</si>
  <si>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</si>
  <si>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</si>
  <si>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</si>
  <si>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</si>
  <si>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</si>
  <si>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</si>
  <si>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</si>
  <si>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</si>
  <si>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</si>
  <si>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</si>
  <si>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</si>
  <si>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</si>
  <si>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</si>
  <si>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</si>
  <si>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</si>
  <si>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</si>
  <si>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</si>
  <si>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</si>
  <si>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</si>
  <si>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</si>
  <si>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</si>
  <si>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</si>
  <si>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</si>
  <si>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</si>
  <si>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</si>
  <si>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</si>
  <si>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</si>
  <si>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</si>
  <si>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</si>
  <si>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</si>
  <si>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</si>
  <si>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</si>
  <si>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</si>
  <si>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</si>
  <si>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</si>
  <si>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</si>
  <si>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</si>
  <si>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</si>
  <si>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</si>
  <si>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</si>
  <si>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</si>
  <si>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</si>
  <si>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</si>
  <si>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</si>
  <si>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</si>
  <si>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</si>
  <si>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</si>
  <si>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</si>
  <si>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</si>
  <si>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</si>
  <si>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</si>
  <si>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</si>
  <si>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</si>
  <si>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</si>
  <si>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</si>
  <si>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</si>
  <si>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</si>
  <si>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</si>
  <si>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</si>
  <si>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</si>
  <si>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</si>
  <si>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</si>
  <si>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</si>
  <si>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</si>
  <si>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</si>
  <si>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</si>
  <si>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</si>
  <si>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</si>
  <si>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</si>
  <si>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</si>
  <si>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</si>
  <si>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</si>
  <si>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</si>
  <si>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</si>
  <si>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</si>
  <si>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</si>
  <si>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</si>
  <si>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</si>
  <si>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</si>
  <si>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</si>
  <si>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</si>
  <si>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</si>
  <si>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</si>
  <si>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</si>
  <si>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</si>
  <si>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</si>
  <si>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</si>
  <si>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</si>
  <si>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</si>
  <si>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</si>
  <si>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</si>
  <si>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</si>
  <si>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</si>
  <si>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</si>
  <si>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</si>
  <si>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</si>
  <si>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</si>
  <si>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</si>
  <si>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</si>
  <si>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</si>
  <si>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</si>
  <si>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</si>
  <si>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</si>
  <si>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</si>
  <si>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</si>
  <si>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</si>
  <si>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</si>
  <si>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</si>
  <si>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</si>
  <si>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</si>
  <si>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</si>
  <si>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</si>
  <si>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</si>
  <si>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</si>
  <si>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</si>
  <si>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</si>
  <si>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</si>
  <si>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</si>
  <si>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</si>
  <si>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</si>
  <si>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</si>
  <si>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</si>
  <si>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</si>
  <si>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</si>
  <si>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</si>
  <si>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</si>
  <si>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</si>
  <si>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</si>
  <si>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</si>
  <si>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</si>
  <si>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</si>
  <si>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</si>
  <si>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</si>
  <si>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</si>
  <si>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</si>
  <si>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</si>
  <si>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</si>
  <si>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</si>
  <si>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</si>
  <si>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</si>
  <si>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</si>
  <si>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</si>
  <si>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</si>
  <si>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</si>
  <si>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</si>
  <si>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</si>
  <si>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</si>
  <si>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</si>
  <si>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</si>
  <si>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</si>
  <si>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</si>
  <si>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</si>
  <si>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</si>
  <si>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</si>
  <si>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</si>
  <si>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</si>
  <si>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</si>
  <si>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</si>
  <si>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</si>
  <si>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</si>
  <si>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</si>
  <si>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</si>
  <si>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</si>
  <si>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</si>
  <si>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</si>
  <si>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</si>
  <si>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</si>
  <si>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</si>
  <si>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</si>
  <si>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</si>
  <si>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</si>
  <si>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</si>
  <si>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</si>
  <si>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</si>
  <si>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</si>
  <si>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</si>
  <si>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</si>
  <si>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</si>
  <si>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</si>
  <si>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</si>
  <si>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</si>
  <si>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</si>
  <si>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</si>
  <si>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</si>
  <si>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</si>
  <si>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</si>
  <si>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</si>
  <si>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</si>
  <si>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</si>
  <si>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</si>
  <si>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</si>
  <si>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</si>
  <si>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</si>
  <si>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</si>
  <si>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</si>
  <si>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</si>
  <si>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</si>
  <si>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</si>
  <si>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</si>
  <si>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</si>
  <si>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</si>
  <si>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</si>
  <si>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</si>
  <si>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</si>
  <si>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</si>
  <si>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</si>
  <si>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</si>
  <si>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</si>
  <si>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</si>
  <si>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</si>
  <si>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</si>
  <si>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</si>
  <si>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</si>
  <si>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</si>
  <si>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</si>
  <si>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</si>
  <si>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</si>
  <si>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</si>
  <si>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</si>
  <si>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</si>
  <si>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</si>
  <si>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</si>
  <si>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</si>
  <si>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</si>
  <si>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</si>
  <si>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</si>
  <si>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</si>
  <si>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</si>
  <si>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</si>
  <si>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</si>
  <si>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</si>
  <si>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</si>
  <si>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</si>
  <si>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</si>
  <si>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</si>
  <si>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</si>
  <si>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</si>
  <si>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</si>
  <si>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</si>
  <si>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</si>
  <si>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</si>
  <si>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</si>
  <si>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</si>
  <si>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</si>
  <si>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</si>
  <si>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</si>
  <si>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</si>
  <si>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</si>
  <si>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</si>
  <si>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</si>
  <si>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</si>
  <si>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</si>
  <si>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</si>
  <si>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</si>
  <si>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</si>
  <si>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</si>
  <si>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</si>
  <si>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</si>
  <si>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</si>
  <si>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</si>
  <si>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</si>
  <si>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</si>
  <si>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</si>
  <si>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</si>
  <si>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</si>
  <si>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</si>
  <si>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</si>
  <si>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</si>
  <si>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</si>
  <si>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</si>
  <si>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</si>
  <si>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</si>
  <si>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</si>
  <si>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</si>
  <si>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</si>
  <si>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</si>
  <si>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</si>
  <si>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</si>
  <si>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</si>
  <si>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</si>
  <si>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</si>
  <si>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</si>
  <si>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</si>
  <si>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</si>
  <si>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</si>
  <si>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</si>
  <si>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</si>
  <si>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</si>
  <si>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</si>
  <si>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</si>
  <si>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</si>
  <si>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</si>
  <si>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</si>
  <si>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</si>
  <si>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</si>
  <si>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</si>
  <si>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</si>
  <si>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</si>
  <si>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</si>
  <si>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</si>
  <si>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</si>
  <si>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</si>
  <si>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</si>
  <si>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</si>
  <si>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</si>
  <si>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</si>
  <si>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</si>
  <si>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</si>
  <si>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</si>
  <si>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</si>
  <si>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</si>
  <si>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</si>
  <si>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</si>
  <si>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</si>
  <si>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</si>
  <si>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</si>
  <si>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</si>
  <si>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</si>
  <si>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</si>
  <si>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</si>
  <si>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</si>
  <si>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</si>
  <si>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</si>
  <si>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</si>
  <si>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</si>
  <si>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</si>
  <si>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</si>
  <si>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</si>
  <si>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</si>
  <si>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</si>
  <si>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</si>
  <si>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</si>
  <si>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</si>
  <si>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</si>
  <si>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</si>
  <si>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</si>
  <si>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</si>
  <si>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</si>
  <si>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</si>
  <si>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</si>
  <si>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</si>
  <si>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</si>
  <si>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</si>
  <si>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</si>
  <si>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</si>
  <si>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</si>
  <si>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</si>
  <si>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</si>
  <si>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</si>
  <si>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</si>
  <si>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</si>
  <si>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</si>
  <si>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</si>
  <si>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</si>
  <si>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</si>
  <si>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</si>
  <si>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</si>
  <si>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</si>
  <si>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</si>
  <si>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</si>
  <si>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</si>
  <si>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</si>
  <si>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</si>
  <si>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</si>
  <si>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</si>
  <si>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</si>
  <si>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</si>
  <si>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</si>
  <si>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</si>
  <si>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</si>
  <si>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</si>
  <si>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</si>
  <si>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</si>
  <si>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</si>
  <si>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</si>
  <si>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</si>
  <si>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</si>
  <si>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</si>
  <si>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</si>
  <si>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</si>
  <si>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</si>
  <si>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</si>
  <si>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</si>
  <si>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</si>
  <si>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</si>
  <si>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</si>
  <si>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</si>
  <si>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</si>
  <si>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</si>
  <si>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</si>
  <si>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</si>
  <si>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</si>
  <si>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</si>
  <si>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</si>
  <si>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</si>
  <si>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</si>
  <si>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</si>
  <si>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</si>
  <si>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</si>
  <si>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</si>
  <si>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</si>
  <si>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</si>
  <si>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</si>
  <si>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</si>
  <si>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</si>
  <si>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</si>
  <si>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</si>
  <si>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</si>
  <si>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</si>
  <si>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</si>
  <si>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</si>
  <si>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</si>
  <si>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</si>
  <si>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</si>
  <si>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</si>
  <si>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</si>
  <si>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</si>
  <si>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</si>
  <si>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</si>
  <si>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</si>
  <si>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</si>
  <si>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</si>
  <si>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</si>
  <si>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</si>
  <si>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</si>
  <si>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</si>
  <si>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</si>
  <si>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</si>
  <si>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</si>
  <si>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</si>
  <si>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</si>
  <si>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</si>
  <si>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</si>
  <si>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</si>
  <si>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</si>
  <si>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</si>
  <si>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</si>
  <si>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</si>
  <si>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</si>
  <si>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</si>
  <si>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</si>
  <si>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</si>
  <si>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</si>
  <si>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</si>
  <si>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</si>
  <si>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</si>
  <si>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</si>
  <si>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</si>
  <si>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</si>
  <si>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</si>
  <si>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</si>
  <si>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</si>
  <si>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</si>
  <si>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</si>
  <si>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</si>
  <si>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</si>
  <si>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</si>
  <si>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</si>
  <si>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</si>
  <si>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</si>
  <si>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</si>
  <si>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</si>
  <si>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</si>
  <si>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</si>
  <si>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</si>
  <si>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</si>
  <si>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</si>
  <si>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</si>
  <si>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</si>
  <si>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</si>
  <si>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</si>
  <si>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</si>
  <si>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</si>
  <si>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</si>
  <si>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</si>
  <si>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</si>
  <si>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</si>
  <si>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</si>
  <si>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</si>
  <si>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</si>
  <si>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</si>
  <si>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</si>
  <si>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</si>
  <si>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</si>
  <si>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</si>
  <si>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</si>
  <si>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</si>
  <si>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</si>
  <si>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</si>
  <si>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</si>
  <si>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</si>
  <si>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</si>
  <si>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</si>
  <si>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</si>
  <si>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</si>
  <si>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</si>
  <si>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</si>
  <si>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</si>
  <si>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</si>
  <si>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</si>
  <si>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</si>
  <si>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</si>
  <si>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</si>
  <si>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</si>
  <si>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</si>
  <si>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</si>
  <si>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</si>
  <si>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</si>
  <si>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</si>
  <si>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</si>
  <si>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</si>
  <si>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</si>
  <si>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</si>
  <si>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</si>
  <si>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</si>
  <si>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</si>
  <si>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</si>
  <si>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</si>
  <si>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</si>
  <si>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</si>
  <si>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</si>
  <si>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</si>
  <si>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</si>
  <si>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</si>
  <si>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</si>
  <si>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</si>
  <si>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</si>
  <si>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</si>
  <si>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</si>
  <si>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</si>
  <si>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</si>
  <si>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</si>
  <si>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</si>
  <si>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</si>
  <si>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</si>
  <si>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</si>
  <si>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</si>
  <si>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</si>
  <si>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</si>
  <si>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</si>
  <si>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</si>
  <si>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</si>
  <si>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</si>
  <si>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</si>
  <si>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</si>
  <si>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</si>
  <si>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</si>
  <si>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</si>
  <si>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</si>
  <si>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</si>
  <si>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</si>
  <si>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</si>
  <si>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</si>
  <si>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</si>
  <si>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</si>
  <si>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</si>
  <si>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</si>
  <si>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</si>
  <si>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</si>
  <si>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</si>
  <si>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</si>
  <si>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</si>
  <si>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</si>
  <si>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</si>
  <si>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</si>
  <si>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</si>
  <si>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</si>
  <si>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</si>
  <si>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</si>
  <si>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</si>
  <si>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</si>
  <si>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</si>
  <si>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</si>
  <si>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</si>
  <si>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</si>
  <si>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</si>
  <si>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</si>
  <si>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</si>
  <si>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</si>
  <si>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</si>
  <si>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</si>
  <si>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</si>
  <si>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</si>
  <si>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</si>
  <si>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</si>
  <si>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</si>
  <si>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</si>
  <si>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</si>
  <si>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</si>
  <si>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</si>
  <si>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</si>
  <si>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</si>
  <si>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</si>
  <si>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</si>
  <si>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</si>
  <si>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</si>
  <si>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</si>
  <si>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</si>
  <si>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</si>
  <si>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</si>
  <si>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</si>
  <si>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</si>
  <si>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</si>
  <si>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</si>
  <si>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</si>
  <si>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</si>
  <si>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</si>
  <si>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</si>
  <si>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</si>
  <si>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</si>
  <si>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</si>
  <si>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</si>
  <si>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</si>
  <si>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</si>
  <si>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</si>
  <si>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</si>
  <si>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</si>
  <si>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</si>
  <si>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</si>
  <si>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</si>
  <si>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</si>
  <si>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</si>
  <si>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</si>
  <si>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</si>
  <si>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</si>
  <si>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</si>
  <si>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</si>
  <si>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</si>
  <si>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</si>
  <si>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</si>
  <si>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</si>
  <si>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</si>
  <si>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</si>
  <si>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</si>
  <si>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</si>
  <si>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</si>
  <si>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</si>
  <si>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</si>
  <si>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</si>
  <si>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</si>
  <si>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</si>
  <si>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</si>
  <si>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</si>
  <si>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</si>
  <si>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</si>
  <si>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</si>
  <si>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</si>
  <si>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</si>
  <si>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</si>
  <si>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</si>
  <si>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</si>
  <si>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</si>
  <si>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</si>
  <si>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</si>
  <si>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</si>
  <si>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</si>
  <si>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</si>
  <si>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</si>
  <si>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</si>
  <si>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</si>
  <si>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</si>
  <si>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</si>
  <si>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</si>
  <si>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</si>
  <si>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</si>
  <si>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</si>
  <si>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</si>
  <si>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</si>
  <si>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</si>
  <si>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</si>
  <si>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</si>
  <si>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</si>
  <si>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</si>
  <si>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</si>
  <si>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</si>
  <si>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</si>
  <si>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</si>
  <si>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</si>
  <si>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</si>
  <si>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</si>
  <si>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</si>
  <si>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</si>
  <si>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</si>
  <si>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</si>
  <si>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</si>
  <si>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</si>
  <si>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</si>
  <si>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</si>
  <si>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</si>
  <si>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</si>
  <si>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</si>
  <si>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</si>
  <si>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</si>
  <si>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</si>
  <si>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</si>
  <si>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</si>
  <si>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</si>
  <si>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</si>
  <si>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</si>
  <si>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</si>
  <si>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</si>
  <si>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</si>
  <si>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</si>
  <si>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</si>
  <si>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</si>
  <si>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</si>
  <si>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</si>
  <si>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</si>
  <si>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</si>
  <si>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</si>
  <si>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</si>
  <si>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</si>
  <si>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</si>
  <si>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</si>
  <si>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</si>
  <si>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</si>
  <si>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</si>
  <si>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</si>
  <si>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</si>
  <si>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</si>
  <si>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</si>
  <si>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</si>
  <si>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</si>
  <si>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</si>
  <si>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</si>
  <si>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</si>
  <si>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</si>
  <si>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</si>
  <si>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</si>
  <si>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</si>
  <si>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</si>
  <si>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</si>
  <si>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</si>
  <si>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</si>
  <si>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</si>
  <si>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</si>
  <si>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</si>
  <si>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</si>
  <si>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</si>
  <si>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</si>
  <si>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</si>
  <si>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</si>
  <si>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</si>
  <si>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</si>
  <si>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</si>
  <si>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</si>
  <si>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</si>
  <si>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</si>
  <si>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</si>
  <si>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</si>
  <si>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</si>
  <si>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</si>
  <si>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</si>
  <si>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</si>
  <si>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</si>
  <si>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</si>
  <si>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</si>
  <si>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</si>
  <si>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</si>
  <si>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</si>
  <si>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</si>
  <si>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</si>
  <si>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</si>
  <si>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</si>
  <si>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</si>
  <si>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</si>
  <si>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</si>
  <si>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</si>
  <si>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</si>
  <si>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</si>
  <si>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</si>
  <si>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</si>
  <si>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</si>
  <si>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</si>
  <si>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</si>
  <si>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</si>
  <si>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</si>
  <si>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</si>
  <si>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</si>
  <si>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</si>
  <si>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</si>
  <si>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</si>
  <si>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</si>
  <si>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</si>
  <si>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</si>
  <si>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</si>
  <si>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</si>
  <si>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</si>
  <si>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</si>
  <si>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</si>
  <si>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</si>
  <si>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</si>
  <si>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</si>
  <si>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</si>
  <si>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</si>
  <si>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</si>
  <si>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</si>
  <si>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</si>
  <si>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</si>
  <si>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</si>
  <si>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</si>
  <si>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</si>
  <si>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</si>
  <si>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</si>
  <si>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</si>
  <si>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</si>
  <si>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</si>
  <si>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</si>
  <si>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</si>
  <si>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</si>
  <si>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</si>
  <si>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</si>
  <si>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</si>
  <si>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</si>
  <si>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</si>
  <si>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</si>
  <si>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</si>
  <si>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</si>
  <si>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</si>
  <si>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</si>
  <si>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</si>
  <si>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</si>
  <si>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</si>
  <si>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</si>
  <si>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</si>
  <si>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</si>
  <si>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</si>
  <si>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</si>
  <si>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</si>
  <si>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</si>
  <si>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</si>
  <si>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</si>
  <si>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</si>
  <si>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</si>
  <si>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</si>
  <si>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</si>
  <si>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</si>
  <si>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</si>
  <si>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</si>
  <si>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</si>
  <si>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</si>
  <si>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</si>
  <si>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</si>
  <si>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</si>
  <si>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</si>
  <si>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</si>
  <si>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</si>
  <si>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</si>
  <si>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</si>
  <si>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</si>
  <si>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</si>
  <si>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</si>
  <si>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</si>
  <si>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</si>
  <si>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</si>
  <si>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</si>
  <si>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</si>
  <si>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</si>
  <si>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</si>
  <si>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</si>
  <si>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</si>
  <si>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</si>
  <si>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</si>
  <si>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</si>
  <si>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</si>
  <si>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</si>
  <si>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</si>
  <si>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</si>
  <si>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</si>
  <si>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</si>
  <si>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</si>
  <si>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</si>
  <si>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</si>
  <si>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</si>
  <si>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</si>
  <si>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</si>
  <si>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</si>
  <si>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</si>
  <si>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</si>
  <si>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</si>
  <si>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</si>
  <si>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</si>
  <si>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</si>
  <si>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</si>
  <si>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</si>
  <si>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</si>
  <si>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</si>
  <si>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</si>
  <si>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</si>
  <si>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</si>
  <si>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</si>
  <si>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</si>
  <si>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</si>
  <si>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</si>
  <si>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</si>
  <si>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</si>
  <si>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</si>
  <si>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</si>
  <si>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</si>
  <si>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</si>
  <si>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</si>
  <si>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</si>
  <si>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</si>
  <si>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</si>
  <si>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</si>
  <si>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</si>
  <si>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</si>
  <si>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</si>
  <si>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</si>
  <si>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</si>
  <si>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</si>
  <si>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</si>
  <si>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</si>
  <si>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</si>
  <si>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</si>
  <si>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</si>
  <si>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</si>
  <si>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</si>
  <si>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</si>
  <si>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</si>
  <si>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</si>
  <si>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</si>
  <si>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</si>
  <si>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</si>
  <si>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</si>
  <si>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</si>
  <si>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</si>
  <si>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</si>
  <si>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</si>
  <si>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</si>
  <si>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</si>
  <si>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</si>
  <si>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</si>
  <si>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</si>
  <si>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</si>
  <si>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</si>
  <si>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</si>
  <si>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</si>
  <si>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</si>
  <si>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</si>
  <si>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</si>
  <si>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</si>
  <si>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</si>
  <si>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</si>
  <si>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</si>
  <si>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</si>
  <si>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</si>
  <si>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</si>
  <si>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</si>
  <si>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</si>
  <si>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</si>
  <si>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</si>
  <si>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</si>
  <si>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</si>
  <si>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</si>
  <si>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</si>
  <si>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</si>
  <si>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</si>
  <si>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</si>
  <si>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</si>
  <si>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</si>
  <si>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</si>
  <si>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</si>
  <si>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</si>
  <si>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</si>
  <si>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</si>
  <si>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</si>
  <si>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</si>
  <si>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</si>
  <si>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</si>
  <si>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</si>
  <si>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</si>
  <si>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</si>
  <si>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</si>
  <si>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</si>
  <si>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</si>
  <si>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</si>
  <si>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</si>
  <si>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</si>
  <si>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</si>
  <si>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</si>
  <si>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</si>
  <si>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</si>
  <si>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</si>
  <si>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</si>
  <si>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</si>
  <si>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</si>
  <si>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</si>
  <si>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</si>
  <si>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</si>
  <si>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</si>
  <si>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</si>
  <si>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</si>
  <si>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</si>
  <si>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</si>
  <si>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</si>
  <si>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</si>
  <si>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</si>
  <si>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</si>
  <si>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</si>
  <si>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</si>
  <si>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</si>
  <si>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</si>
  <si>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</si>
  <si>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</si>
  <si>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</si>
  <si>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</si>
  <si>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</si>
  <si>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</si>
  <si>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</si>
  <si>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</si>
  <si>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</si>
  <si>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</si>
  <si>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</si>
  <si>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</si>
  <si>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</si>
  <si>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</si>
  <si>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</si>
  <si>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</si>
  <si>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</si>
  <si>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</si>
  <si>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</si>
  <si>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</si>
  <si>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</si>
  <si>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</si>
  <si>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</si>
  <si>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</si>
  <si>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</si>
  <si>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</si>
  <si>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</si>
  <si>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</si>
  <si>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</si>
  <si>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</si>
  <si>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</si>
  <si>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</si>
  <si>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</si>
  <si>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</si>
  <si>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</si>
  <si>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</si>
  <si>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</si>
  <si>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</si>
  <si>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</si>
  <si>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</si>
  <si>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</si>
  <si>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</si>
  <si>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</si>
  <si>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</si>
  <si>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</si>
  <si>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</si>
  <si>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</si>
  <si>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</si>
  <si>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</si>
  <si>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</si>
  <si>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</si>
  <si>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</si>
  <si>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</si>
  <si>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</si>
  <si>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</si>
  <si>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</si>
  <si>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</si>
  <si>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</si>
  <si>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</si>
  <si>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</si>
  <si>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</si>
  <si>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</si>
  <si>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</si>
  <si>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</si>
  <si>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</si>
  <si>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</si>
  <si>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</si>
  <si>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</si>
  <si>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</si>
  <si>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</si>
  <si>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</si>
  <si>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</si>
  <si>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</si>
  <si>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</si>
  <si>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</si>
  <si>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</si>
  <si>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</si>
  <si>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</si>
  <si>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</si>
  <si>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</si>
  <si>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</si>
  <si>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</si>
  <si>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</si>
  <si>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</si>
  <si>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</si>
  <si>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</si>
  <si>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</si>
  <si>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</si>
  <si>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</si>
  <si>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</si>
  <si>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</si>
  <si>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</si>
  <si>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</si>
  <si>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</si>
  <si>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</si>
  <si>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</si>
  <si>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</si>
  <si>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</si>
  <si>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</si>
  <si>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</si>
  <si>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</si>
  <si>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</si>
  <si>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</si>
  <si>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</si>
  <si>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</si>
  <si>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</si>
  <si>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</si>
  <si>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</si>
  <si>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</si>
  <si>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</si>
  <si>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</si>
  <si>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</si>
  <si>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</si>
  <si>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</si>
  <si>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</si>
  <si>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</si>
  <si>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</si>
  <si>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</si>
  <si>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</si>
  <si>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</si>
  <si>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</si>
  <si>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</si>
  <si>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</si>
  <si>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</si>
  <si>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</si>
  <si>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</si>
  <si>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</si>
  <si>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</si>
  <si>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</si>
  <si>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</si>
  <si>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</si>
  <si>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</si>
  <si>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</si>
  <si>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</si>
  <si>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</si>
  <si>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</si>
  <si>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</si>
  <si>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</si>
  <si>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</si>
  <si>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</si>
  <si>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</si>
  <si>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</si>
  <si>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</si>
  <si>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</si>
  <si>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</si>
  <si>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</si>
  <si>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</si>
  <si>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</si>
  <si>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</si>
  <si>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</si>
  <si>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</si>
  <si>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</si>
  <si>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</si>
  <si>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</si>
  <si>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</si>
  <si>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</si>
  <si>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</si>
  <si>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</si>
  <si>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</si>
  <si>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</si>
  <si>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</si>
  <si>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</si>
  <si>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</si>
  <si>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</si>
  <si>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</si>
  <si>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</si>
  <si>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</si>
  <si>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</si>
  <si>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</si>
  <si>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</si>
  <si>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</si>
  <si>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</si>
  <si>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</si>
  <si>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</si>
  <si>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</si>
  <si>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</si>
  <si>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</si>
  <si>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</si>
  <si>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</si>
  <si>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</si>
  <si>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</si>
  <si>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</si>
  <si>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</si>
  <si>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</si>
  <si>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</si>
  <si>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</si>
  <si>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</si>
  <si>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</si>
  <si>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</si>
  <si>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</si>
  <si>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</si>
  <si>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</si>
  <si>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</si>
  <si>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</si>
  <si>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</si>
  <si>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</si>
  <si>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</si>
  <si>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</si>
  <si>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</si>
  <si>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</si>
  <si>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</si>
  <si>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</si>
  <si>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</si>
  <si>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</si>
  <si>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</si>
  <si>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</si>
  <si>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</si>
  <si>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</si>
  <si>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</si>
  <si>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</si>
  <si>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</si>
  <si>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</si>
  <si>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</si>
  <si>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</si>
  <si>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</si>
  <si>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</si>
  <si>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</si>
  <si>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</si>
  <si>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</si>
  <si>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</si>
  <si>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</si>
  <si>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</si>
  <si>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</si>
  <si>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</si>
  <si>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</si>
  <si>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</si>
  <si>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</si>
  <si>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</si>
  <si>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</si>
  <si>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</si>
  <si>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</si>
  <si>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</si>
  <si>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</si>
  <si>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</si>
  <si>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</si>
  <si>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</si>
  <si>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</si>
  <si>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</si>
  <si>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</si>
  <si>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</si>
  <si>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</si>
  <si>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</si>
  <si>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</si>
  <si>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</si>
  <si>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</si>
  <si>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</si>
  <si>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</si>
  <si>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</si>
  <si>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</si>
  <si>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</si>
  <si>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</si>
  <si>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</si>
  <si>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</si>
  <si>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</si>
  <si>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</si>
  <si>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</si>
  <si>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</si>
  <si>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</si>
  <si>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</si>
  <si>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</si>
  <si>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</si>
  <si>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</si>
  <si>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</si>
  <si>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</si>
  <si>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</si>
  <si>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</si>
  <si>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</si>
  <si>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</si>
  <si>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</si>
  <si>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</si>
  <si>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</si>
  <si>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</si>
  <si>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</si>
  <si>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</si>
  <si>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</si>
  <si>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</si>
  <si>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</si>
  <si>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</si>
  <si>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</si>
  <si>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</si>
  <si>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</si>
  <si>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</si>
  <si>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</si>
  <si>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</si>
  <si>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</si>
  <si>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</si>
  <si>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</si>
  <si>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</si>
  <si>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</si>
  <si>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</si>
  <si>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</si>
  <si>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</si>
  <si>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</si>
  <si>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</si>
  <si>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</si>
  <si>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</si>
  <si>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</si>
  <si>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</si>
  <si>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</si>
  <si>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</si>
  <si>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</si>
  <si>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</si>
  <si>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</si>
  <si>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</si>
  <si>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</si>
  <si>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</si>
  <si>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</si>
  <si>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</si>
  <si>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</si>
  <si>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</si>
  <si>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</si>
  <si>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</si>
  <si>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</si>
  <si>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</si>
  <si>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</si>
  <si>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</si>
  <si>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</si>
  <si>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</si>
  <si>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</si>
  <si>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</si>
  <si>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</si>
  <si>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</si>
  <si>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</si>
  <si>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</si>
  <si>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</si>
  <si>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</si>
  <si>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</si>
  <si>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</si>
  <si>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</si>
  <si>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</si>
  <si>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</si>
  <si>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</si>
  <si>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</si>
  <si>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</si>
  <si>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</si>
  <si>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</si>
  <si>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</si>
  <si>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</si>
  <si>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</si>
  <si>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</si>
  <si>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</si>
  <si>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</si>
  <si>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</si>
  <si>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</si>
  <si>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</si>
  <si>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</si>
  <si>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</si>
  <si>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</si>
  <si>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</si>
  <si>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</si>
  <si>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</si>
  <si>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</si>
  <si>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</si>
  <si>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</si>
  <si>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</si>
  <si>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</si>
  <si>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</si>
  <si>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</si>
  <si>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</si>
  <si>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</si>
  <si>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</si>
  <si>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</si>
  <si>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</si>
  <si>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</si>
  <si>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</si>
  <si>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</si>
  <si>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</si>
  <si>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</si>
  <si>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</si>
  <si>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</si>
  <si>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</si>
  <si>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</si>
  <si>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</si>
  <si>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</si>
  <si>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</si>
  <si>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</si>
  <si>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</si>
  <si>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</si>
  <si>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</si>
  <si>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</si>
  <si>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</si>
  <si>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</si>
  <si>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</si>
  <si>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</si>
  <si>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</si>
  <si>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</si>
  <si>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</si>
  <si>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</si>
  <si>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</si>
  <si>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</si>
  <si>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</si>
  <si>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</si>
  <si>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</si>
  <si>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</si>
  <si>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</si>
  <si>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</si>
  <si>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</si>
  <si>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</si>
  <si>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</si>
  <si>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</si>
  <si>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</si>
  <si>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</si>
  <si>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</si>
  <si>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</si>
  <si>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</si>
  <si>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</si>
  <si>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</si>
  <si>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</si>
  <si>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</si>
  <si>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</si>
  <si>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</si>
  <si>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</si>
  <si>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</si>
  <si>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</si>
  <si>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</si>
  <si>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</si>
  <si>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</si>
  <si>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</si>
  <si>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</si>
  <si>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</si>
  <si>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</si>
  <si>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</si>
  <si>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</si>
  <si>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</si>
  <si>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</si>
  <si>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</si>
  <si>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</si>
  <si>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</si>
  <si>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</si>
  <si>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</si>
  <si>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</si>
  <si>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</si>
  <si>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</si>
  <si>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</si>
  <si>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</si>
  <si>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</si>
  <si>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</si>
  <si>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</si>
  <si>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</si>
  <si>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</si>
  <si>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</si>
  <si>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</si>
  <si>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</si>
  <si>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</si>
  <si>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</si>
  <si>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</si>
  <si>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</si>
  <si>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</si>
  <si>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</si>
  <si>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</si>
  <si>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</si>
  <si>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</si>
  <si>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</si>
  <si>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</si>
  <si>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</si>
  <si>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</si>
  <si>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</si>
  <si>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</si>
  <si>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</si>
  <si>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</si>
  <si>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</si>
  <si>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</si>
  <si>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</si>
  <si>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</si>
  <si>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</si>
  <si>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</si>
  <si>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</si>
  <si>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</si>
  <si>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</si>
  <si>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</si>
  <si>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</si>
  <si>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</si>
  <si>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</si>
  <si>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</si>
  <si>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</si>
  <si>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</si>
  <si>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</si>
  <si>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</si>
  <si>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</si>
  <si>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</si>
  <si>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</si>
  <si>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</si>
  <si>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</si>
  <si>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</si>
  <si>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</si>
  <si>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</si>
  <si>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</si>
  <si>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</si>
  <si>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</si>
  <si>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</si>
  <si>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</si>
  <si>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</si>
  <si>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</si>
  <si>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</si>
  <si>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</si>
  <si>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</si>
  <si>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</si>
  <si>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</si>
  <si>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</si>
  <si>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</si>
  <si>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</si>
  <si>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</si>
  <si>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</si>
  <si>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</si>
  <si>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</si>
  <si>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</si>
  <si>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</si>
  <si>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</si>
  <si>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</si>
  <si>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</si>
  <si>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</si>
  <si>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</si>
  <si>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</si>
  <si>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</si>
  <si>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</si>
  <si>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</si>
  <si>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</si>
  <si>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</si>
  <si>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</si>
  <si>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</si>
  <si>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</si>
  <si>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</si>
  <si>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</si>
  <si>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</si>
  <si>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</si>
  <si>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</si>
  <si>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</si>
  <si>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</si>
  <si>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</si>
  <si>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</si>
  <si>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</si>
  <si>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</si>
  <si>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</si>
  <si>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</si>
  <si>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</si>
  <si>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</si>
  <si>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</si>
  <si>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</si>
  <si>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</si>
  <si>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</si>
  <si>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</si>
  <si>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</si>
  <si>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</si>
  <si>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</si>
  <si>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</si>
  <si>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</si>
  <si>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</si>
  <si>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</si>
  <si>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</si>
  <si>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</si>
  <si>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</si>
  <si>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</si>
  <si>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</si>
  <si>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</si>
  <si>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</si>
  <si>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</si>
  <si>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</si>
  <si>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</si>
  <si>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</si>
  <si>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</si>
  <si>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</si>
  <si>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</si>
  <si>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</si>
  <si>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</si>
  <si>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</si>
  <si>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</si>
  <si>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</si>
  <si>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</si>
  <si>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</si>
  <si>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</si>
  <si>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</si>
  <si>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</si>
  <si>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</si>
  <si>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</si>
  <si>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</si>
  <si>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</si>
  <si>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</si>
  <si>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</si>
  <si>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</si>
  <si>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</si>
  <si>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</si>
  <si>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</si>
  <si>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</si>
  <si>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</si>
  <si>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</si>
  <si>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</si>
  <si>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</si>
  <si>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</si>
  <si>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</si>
  <si>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</si>
  <si>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</si>
  <si>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</si>
  <si>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</si>
  <si>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</si>
  <si>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</si>
  <si>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</si>
  <si>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</si>
  <si>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</si>
  <si>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</si>
  <si>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</si>
  <si>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</si>
  <si>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</si>
  <si>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</si>
  <si>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</si>
  <si>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</si>
  <si>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</si>
  <si>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</si>
  <si>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</si>
  <si>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</si>
  <si>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</si>
  <si>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</si>
  <si>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</si>
  <si>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</si>
  <si>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</si>
  <si>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</si>
  <si>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</si>
  <si>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</si>
  <si>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</si>
  <si>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</si>
  <si>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</si>
  <si>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</si>
  <si>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</si>
  <si>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</si>
  <si>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</si>
  <si>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</si>
  <si>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</si>
  <si>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</si>
  <si>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</si>
  <si>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</si>
  <si>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</si>
  <si>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</si>
  <si>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</si>
  <si>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</si>
  <si>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</si>
  <si>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</si>
  <si>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</si>
  <si>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</si>
  <si>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</si>
  <si>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</si>
  <si>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</si>
  <si>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</si>
  <si>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</si>
  <si>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</si>
  <si>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</si>
  <si>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</si>
  <si>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</si>
  <si>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</si>
  <si>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</si>
  <si>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</si>
  <si>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</si>
  <si>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</si>
  <si>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</si>
  <si>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</si>
  <si>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</si>
  <si>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</si>
  <si>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</si>
  <si>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</si>
  <si>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</si>
  <si>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</si>
  <si>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</si>
  <si>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</si>
  <si>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</si>
  <si>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</si>
  <si>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</si>
  <si>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</si>
  <si>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</si>
  <si>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</si>
  <si>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</si>
  <si>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</si>
  <si>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</si>
  <si>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</si>
  <si>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</si>
  <si>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</si>
  <si>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</si>
  <si>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</si>
  <si>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</si>
  <si>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</si>
  <si>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</si>
  <si>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</si>
  <si>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</si>
  <si>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</si>
  <si>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</si>
  <si>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</si>
  <si>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</si>
  <si>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</si>
  <si>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</si>
  <si>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</si>
  <si>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</si>
  <si>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</si>
  <si>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</si>
  <si>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</si>
  <si>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</si>
  <si>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</si>
  <si>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</si>
  <si>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</si>
  <si>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</si>
  <si>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</si>
  <si>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</si>
  <si>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</si>
  <si>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</si>
  <si>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</si>
  <si>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</si>
  <si>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</si>
  <si>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</si>
  <si>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</si>
  <si>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</si>
  <si>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</si>
  <si>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</si>
  <si>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</si>
  <si>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</si>
  <si>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</si>
  <si>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</si>
  <si>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</si>
  <si>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</si>
  <si>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</si>
  <si>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</si>
  <si>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</si>
  <si>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</si>
  <si>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</si>
  <si>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</si>
  <si>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</si>
  <si>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</si>
  <si>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</si>
  <si>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</si>
  <si>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</si>
  <si>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</si>
  <si>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</si>
  <si>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</si>
  <si>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</si>
  <si>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</si>
  <si>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</si>
  <si>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</si>
  <si>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</si>
  <si>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</si>
  <si>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</si>
  <si>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</si>
  <si>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</si>
  <si>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</si>
  <si>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</si>
  <si>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</si>
  <si>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</si>
  <si>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</si>
  <si>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</si>
  <si>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</si>
  <si>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</si>
  <si>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</si>
  <si>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</si>
  <si>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</si>
  <si>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</si>
  <si>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</si>
  <si>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</si>
  <si>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</si>
  <si>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</si>
  <si>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</si>
  <si>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</si>
  <si>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</si>
  <si>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</si>
  <si>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</si>
  <si>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</si>
  <si>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</si>
  <si>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</si>
  <si>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</si>
  <si>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</si>
  <si>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</si>
  <si>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</si>
  <si>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</si>
  <si>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</si>
  <si>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</si>
  <si>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</si>
  <si>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</si>
  <si>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</si>
  <si>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</si>
  <si>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</si>
  <si>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</si>
  <si>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</si>
  <si>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</si>
  <si>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</si>
  <si>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</si>
  <si>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</si>
  <si>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</si>
  <si>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</si>
  <si>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</si>
  <si>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</si>
  <si>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</si>
  <si>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</si>
  <si>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</si>
  <si>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</si>
  <si>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</si>
  <si>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</si>
  <si>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</si>
  <si>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</si>
  <si>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</si>
  <si>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</si>
  <si>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</si>
  <si>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</si>
  <si>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</si>
  <si>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</si>
  <si>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</si>
  <si>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</si>
  <si>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</si>
  <si>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</si>
  <si>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</si>
  <si>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</si>
  <si>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</si>
  <si>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</si>
  <si>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</si>
  <si>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</si>
  <si>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</si>
  <si>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</si>
  <si>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</si>
  <si>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</si>
  <si>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</si>
  <si>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</si>
  <si>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</si>
  <si>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</si>
  <si>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</si>
  <si>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</si>
  <si>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</si>
  <si>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</si>
  <si>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</si>
  <si>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</si>
  <si>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</si>
  <si>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</si>
  <si>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</si>
  <si>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</si>
  <si>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</si>
  <si>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</si>
  <si>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</si>
  <si>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</si>
  <si>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</si>
  <si>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</si>
  <si>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</si>
  <si>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</si>
  <si>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</si>
  <si>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</si>
  <si>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</si>
  <si>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</si>
  <si>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</si>
  <si>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</si>
  <si>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</si>
  <si>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</si>
  <si>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</si>
  <si>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</si>
  <si>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</si>
  <si>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</si>
  <si>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</si>
  <si>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</si>
  <si>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</si>
  <si>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</si>
  <si>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</si>
  <si>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</si>
  <si>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</si>
  <si>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</si>
  <si>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</si>
  <si>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</si>
  <si>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</si>
  <si>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</si>
  <si>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</si>
  <si>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</si>
  <si>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</si>
  <si>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</si>
  <si>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</si>
  <si>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</si>
  <si>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</si>
  <si>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</si>
  <si>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</si>
  <si>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</si>
  <si>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</si>
  <si>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</si>
  <si>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</si>
  <si>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</si>
  <si>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</si>
  <si>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</si>
  <si>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</si>
  <si>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</si>
  <si>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</si>
  <si>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</si>
  <si>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</si>
  <si>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</si>
  <si>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</si>
  <si>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</si>
  <si>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</si>
  <si>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</si>
  <si>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</si>
  <si>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</si>
  <si>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</si>
  <si>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</si>
  <si>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</si>
  <si>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</si>
  <si>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</si>
  <si>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</si>
  <si>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</si>
  <si>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</si>
  <si>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</si>
  <si>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</si>
  <si>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</si>
  <si>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</si>
  <si>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</si>
  <si>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</si>
  <si>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</si>
  <si>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</si>
  <si>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</si>
  <si>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</si>
  <si>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</si>
  <si>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</si>
  <si>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</si>
  <si>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</si>
  <si>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</si>
  <si>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</si>
  <si>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</si>
  <si>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</si>
  <si>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</si>
  <si>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</si>
  <si>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</si>
  <si>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</si>
  <si>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</si>
  <si>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</si>
  <si>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</si>
  <si>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</si>
  <si>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</si>
  <si>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</si>
  <si>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</si>
  <si>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</si>
  <si>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</si>
  <si>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</si>
  <si>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</si>
  <si>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</si>
  <si>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</si>
  <si>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</si>
  <si>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</si>
  <si>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</si>
  <si>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</si>
  <si>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</si>
  <si>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</si>
  <si>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</si>
  <si>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</si>
  <si>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</si>
  <si>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</si>
  <si>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</si>
  <si>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</si>
  <si>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</si>
  <si>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</si>
  <si>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</si>
  <si>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</si>
  <si>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</si>
  <si>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</si>
  <si>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</si>
  <si>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</si>
  <si>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</si>
  <si>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</si>
  <si>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</si>
  <si>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</si>
  <si>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</si>
  <si>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</si>
  <si>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</si>
  <si>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</si>
  <si>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</si>
  <si>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</si>
  <si>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</si>
  <si>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</si>
  <si>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</si>
  <si>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</si>
  <si>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</si>
  <si>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</si>
  <si>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</si>
  <si>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</si>
  <si>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</si>
  <si>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</si>
  <si>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</si>
  <si>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</si>
  <si>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</si>
  <si>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</si>
  <si>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</si>
  <si>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</si>
  <si>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</si>
  <si>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</si>
  <si>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</si>
  <si>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</si>
  <si>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</si>
  <si>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</si>
  <si>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</si>
  <si>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</si>
  <si>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</si>
  <si>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</si>
  <si>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</si>
  <si>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</si>
  <si>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</si>
  <si>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</si>
  <si>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</si>
  <si>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</si>
  <si>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</si>
  <si>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</si>
  <si>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</si>
  <si>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</si>
  <si>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</si>
  <si>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</si>
  <si>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</si>
  <si>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</si>
  <si>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</si>
  <si>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</si>
  <si>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</si>
  <si>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</si>
  <si>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</si>
  <si>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</si>
  <si>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</si>
  <si>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</si>
  <si>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</si>
  <si>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</si>
  <si>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</si>
  <si>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</si>
  <si>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</si>
  <si>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</si>
  <si>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</si>
  <si>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</si>
  <si>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</si>
  <si>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</si>
  <si>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</si>
  <si>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</si>
  <si>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</si>
  <si>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</si>
  <si>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</si>
  <si>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</si>
  <si>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</si>
  <si>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</si>
  <si>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</si>
  <si>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</si>
  <si>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</si>
  <si>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</si>
  <si>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</si>
  <si>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</si>
  <si>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</si>
  <si>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</si>
  <si>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</si>
  <si>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</si>
  <si>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</si>
  <si>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</si>
  <si>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</si>
  <si>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</si>
  <si>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</si>
  <si>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</si>
  <si>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</si>
  <si>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</si>
  <si>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</si>
  <si>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</si>
  <si>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</si>
  <si>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</si>
  <si>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</si>
  <si>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</si>
  <si>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</si>
  <si>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</si>
  <si>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</si>
  <si>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</si>
  <si>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</si>
  <si>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</si>
  <si>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</si>
  <si>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</si>
  <si>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</si>
  <si>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</si>
  <si>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</si>
  <si>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</si>
  <si>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</si>
  <si>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</si>
  <si>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</si>
  <si>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</si>
  <si>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</si>
  <si>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</si>
  <si>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</si>
  <si>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</si>
  <si>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</si>
  <si>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</si>
  <si>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</si>
  <si>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</si>
  <si>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</si>
  <si>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</si>
  <si>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</si>
  <si>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</si>
  <si>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</si>
  <si>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</si>
  <si>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</si>
  <si>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</si>
  <si>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</si>
  <si>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</si>
  <si>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</si>
  <si>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</si>
  <si>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</si>
  <si>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</si>
  <si>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</si>
  <si>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</si>
  <si>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</si>
  <si>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</si>
  <si>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</si>
  <si>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</si>
  <si>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</si>
  <si>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</si>
  <si>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</si>
  <si>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</si>
  <si>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</si>
  <si>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</si>
  <si>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</si>
  <si>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</si>
  <si>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</si>
  <si>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</si>
  <si>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</si>
  <si>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</si>
  <si>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</si>
  <si>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</si>
  <si>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</si>
  <si>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</si>
  <si>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</si>
  <si>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</si>
  <si>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</si>
  <si>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</si>
  <si>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</si>
  <si>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</si>
  <si>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</si>
  <si>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</si>
  <si>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</si>
  <si>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</si>
  <si>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</si>
  <si>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</si>
  <si>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</si>
  <si>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</si>
  <si>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</si>
  <si>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</si>
  <si>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</si>
  <si>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</si>
  <si>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</si>
  <si>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</si>
  <si>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</si>
  <si>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</si>
  <si>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</si>
  <si>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</si>
  <si>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</si>
  <si>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</si>
  <si>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</si>
  <si>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</si>
  <si>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</si>
  <si>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</si>
  <si>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</si>
  <si>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</si>
  <si>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</si>
  <si>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</si>
  <si>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</si>
  <si>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</si>
  <si>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</si>
  <si>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</si>
  <si>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</si>
  <si>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</si>
  <si>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</si>
  <si>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</si>
  <si>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</si>
  <si>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</si>
  <si>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</si>
  <si>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</si>
  <si>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</si>
  <si>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</si>
  <si>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</si>
  <si>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</si>
  <si>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</si>
  <si>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</si>
  <si>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</si>
  <si>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</si>
  <si>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</si>
  <si>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</si>
  <si>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</si>
  <si>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</si>
  <si>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</si>
  <si>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</si>
  <si>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</si>
  <si>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</si>
  <si>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</si>
  <si>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</si>
  <si>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</si>
  <si>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</si>
  <si>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</si>
  <si>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</si>
  <si>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</si>
  <si>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</si>
  <si>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</si>
  <si>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</si>
  <si>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</si>
  <si>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</si>
  <si>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</si>
  <si>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</si>
  <si>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</si>
  <si>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</si>
  <si>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</si>
  <si>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</si>
  <si>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</si>
  <si>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</si>
  <si>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</si>
  <si>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</si>
  <si>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</si>
  <si>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</si>
  <si>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</si>
  <si>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</si>
  <si>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</si>
  <si>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</si>
  <si>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</si>
  <si>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</si>
  <si>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</si>
  <si>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</si>
  <si>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</si>
  <si>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</si>
  <si>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</si>
  <si>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</si>
  <si>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</si>
  <si>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</si>
  <si>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</si>
  <si>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</si>
  <si>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</si>
  <si>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</si>
  <si>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</si>
  <si>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</si>
  <si>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</si>
  <si>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</si>
  <si>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</si>
  <si>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</si>
  <si>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</si>
  <si>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</si>
  <si>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</si>
  <si>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</si>
  <si>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</si>
  <si>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</si>
  <si>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</si>
  <si>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</si>
  <si>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</si>
  <si>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</si>
  <si>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</si>
  <si>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</si>
  <si>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</si>
  <si>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</si>
  <si>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</si>
  <si>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</si>
  <si>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</si>
  <si>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</si>
  <si>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</si>
  <si>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</si>
  <si>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</si>
  <si>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</si>
  <si>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</si>
  <si>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</si>
  <si>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</si>
  <si>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</si>
  <si>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</si>
  <si>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</si>
  <si>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</si>
  <si>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</si>
  <si>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</si>
  <si>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</si>
  <si>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</si>
  <si>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</si>
  <si>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</si>
  <si>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</si>
  <si>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</si>
  <si>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</si>
  <si>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</si>
  <si>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</si>
  <si>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</si>
  <si>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</si>
  <si>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</si>
  <si>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</si>
  <si>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</si>
  <si>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</si>
  <si>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</si>
  <si>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</si>
  <si>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</si>
  <si>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</si>
  <si>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</si>
  <si>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</si>
  <si>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</si>
  <si>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</si>
  <si>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</si>
  <si>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</si>
  <si>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</si>
  <si>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</si>
  <si>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</si>
  <si>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</si>
  <si>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</si>
  <si>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</si>
  <si>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</si>
  <si>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</si>
  <si>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</si>
  <si>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</si>
  <si>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</si>
  <si>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</si>
  <si>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</si>
  <si>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</si>
  <si>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</si>
  <si>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</si>
  <si>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</si>
  <si>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</si>
  <si>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</si>
  <si>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</si>
  <si>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</si>
  <si>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</si>
  <si>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</si>
  <si>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</si>
  <si>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</si>
  <si>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</si>
  <si>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</si>
  <si>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</si>
  <si>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</si>
  <si>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</si>
  <si>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</si>
  <si>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</si>
  <si>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</si>
  <si>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</si>
  <si>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</si>
  <si>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</si>
  <si>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</si>
  <si>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</si>
  <si>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</si>
  <si>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</si>
  <si>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</si>
  <si>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</si>
  <si>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</si>
  <si>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</si>
  <si>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</si>
  <si>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</si>
  <si>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</si>
  <si>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</si>
  <si>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</si>
  <si>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</si>
  <si>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</si>
  <si>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</si>
  <si>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</si>
  <si>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</si>
  <si>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</si>
  <si>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</si>
  <si>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</si>
  <si>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</si>
  <si>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</si>
  <si>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</si>
  <si>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</si>
  <si>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</si>
  <si>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</si>
  <si>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</si>
  <si>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</si>
  <si>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</si>
  <si>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</si>
  <si>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</si>
  <si>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</si>
  <si>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</si>
  <si>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</si>
  <si>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</si>
  <si>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</si>
  <si>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</si>
  <si>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</si>
  <si>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</si>
  <si>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</si>
  <si>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</si>
  <si>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</si>
  <si>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</si>
  <si>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</si>
  <si>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</si>
  <si>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</si>
  <si>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</si>
  <si>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</si>
  <si>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</si>
  <si>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</si>
  <si>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</si>
  <si>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</si>
  <si>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</si>
  <si>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</si>
  <si>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</si>
  <si>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</si>
  <si>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</si>
  <si>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</si>
  <si>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</si>
  <si>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</si>
  <si>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</si>
  <si>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</si>
  <si>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</si>
  <si>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</si>
  <si>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</si>
  <si>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</si>
  <si>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</si>
  <si>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</si>
  <si>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</si>
  <si>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</si>
  <si>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</si>
  <si>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</si>
  <si>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</si>
  <si>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</si>
  <si>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</si>
  <si>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</si>
  <si>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</si>
  <si>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</si>
  <si>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</si>
  <si>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</si>
  <si>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</si>
  <si>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</si>
  <si>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</si>
  <si>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</si>
  <si>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</si>
  <si>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</si>
  <si>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</si>
  <si>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</si>
  <si>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</si>
  <si>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</si>
  <si>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</si>
  <si>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</si>
  <si>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</si>
  <si>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</si>
  <si>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</si>
  <si>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</si>
  <si>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</si>
  <si>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</si>
  <si>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</si>
  <si>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</si>
  <si>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</si>
  <si>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</si>
  <si>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</si>
  <si>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</si>
  <si>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</si>
  <si>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</si>
  <si>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</si>
  <si>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</si>
  <si>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</si>
  <si>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</si>
  <si>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</si>
  <si>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</si>
  <si>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</si>
  <si>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</si>
  <si>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</si>
  <si>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</si>
  <si>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</si>
  <si>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</si>
  <si>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</si>
  <si>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</si>
  <si>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</si>
  <si>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</si>
  <si>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</si>
  <si>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</si>
  <si>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</si>
  <si>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</si>
  <si>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</si>
  <si>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</si>
  <si>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</si>
  <si>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</si>
  <si>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</si>
  <si>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</si>
  <si>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</si>
  <si>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</si>
  <si>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</si>
  <si>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</si>
  <si>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</si>
  <si>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</si>
  <si>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</si>
  <si>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</si>
  <si>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</si>
  <si>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</si>
  <si>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</si>
  <si>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</si>
  <si>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</si>
  <si>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</si>
  <si>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</si>
  <si>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</si>
  <si>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</si>
  <si>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</si>
  <si>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</si>
  <si>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</si>
  <si>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</si>
  <si>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</si>
  <si>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</si>
  <si>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</si>
  <si>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</si>
  <si>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</si>
  <si>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</si>
  <si>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</si>
  <si>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</si>
  <si>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</si>
  <si>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</si>
  <si>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</si>
  <si>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</si>
  <si>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</si>
  <si>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</si>
  <si>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</si>
  <si>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</si>
  <si>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</si>
  <si>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</si>
  <si>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</si>
  <si>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</si>
  <si>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</si>
  <si>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</si>
  <si>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</si>
  <si>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</si>
  <si>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</si>
  <si>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</si>
  <si>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</si>
  <si>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</si>
  <si>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</si>
  <si>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</si>
  <si>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</si>
  <si>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</si>
  <si>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</si>
  <si>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</si>
  <si>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</si>
  <si>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</si>
  <si>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</si>
  <si>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</si>
  <si>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</si>
  <si>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</si>
  <si>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</si>
  <si>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</si>
  <si>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</si>
  <si>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</si>
  <si>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</si>
  <si>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</si>
  <si>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</si>
  <si>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</si>
  <si>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</si>
  <si>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</si>
  <si>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</si>
  <si>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</si>
  <si>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</si>
  <si>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</si>
  <si>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</si>
  <si>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</si>
  <si>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</si>
  <si>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</si>
  <si>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</si>
  <si>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</si>
  <si>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</si>
  <si>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</si>
  <si>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</si>
  <si>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</si>
  <si>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</si>
  <si>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</si>
  <si>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</si>
  <si>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</si>
  <si>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</si>
  <si>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</si>
  <si>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</si>
  <si>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</si>
  <si>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</si>
  <si>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</si>
  <si>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</si>
  <si>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</si>
  <si>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</si>
  <si>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</si>
  <si>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</si>
  <si>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</si>
  <si>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</si>
  <si>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</si>
  <si>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</si>
  <si>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</si>
  <si>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</si>
  <si>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</si>
  <si>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</si>
  <si>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</si>
  <si>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</si>
  <si>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</si>
  <si>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</si>
  <si>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</si>
  <si>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</si>
  <si>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</si>
  <si>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</si>
  <si>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</si>
  <si>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</si>
  <si>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</si>
  <si>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</si>
  <si>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</si>
  <si>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</si>
  <si>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</si>
  <si>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</si>
  <si>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</si>
  <si>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</si>
  <si>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</si>
  <si>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</si>
  <si>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</si>
  <si>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</si>
  <si>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</si>
  <si>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</si>
  <si>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</si>
  <si>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</si>
  <si>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</si>
  <si>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</si>
  <si>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</si>
  <si>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</si>
  <si>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</si>
  <si>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</si>
  <si>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</si>
  <si>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</si>
  <si>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</si>
  <si>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</si>
  <si>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</si>
  <si>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</si>
  <si>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</si>
  <si>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</si>
  <si>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</si>
  <si>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</si>
  <si>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</si>
  <si>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</si>
  <si>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</si>
  <si>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</si>
  <si>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</si>
  <si>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</si>
  <si>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</si>
  <si>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</si>
  <si>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</si>
  <si>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</si>
  <si>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</si>
  <si>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</si>
  <si>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</si>
  <si>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</si>
  <si>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</si>
  <si>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</si>
  <si>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</si>
  <si>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</si>
  <si>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</si>
  <si>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</si>
  <si>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</si>
  <si>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</si>
  <si>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</si>
  <si>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</si>
  <si>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</si>
  <si>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</si>
  <si>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</si>
  <si>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</si>
  <si>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</si>
  <si>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</si>
  <si>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</si>
  <si>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</si>
  <si>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</si>
  <si>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</si>
  <si>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</si>
  <si>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</si>
  <si>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</si>
  <si>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</si>
  <si>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</si>
  <si>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</si>
  <si>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</si>
  <si>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</si>
  <si>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</si>
  <si>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</si>
  <si>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</si>
  <si>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</si>
  <si>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</si>
  <si>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</si>
  <si>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</si>
  <si>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</si>
  <si>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</si>
  <si>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</si>
  <si>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</si>
  <si>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</si>
  <si>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</si>
  <si>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</si>
  <si>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</si>
  <si>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</si>
  <si>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</si>
  <si>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</si>
  <si>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</si>
  <si>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</si>
  <si>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</si>
  <si>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</si>
  <si>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</si>
  <si>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</si>
  <si>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</si>
  <si>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</si>
  <si>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</si>
  <si>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</si>
  <si>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</si>
  <si>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</si>
  <si>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</si>
  <si>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</si>
  <si>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</si>
  <si>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</si>
  <si>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</si>
  <si>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</si>
  <si>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</si>
  <si>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</si>
  <si>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</si>
  <si>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</si>
  <si>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</si>
  <si>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</si>
  <si>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</si>
  <si>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</si>
  <si>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</si>
  <si>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</si>
  <si>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</si>
  <si>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</si>
  <si>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</si>
  <si>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</si>
  <si>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</si>
  <si>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</si>
  <si>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</si>
  <si>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</si>
  <si>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</si>
  <si>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</si>
  <si>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</si>
  <si>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</si>
  <si>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</si>
  <si>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</si>
  <si>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</si>
  <si>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</si>
  <si>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</si>
  <si>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</si>
  <si>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</si>
  <si>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</si>
  <si>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</si>
  <si>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</si>
  <si>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</si>
  <si>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</si>
  <si>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</si>
  <si>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</si>
  <si>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</si>
  <si>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</si>
  <si>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</si>
  <si>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</si>
  <si>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</si>
  <si>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</si>
  <si>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</si>
  <si>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</si>
  <si>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</si>
  <si>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</si>
  <si>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</si>
  <si>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</si>
  <si>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</si>
  <si>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</si>
  <si>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</si>
  <si>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</si>
  <si>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</si>
  <si>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</si>
  <si>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</si>
  <si>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</si>
  <si>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</si>
  <si>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</si>
  <si>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</si>
  <si>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</si>
  <si>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</si>
  <si>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</si>
  <si>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</si>
  <si>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</si>
  <si>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</si>
  <si>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</si>
  <si>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</si>
  <si>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</si>
  <si>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</si>
  <si>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</si>
  <si>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</si>
  <si>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</si>
  <si>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</si>
  <si>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</si>
  <si>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</si>
  <si>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</si>
  <si>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</si>
  <si>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</si>
  <si>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</si>
  <si>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</si>
  <si>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</si>
  <si>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</si>
  <si>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</si>
  <si>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</si>
  <si>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</si>
  <si>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</si>
  <si>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</si>
  <si>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</si>
  <si>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</si>
  <si>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</si>
  <si>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</si>
  <si>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</si>
  <si>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</si>
  <si>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</si>
  <si>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</si>
  <si>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</si>
  <si>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</si>
  <si>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</si>
  <si>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</si>
  <si>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</si>
  <si>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</si>
  <si>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</si>
  <si>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</si>
  <si>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</si>
  <si>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</si>
  <si>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</si>
  <si>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</si>
  <si>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</si>
  <si>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</si>
  <si>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</si>
  <si>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</si>
  <si>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</si>
  <si>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</si>
  <si>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</si>
  <si>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</si>
  <si>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</si>
  <si>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</si>
  <si>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</si>
  <si>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</si>
  <si>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</si>
  <si>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</si>
  <si>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</si>
  <si>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</si>
  <si>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</si>
  <si>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</si>
  <si>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</si>
  <si>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</si>
  <si>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</si>
  <si>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</si>
  <si>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</si>
  <si>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</si>
  <si>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</si>
  <si>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</si>
  <si>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</si>
  <si>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</si>
  <si>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</si>
  <si>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</si>
  <si>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</si>
  <si>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</si>
  <si>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</si>
  <si>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</si>
  <si>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</si>
  <si>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</si>
  <si>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</si>
  <si>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</si>
  <si>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</si>
  <si>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</si>
  <si>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</si>
  <si>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</si>
  <si>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</si>
  <si>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</si>
  <si>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</si>
  <si>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</si>
  <si>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</si>
  <si>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</si>
  <si>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</si>
  <si>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</si>
  <si>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</si>
  <si>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</si>
  <si>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</si>
  <si>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</si>
  <si>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</si>
  <si>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</si>
  <si>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</si>
  <si>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</si>
  <si>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</si>
  <si>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</si>
  <si>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</si>
  <si>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</si>
  <si>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</si>
  <si>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</si>
  <si>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</si>
  <si>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</si>
  <si>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</si>
  <si>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</si>
  <si>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</si>
  <si>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</si>
  <si>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</si>
  <si>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</si>
  <si>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</si>
  <si>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</si>
  <si>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</si>
  <si>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</si>
  <si>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</si>
  <si>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</si>
  <si>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</si>
  <si>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</si>
  <si>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</si>
  <si>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</si>
  <si>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</si>
  <si>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</si>
  <si>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</si>
  <si>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</si>
  <si>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</si>
  <si>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</si>
  <si>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</si>
  <si>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</si>
  <si>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</si>
  <si>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</si>
  <si>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</si>
  <si>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</si>
  <si>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</si>
  <si>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</si>
  <si>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</si>
  <si>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</si>
  <si>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</si>
  <si>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</si>
  <si>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</si>
  <si>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</si>
  <si>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</si>
  <si>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</si>
  <si>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</si>
  <si>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</si>
  <si>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</si>
  <si>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</si>
  <si>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</si>
  <si>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</si>
  <si>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</si>
  <si>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</si>
  <si>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</si>
  <si>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</si>
  <si>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</si>
  <si>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</si>
  <si>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</si>
  <si>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</si>
  <si>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</si>
  <si>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</si>
  <si>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</si>
  <si>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</si>
  <si>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</si>
  <si>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</si>
  <si>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</si>
  <si>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</si>
  <si>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</si>
  <si>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</si>
  <si>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</si>
  <si>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</si>
  <si>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</si>
  <si>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</si>
  <si>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</si>
  <si>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</si>
  <si>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</si>
  <si>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</si>
  <si>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</si>
  <si>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</si>
  <si>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</si>
  <si>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</si>
  <si>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</si>
  <si>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</si>
  <si>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</si>
  <si>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</si>
  <si>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</si>
  <si>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</si>
  <si>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</si>
  <si>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</si>
  <si>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</si>
  <si>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</si>
  <si>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</si>
  <si>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</si>
  <si>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</si>
  <si>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</si>
  <si>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</si>
  <si>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</si>
  <si>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</si>
  <si>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</si>
  <si>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</si>
  <si>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</si>
  <si>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</si>
  <si>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</si>
  <si>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</si>
  <si>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</si>
  <si>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</si>
  <si>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</si>
  <si>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</si>
  <si>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</si>
  <si>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京怀国用（2011出）第00055号</t>
    <phoneticPr fontId="134" type="noConversion"/>
  </si>
  <si>
    <t>北京泽然种植园有限公司</t>
    <phoneticPr fontId="134" type="noConversion"/>
  </si>
  <si>
    <t>怀柔区庙城镇赵各庄村483号</t>
    <phoneticPr fontId="134" type="noConversion"/>
  </si>
  <si>
    <t>商业</t>
    <phoneticPr fontId="134" type="noConversion"/>
  </si>
  <si>
    <t>X京房权证怀字第017027号</t>
    <phoneticPr fontId="134" type="noConversion"/>
  </si>
  <si>
    <t>怀柔区庙城镇赵各庄村483号1幢1层</t>
    <phoneticPr fontId="134" type="noConversion"/>
  </si>
  <si>
    <t>X京房权证怀字第017075号</t>
    <phoneticPr fontId="134" type="noConversion"/>
  </si>
  <si>
    <t>怀柔区庙城镇赵各庄村483号2幢1层</t>
    <phoneticPr fontId="134" type="noConversion"/>
  </si>
  <si>
    <t>怀柔区庙城镇赵各庄村483号3幢1层</t>
    <phoneticPr fontId="134" type="noConversion"/>
  </si>
  <si>
    <t>X京房权证怀字第017076号</t>
  </si>
  <si>
    <t>X京房权证怀字第017069号</t>
    <phoneticPr fontId="134" type="noConversion"/>
  </si>
  <si>
    <t>怀柔区庙城镇赵各庄村483号4幢1层</t>
    <phoneticPr fontId="134" type="noConversion"/>
  </si>
  <si>
    <t>X京房权证怀字第017070号</t>
  </si>
  <si>
    <t>怀柔区庙城镇赵各庄村483号5幢1层</t>
    <phoneticPr fontId="134" type="noConversion"/>
  </si>
  <si>
    <t>怀柔区庙城镇赵各庄村483号6幢1层</t>
    <phoneticPr fontId="134" type="noConversion"/>
  </si>
  <si>
    <t>X京房权证怀字第017071号</t>
  </si>
  <si>
    <t>X京房权证怀字第017072号</t>
  </si>
  <si>
    <t>怀柔区庙城镇赵各庄村483号8幢1层</t>
    <phoneticPr fontId="134" type="noConversion"/>
  </si>
  <si>
    <t>X京房权证怀字第017073号</t>
  </si>
  <si>
    <t>怀柔区庙城镇赵各庄村483号9幢1层</t>
    <phoneticPr fontId="134" type="noConversion"/>
  </si>
  <si>
    <t>怀柔区庙城镇赵各庄村483号11幢1层</t>
    <phoneticPr fontId="134" type="noConversion"/>
  </si>
  <si>
    <t>X京房权证怀字第017074号</t>
  </si>
  <si>
    <t>京怀国用（2011出）第00082号</t>
    <phoneticPr fontId="134" type="noConversion"/>
  </si>
  <si>
    <t>北京市怀柔区庙城镇赵各庄村西</t>
    <phoneticPr fontId="134" type="noConversion"/>
  </si>
  <si>
    <t>住宿餐饮用地</t>
    <phoneticPr fontId="134" type="noConversion"/>
  </si>
  <si>
    <t>序号</t>
    <phoneticPr fontId="134" type="noConversion"/>
  </si>
  <si>
    <t>是</t>
  </si>
  <si>
    <t>地上</t>
  </si>
  <si>
    <t>483号</t>
  </si>
  <si>
    <t>483号</t>
    <phoneticPr fontId="7" type="noConversion"/>
  </si>
  <si>
    <t>成新度</t>
  </si>
  <si>
    <t>不临65条商业街</t>
  </si>
  <si>
    <t>通路</t>
  </si>
  <si>
    <t>通电</t>
  </si>
  <si>
    <t>通讯</t>
  </si>
  <si>
    <t>通上水</t>
  </si>
  <si>
    <t>通下水</t>
  </si>
  <si>
    <t>平整</t>
  </si>
  <si>
    <t>中心城区以外</t>
  </si>
  <si>
    <t>较差</t>
  </si>
  <si>
    <t>一般</t>
  </si>
  <si>
    <t>较好</t>
  </si>
  <si>
    <t>未包含在土地购买价格中</t>
  </si>
  <si>
    <t>全部缴纳</t>
  </si>
  <si>
    <t>已包含在土地取得成本中</t>
  </si>
  <si>
    <t>利润表</t>
  </si>
  <si>
    <t>编制单位：北京萌田酒店管理有限公司</t>
  </si>
  <si>
    <t>2022年12期</t>
  </si>
  <si>
    <t>单位：元</t>
  </si>
  <si>
    <t>项目</t>
  </si>
  <si>
    <t>行次</t>
  </si>
  <si>
    <t>本年累计金额</t>
  </si>
  <si>
    <t>本月金额</t>
  </si>
  <si>
    <t>一、营业收入</t>
  </si>
  <si>
    <t>1</t>
  </si>
  <si>
    <t>减：营业成本</t>
  </si>
  <si>
    <t>2</t>
  </si>
  <si>
    <t>税金及附加</t>
  </si>
  <si>
    <t>3</t>
  </si>
  <si>
    <t>其中：消费税</t>
  </si>
  <si>
    <t>4</t>
  </si>
  <si>
    <t>城市维护建设税</t>
  </si>
  <si>
    <t>5</t>
  </si>
  <si>
    <t>资源税</t>
  </si>
  <si>
    <t>6</t>
  </si>
  <si>
    <t>土地增值税</t>
  </si>
  <si>
    <t>7</t>
  </si>
  <si>
    <t>城镇土地使用税、房产税、车船税、印花税</t>
  </si>
  <si>
    <t>8</t>
  </si>
  <si>
    <t>教育费附加、矿产资源补偿税、排污费</t>
  </si>
  <si>
    <t>9</t>
  </si>
  <si>
    <t>销售费用</t>
  </si>
  <si>
    <t>10</t>
  </si>
  <si>
    <t>其中：商品维修费</t>
  </si>
  <si>
    <t>11</t>
  </si>
  <si>
    <t>广告费和业务宣传费</t>
  </si>
  <si>
    <t>12</t>
  </si>
  <si>
    <t>管理费用</t>
  </si>
  <si>
    <t>13</t>
  </si>
  <si>
    <t>其中：开办费</t>
  </si>
  <si>
    <t>14</t>
  </si>
  <si>
    <t>业务招待费</t>
  </si>
  <si>
    <t>15</t>
  </si>
  <si>
    <t>研究费用</t>
  </si>
  <si>
    <t>16</t>
  </si>
  <si>
    <t>财务费用</t>
  </si>
  <si>
    <t>17</t>
  </si>
  <si>
    <t>其中：利息费用（收入以“-”号填列）</t>
  </si>
  <si>
    <t>18</t>
  </si>
  <si>
    <t>加：投资收益（损失以“-”号填列）</t>
  </si>
  <si>
    <t>19</t>
  </si>
  <si>
    <t>二、营业利润（亏损以“-”号填列）</t>
  </si>
  <si>
    <t>20</t>
  </si>
  <si>
    <t>加：营业外收入</t>
  </si>
  <si>
    <t>21</t>
  </si>
  <si>
    <t>其中：政府补助</t>
  </si>
  <si>
    <t>22</t>
  </si>
  <si>
    <t>减：营业外支出</t>
  </si>
  <si>
    <t>23</t>
  </si>
  <si>
    <t>其中：坏账损失</t>
  </si>
  <si>
    <t>24</t>
  </si>
  <si>
    <t>无法收回的长期债券投资损失</t>
  </si>
  <si>
    <t>25</t>
  </si>
  <si>
    <t>无法收回的长期股权投资损失</t>
  </si>
  <si>
    <t>26</t>
  </si>
  <si>
    <t>自然灾害等不可抗力因素造成的损失</t>
  </si>
  <si>
    <t>27</t>
  </si>
  <si>
    <t>税收滞纳金</t>
  </si>
  <si>
    <t>28</t>
  </si>
  <si>
    <t>三、利润总额（亏损总额以“-”号填列）</t>
  </si>
  <si>
    <t>29</t>
  </si>
  <si>
    <t>减：所得税费用</t>
  </si>
  <si>
    <t>30</t>
  </si>
  <si>
    <t>四：净利润（净亏损以“-”号填列）</t>
  </si>
  <si>
    <t>31</t>
  </si>
  <si>
    <t>2023年12期</t>
  </si>
  <si>
    <t>2024年12期</t>
  </si>
  <si>
    <t>钢混</t>
  </si>
  <si>
    <t>非生产用房</t>
  </si>
  <si>
    <t>成本法</t>
  </si>
  <si>
    <t>收益法-酒店模型</t>
  </si>
  <si>
    <t>总价</t>
  </si>
  <si>
    <t>成本比率</t>
  </si>
  <si>
    <t>自定义容积率</t>
  </si>
  <si>
    <t>与级别开发程度不一致</t>
  </si>
  <si>
    <t>容积率修正</t>
  </si>
  <si>
    <t>北京栖湖饭店有限责任公司</t>
  </si>
  <si>
    <t>已成交</t>
  </si>
  <si>
    <t>2020-10-12</t>
  </si>
  <si>
    <t/>
  </si>
  <si>
    <t>挂牌</t>
  </si>
  <si>
    <t>≤0.68</t>
  </si>
  <si>
    <t>商业40年、办公50年</t>
  </si>
  <si>
    <t>F3其他类多功能用地</t>
  </si>
  <si>
    <t>商业/办公用地</t>
  </si>
  <si>
    <t>京土整储挂(怀)[2020]037号</t>
  </si>
  <si>
    <t>北京市怀柔区怀北镇栖湖组团F3其他类多功能用地</t>
  </si>
  <si>
    <t>北京雁柏山庄有限责任公司</t>
  </si>
  <si>
    <t>≤0.16</t>
  </si>
  <si>
    <t>B1商业用地</t>
  </si>
  <si>
    <t>京土整储挂(怀)[2020]038号</t>
  </si>
  <si>
    <t>北京市怀柔区怀北镇雁柏山庄南侧地块B1商业用地</t>
  </si>
  <si>
    <t>北京怀柔科学城城开一部开发建设有限公司</t>
  </si>
  <si>
    <t>2020-11-03</t>
  </si>
  <si>
    <t>≤1.9</t>
  </si>
  <si>
    <t>京土整储挂(怀)[2020]039号</t>
  </si>
  <si>
    <t>北京市怀柔科学城核心区及周边土地一级开发项目HR00-0211-6002、6009、6010、6011、6019地块(城市客厅A)F3其他类多功能用地</t>
  </si>
  <si>
    <t>2021-01-28</t>
  </si>
  <si>
    <t>≤0.45</t>
  </si>
  <si>
    <t>京土整储挂(怀)[2020]057号</t>
  </si>
  <si>
    <t>北京市怀柔区怀北镇雁柏山庄北侧地块B1商业用地</t>
  </si>
  <si>
    <t>北京怀柔科学城城开四部开发建设有限公司</t>
  </si>
  <si>
    <t>2022-01-19</t>
  </si>
  <si>
    <t>1.82</t>
  </si>
  <si>
    <t>京土整储挂(怀)[2021]098号</t>
  </si>
  <si>
    <t>北京市怀柔区北房镇、怀北镇HR00-0211-6027、6028、6029、6030地块(城市客厅C地块)F3其他类多功能用地(怀柔科学城核心区及周边土地一级开发项目)</t>
  </si>
  <si>
    <t>北京怀柔科学城城开三部开发建设有限公司</t>
  </si>
  <si>
    <t>京土整储挂(怀)[2021]097号</t>
  </si>
  <si>
    <t>北京市怀柔区怀北、雁栖镇HR00-0211-6031地块〔城市客厅B地块(北侧地块)〕F3其他类多功能用地(怀柔科学城核心区及周边土地一级开发项目)</t>
  </si>
  <si>
    <t>溢价率(%)</t>
  </si>
  <si>
    <t>成交楼面价(元/㎡)</t>
  </si>
  <si>
    <t>成交每亩价(万元/亩)</t>
  </si>
  <si>
    <t>成交价(万元)</t>
  </si>
  <si>
    <t>起始价(万元)</t>
  </si>
  <si>
    <t>受让单位</t>
  </si>
  <si>
    <t>交易状态</t>
  </si>
  <si>
    <t>成交时间</t>
  </si>
  <si>
    <t>集中供地</t>
  </si>
  <si>
    <t>出让方式</t>
  </si>
  <si>
    <t>容积率</t>
  </si>
  <si>
    <t>出让年限(年)</t>
  </si>
  <si>
    <t>详细规划</t>
  </si>
  <si>
    <t>用地性质</t>
  </si>
  <si>
    <t>规划建筑面积(㎡)</t>
  </si>
  <si>
    <t>建设用地面积(㎡)</t>
  </si>
  <si>
    <t>地块编号</t>
  </si>
  <si>
    <t>城市</t>
  </si>
  <si>
    <t>地块名称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</si>
</sst>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
      <sz val="11"/>
      <color indexed="8"/>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8"/>
      </left>
      <right style="thin">
        <color indexed="8"/>
      </right>
      <top style="thin">
        <color indexed="8"/>
      </top>
      <bottom style="thin">
        <color indexed="8"/>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lignment vertical="center"/>
    </xf>
    <xf numFmtId="0" fontId="147" fillId="0" borderId="0"/>
  </cellStyleXfs>
  <cellXfs count="35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271" fillId="0" borderId="0" xfId="0" applyFont="1" applyAlignment="1">
      <alignment horizontal="left" vertical="center"/>
    </xf>
    <xf numFmtId="14" fontId="271" fillId="0" borderId="0" xfId="0" applyNumberFormat="1" applyFont="1" applyAlignment="1">
      <alignment horizontal="left" vertical="center"/>
    </xf>
    <xf numFmtId="0" fontId="272" fillId="0" borderId="0" xfId="19">
      <alignment vertical="center"/>
    </xf>
    <xf numFmtId="0" fontId="94" fillId="0" borderId="0" xfId="19" applyFont="1" applyAlignment="1">
      <alignment horizontal="left"/>
    </xf>
    <xf numFmtId="0" fontId="94" fillId="0" borderId="0" xfId="19" applyFont="1" applyAlignment="1">
      <alignment horizontal="right"/>
    </xf>
    <xf numFmtId="0" fontId="185" fillId="22" borderId="176" xfId="19" applyFont="1" applyFill="1" applyBorder="1" applyAlignment="1">
      <alignment horizontal="center" vertical="center" wrapText="1"/>
    </xf>
    <xf numFmtId="0" fontId="19" fillId="0" borderId="176" xfId="19" applyFont="1" applyBorder="1" applyAlignment="1">
      <alignment horizontal="left" vertical="center" wrapText="1"/>
    </xf>
    <xf numFmtId="0" fontId="19" fillId="0" borderId="176" xfId="19" applyFont="1" applyBorder="1" applyAlignment="1">
      <alignment horizontal="center" vertical="center"/>
    </xf>
    <xf numFmtId="4" fontId="19" fillId="0" borderId="176" xfId="19" applyNumberFormat="1" applyFont="1" applyBorder="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64" fillId="0" borderId="0" xfId="19" applyFont="1" applyAlignment="1">
      <alignment horizontal="center"/>
    </xf>
    <xf numFmtId="0" fontId="272" fillId="0" borderId="0" xfId="19">
      <alignment vertical="center"/>
    </xf>
    <xf numFmtId="0" fontId="94" fillId="0" borderId="0" xfId="19" applyFont="1" applyAlignment="1">
      <alignment horizont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1" fillId="0" borderId="0" xfId="20" applyFont="1" applyAlignment="1">
      <alignment horizontal="left" vertical="center"/>
    </xf>
    <xf numFmtId="0" fontId="271" fillId="9" borderId="0" xfId="20" applyFont="1" applyFill="1" applyAlignment="1">
      <alignment horizontal="left" vertical="center"/>
    </xf>
    <xf numFmtId="0" fontId="19" fillId="5" borderId="176" xfId="19" applyFont="1" applyFill="1" applyBorder="1" applyAlignment="1">
      <alignment horizontal="left" vertical="center" wrapText="1"/>
    </xf>
    <xf numFmtId="0" fontId="19" fillId="5" borderId="176" xfId="19" applyFont="1" applyFill="1" applyBorder="1" applyAlignment="1">
      <alignment horizontal="center" vertical="center"/>
    </xf>
    <xf numFmtId="4" fontId="19" fillId="5" borderId="176" xfId="19" applyNumberFormat="1" applyFont="1" applyFill="1" applyBorder="1" applyAlignment="1">
      <alignment horizontal="right" vertical="center"/>
    </xf>
  </cellXfs>
  <cellStyles count="21">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2" xfId="20" xr:uid="{C63ADCCC-7E0D-4E57-91A6-E25411A991C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181610</xdr:colOff>
      <xdr:row>8</xdr:row>
      <xdr:rowOff>95250</xdr:rowOff>
    </xdr:from>
    <xdr:ext cx="5915025" cy="6657975"/>
    <xdr:pic>
      <xdr:nvPicPr>
        <xdr:cNvPr id="2" name="图片 1">
          <a:extLst>
            <a:ext uri="{FF2B5EF4-FFF2-40B4-BE49-F238E27FC236}">
              <a16:creationId xmlns:a16="http://schemas.microsoft.com/office/drawing/2014/main" id="{5967E631-8131-4675-99C6-15E2EB85D621}"/>
            </a:ext>
          </a:extLst>
        </xdr:cNvPr>
        <xdr:cNvPicPr>
          <a:picLocks noChangeAspect="1"/>
        </xdr:cNvPicPr>
      </xdr:nvPicPr>
      <xdr:blipFill>
        <a:blip xmlns:r="http://schemas.openxmlformats.org/officeDocument/2006/relationships" r:embed="rId1"/>
        <a:stretch>
          <a:fillRect/>
        </a:stretch>
      </xdr:blipFill>
      <xdr:spPr>
        <a:xfrm>
          <a:off x="181610" y="1543050"/>
          <a:ext cx="5915025" cy="6657975"/>
        </a:xfrm>
        <a:prstGeom prst="rect">
          <a:avLst/>
        </a:prstGeom>
        <a:noFill/>
        <a:ln w="9525">
          <a:noFill/>
        </a:ln>
      </xdr:spPr>
    </xdr:pic>
    <xdr:clientData/>
  </xdr:oneCellAnchor>
  <xdr:oneCellAnchor>
    <xdr:from>
      <xdr:col>5</xdr:col>
      <xdr:colOff>990600</xdr:colOff>
      <xdr:row>9</xdr:row>
      <xdr:rowOff>9525</xdr:rowOff>
    </xdr:from>
    <xdr:ext cx="7972425" cy="6353175"/>
    <xdr:pic>
      <xdr:nvPicPr>
        <xdr:cNvPr id="3" name="图片 2">
          <a:extLst>
            <a:ext uri="{FF2B5EF4-FFF2-40B4-BE49-F238E27FC236}">
              <a16:creationId xmlns:a16="http://schemas.microsoft.com/office/drawing/2014/main" id="{9378279A-578B-4EB1-A448-9C5BBCE2681A}"/>
            </a:ext>
          </a:extLst>
        </xdr:cNvPr>
        <xdr:cNvPicPr>
          <a:picLocks noChangeAspect="1"/>
        </xdr:cNvPicPr>
      </xdr:nvPicPr>
      <xdr:blipFill>
        <a:blip xmlns:r="http://schemas.openxmlformats.org/officeDocument/2006/relationships" r:embed="rId2"/>
        <a:stretch>
          <a:fillRect/>
        </a:stretch>
      </xdr:blipFill>
      <xdr:spPr>
        <a:xfrm>
          <a:off x="4114800" y="1638300"/>
          <a:ext cx="7972425" cy="6353175"/>
        </a:xfrm>
        <a:prstGeom prst="rect">
          <a:avLst/>
        </a:prstGeom>
        <a:noFill/>
        <a:ln w="9525">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估价对象为北京市房地产，为所有。根据《国有土地使用证》[]，估价对象（分摊）出让国有建设用地使用权面积为6136平方米，建筑面积为887.8平方米。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估价对象为北京市房地产,属开发建设的，该项目尚在开发建设中。根据《国有土地使用证》[]，估价对象（分摊）出让国有建设用地使用权面积为6136平方米，规划建筑面积为887.8平方米。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2025年3月27日</v>
      </c>
    </row>
    <row r="13" spans="1:2">
      <c r="A13" s="1119" t="s">
        <v>529</v>
      </c>
      <c r="B13" s="1120" t="str">
        <f>'预评函-1'!A18</f>
        <v>本次估价的“房地产价值”是指在正常市场情况下，在价值时点2025年3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2220</v>
      </c>
    </row>
    <row r="21" spans="1:2">
      <c r="A21" s="1119" t="s">
        <v>537</v>
      </c>
      <c r="B21" s="1120">
        <f ca="1">'预评函-2'!D7</f>
        <v>25006</v>
      </c>
    </row>
    <row r="22" spans="1:2">
      <c r="A22" s="1119" t="s">
        <v>538</v>
      </c>
      <c r="B22" s="1120" t="str">
        <f ca="1">'预评函-2'!D6</f>
        <v>贰仟贰佰贰拾万元整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2220</v>
      </c>
    </row>
    <row r="31" spans="1:2">
      <c r="A31" s="1119" t="s">
        <v>576</v>
      </c>
      <c r="B31" s="1120">
        <f ca="1">'预评函-2'!D15</f>
        <v>25006</v>
      </c>
    </row>
    <row r="32" spans="1:2">
      <c r="A32" s="1119" t="s">
        <v>543</v>
      </c>
      <c r="B32" s="1120" t="str">
        <f ca="1">'预评函-2'!D14</f>
        <v>贰仟贰佰贰拾万元整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887.8</v>
      </c>
    </row>
    <row r="44" spans="1:2">
      <c r="A44" s="1119" t="s">
        <v>575</v>
      </c>
      <c r="B44" s="1120" t="str">
        <f>'预评函-3'!C2</f>
        <v>(分摊)土地面积</v>
      </c>
    </row>
    <row r="45" spans="1:2">
      <c r="A45" s="1119" t="s">
        <v>547</v>
      </c>
      <c r="B45" s="1120">
        <f>'预评函-3'!C4</f>
        <v>6136</v>
      </c>
    </row>
    <row r="46" spans="1:2">
      <c r="A46" s="1119" t="s">
        <v>573</v>
      </c>
      <c r="B46" s="1120" t="str">
        <f>'预评函-3'!D2</f>
        <v>出让国有建设用地使用权价值</v>
      </c>
    </row>
    <row r="47" spans="1:2">
      <c r="A47" s="1119" t="s">
        <v>548</v>
      </c>
      <c r="B47" s="1120">
        <f ca="1">'预评函-3'!D4</f>
        <v>1914</v>
      </c>
    </row>
    <row r="48" spans="1:2">
      <c r="A48" s="1119" t="s">
        <v>549</v>
      </c>
      <c r="B48" s="1120">
        <f ca="1">'预评函-3'!E4</f>
        <v>21559</v>
      </c>
    </row>
    <row r="49" spans="1:2">
      <c r="A49" s="1119" t="s">
        <v>550</v>
      </c>
      <c r="B49" s="1120" t="str">
        <f ca="1">'预评函-3'!D5</f>
        <v>壹仟玖佰壹拾肆万元整</v>
      </c>
    </row>
    <row r="50" spans="1:2">
      <c r="A50" s="1119" t="s">
        <v>574</v>
      </c>
      <c r="B50" s="1120" t="str">
        <f>'预评函-3'!F2</f>
        <v>在建建筑物价值</v>
      </c>
    </row>
    <row r="51" spans="1:2">
      <c r="A51" s="1119" t="s">
        <v>551</v>
      </c>
      <c r="B51" s="1120">
        <f ca="1">'预评函-3'!F4</f>
        <v>306</v>
      </c>
    </row>
    <row r="52" spans="1:2">
      <c r="A52" s="1119" t="s">
        <v>552</v>
      </c>
      <c r="B52" s="1120">
        <f ca="1">'预评函-3'!G4</f>
        <v>3447</v>
      </c>
    </row>
    <row r="53" spans="1:2">
      <c r="A53" s="1119" t="s">
        <v>580</v>
      </c>
      <c r="B53" s="1120" t="str">
        <f ca="1">'预评函-3'!F5</f>
        <v>叁佰零陆万元整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Normal="10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04" t="s">
        <v>2580</v>
      </c>
      <c r="J2" s="3204"/>
      <c r="K2" s="3204"/>
      <c r="L2" s="3204"/>
      <c r="M2" s="3204"/>
      <c r="N2" s="3204"/>
      <c r="O2" s="3204"/>
      <c r="P2" s="3204"/>
      <c r="Q2" s="3204"/>
      <c r="R2" s="3204"/>
    </row>
    <row r="3" spans="1:18">
      <c r="A3" s="2763" t="s">
        <v>2501</v>
      </c>
      <c r="B3" s="2764">
        <f>项目基本情况!D3</f>
        <v>45743</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1.73</v>
      </c>
      <c r="D5" s="2768">
        <f>IF(ISERROR(ROUND(POWER(1+E5,A5-C5)*(POWER(1+E5,C5)-1)/(POWER(1+E5,A5)-1),3)),0,ROUND(POWER(1+E5,A5-C5)*(POWER(1+E5,C5)-1)/(POWER(1+E5,A5)-1),4))</f>
        <v>8.2900000000000001E-2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11.73</v>
      </c>
      <c r="D6" s="2768">
        <f>IF(ISERROR(ROUND(POWER(1+E6,A6-C6)*(POWER(1+E6,C6)-1)/(POWER(1+E6,A6)-1),3)),0,ROUND(POWER(1+E6,A6-C6)*(POWER(1+E6,C6)-1)/(POWER(1+E6,A6)-1),4))</f>
        <v>0.42909999999999998</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31.75</v>
      </c>
      <c r="D7" s="2768">
        <f>IF(ISERROR(ROUND(POWER(1+E7,A7-C7)*(POWER(1+E7,C7)-1)/(POWER(1+E7,A7)-1),3)),0,ROUND(POWER(1+E7,A7-C7)*(POWER(1+E7,C7)-1)/(POWER(1+E7,A7)-1),4))</f>
        <v>0.76100000000000001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3387</v>
      </c>
    </row>
    <row r="50" spans="1:4">
      <c r="A50" s="3145" t="s">
        <v>3388</v>
      </c>
      <c r="B50" s="3145" t="s">
        <v>3389</v>
      </c>
      <c r="C50" s="3145" t="s">
        <v>3390</v>
      </c>
      <c r="D50" s="3145" t="s">
        <v>3391</v>
      </c>
    </row>
    <row r="51" spans="1:4">
      <c r="A51" s="3145" t="s">
        <v>3392</v>
      </c>
      <c r="B51" s="2765">
        <f>B52+B53</f>
        <v>15000</v>
      </c>
      <c r="C51" s="3146">
        <f>D51/B51</f>
        <v>2666.6666666666665</v>
      </c>
      <c r="D51" s="2765">
        <f>D52+D53</f>
        <v>40000000</v>
      </c>
    </row>
    <row r="52" spans="1:4">
      <c r="A52" s="3147" t="s">
        <v>3393</v>
      </c>
      <c r="B52" s="3148">
        <v>10000</v>
      </c>
      <c r="C52" s="3148">
        <v>1500</v>
      </c>
      <c r="D52" s="3149">
        <f>C52*B52</f>
        <v>15000000</v>
      </c>
    </row>
    <row r="53" spans="1:4">
      <c r="A53" s="3147" t="s">
        <v>3394</v>
      </c>
      <c r="B53" s="3148">
        <v>5000</v>
      </c>
      <c r="C53" s="3148">
        <v>5000</v>
      </c>
      <c r="D53" s="3149">
        <f>C53*B53</f>
        <v>25000000</v>
      </c>
    </row>
    <row r="54" spans="1:4">
      <c r="A54" s="3145" t="s">
        <v>3395</v>
      </c>
      <c r="B54" s="2765">
        <f>B51</f>
        <v>15000</v>
      </c>
      <c r="C54" s="2771">
        <v>700</v>
      </c>
      <c r="D54" s="2765">
        <f t="shared" ref="D54:D55" si="5">C54*B54</f>
        <v>10500000</v>
      </c>
    </row>
    <row r="55" spans="1:4">
      <c r="A55" s="3145" t="s">
        <v>3396</v>
      </c>
      <c r="B55" s="2765">
        <f>B51</f>
        <v>15000</v>
      </c>
      <c r="C55" s="2771">
        <v>1500</v>
      </c>
      <c r="D55" s="2765">
        <f t="shared" si="5"/>
        <v>22500000</v>
      </c>
    </row>
    <row r="56" spans="1:4">
      <c r="A56" s="3145" t="s">
        <v>3397</v>
      </c>
      <c r="B56" s="2765">
        <f>B51</f>
        <v>15000</v>
      </c>
      <c r="C56" s="3150">
        <f>C51+C54+C55</f>
        <v>4866.6666666666661</v>
      </c>
      <c r="D56" s="2765">
        <f>D51+D54+D55</f>
        <v>73000000</v>
      </c>
    </row>
    <row r="58" spans="1:4">
      <c r="A58" s="3145" t="s">
        <v>3398</v>
      </c>
      <c r="B58" s="3151">
        <v>0.05</v>
      </c>
      <c r="C58" s="2765">
        <f>C56*(1+B58)</f>
        <v>5110</v>
      </c>
      <c r="D58" s="2765">
        <f>D56*B58</f>
        <v>3650000</v>
      </c>
    </row>
    <row r="60" spans="1:4">
      <c r="A60" s="3145" t="s">
        <v>3399</v>
      </c>
      <c r="B60" s="2771">
        <v>3500</v>
      </c>
      <c r="C60" s="2771">
        <f>C53</f>
        <v>5000</v>
      </c>
      <c r="D60" s="2765">
        <f>C60*B60</f>
        <v>17500000</v>
      </c>
    </row>
    <row r="62" spans="1:4">
      <c r="A62" s="3145" t="s">
        <v>3400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2" t="str">
        <f>IF(B10="北京市","北京市",C10)&amp;F10&amp;IF(结果表!G1="在建","出让国有建设用地使用权及在建建筑物",IF(结果表!G1="土地","出让国有建设用地使用权",))&amp;B9&amp;"预评估"</f>
        <v>北京市房地产抵押价值预评估</v>
      </c>
      <c r="C1" s="3213"/>
      <c r="D1" s="3213"/>
      <c r="E1" s="3213"/>
      <c r="F1" s="3213"/>
      <c r="G1" s="3213"/>
      <c r="H1" s="3213"/>
      <c r="I1" s="321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45743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3402</v>
      </c>
      <c r="C8" s="2201"/>
      <c r="D8" s="3215" t="s">
        <v>2177</v>
      </c>
      <c r="E8" s="2202" t="s">
        <v>3403</v>
      </c>
      <c r="F8" s="2203"/>
      <c r="G8" s="2442"/>
      <c r="H8" s="2442"/>
      <c r="I8" s="2442"/>
      <c r="J8" s="2245"/>
      <c r="K8" s="2400"/>
      <c r="L8" s="2399"/>
      <c r="M8" s="2399"/>
      <c r="N8" s="2245"/>
      <c r="O8" s="1670"/>
      <c r="P8" s="2245"/>
      <c r="Q8" s="2245"/>
      <c r="R8" s="2245"/>
    </row>
    <row r="9" spans="1:30" ht="13.5" thickBot="1">
      <c r="A9" s="2204" t="s">
        <v>2178</v>
      </c>
      <c r="B9" s="2205" t="s">
        <v>3403</v>
      </c>
      <c r="C9" s="2206"/>
      <c r="D9" s="3216"/>
      <c r="E9" s="2205"/>
      <c r="F9" s="2207"/>
      <c r="G9" s="2443"/>
      <c r="H9" s="2443"/>
      <c r="I9" s="2443"/>
      <c r="J9" s="2245"/>
      <c r="K9" s="2402"/>
      <c r="L9" s="2399"/>
      <c r="M9" s="2399"/>
      <c r="N9" s="2245"/>
      <c r="O9" s="1670"/>
      <c r="P9" s="2245"/>
      <c r="Q9" s="2245"/>
      <c r="R9" s="2245"/>
    </row>
    <row r="10" spans="1:30" ht="13.5" thickTop="1">
      <c r="A10" s="2208" t="s">
        <v>2179</v>
      </c>
      <c r="B10" s="2209" t="s">
        <v>3404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3331</v>
      </c>
      <c r="B13" s="2218" t="s">
        <v>2190</v>
      </c>
      <c r="C13" s="803"/>
      <c r="D13" s="803">
        <v>51011</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14.43</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2"/>
      <c r="C16" s="3223"/>
      <c r="D16" s="3224"/>
      <c r="E16" s="2222" t="s">
        <v>2194</v>
      </c>
      <c r="F16" s="3225"/>
      <c r="G16" s="3226"/>
      <c r="H16" s="3226"/>
      <c r="I16" s="3227"/>
      <c r="J16" s="2245"/>
      <c r="K16" s="2403"/>
      <c r="L16" s="1670"/>
      <c r="M16" s="1670"/>
      <c r="N16" s="2245"/>
      <c r="O16" s="1670"/>
      <c r="P16" s="2245"/>
      <c r="Q16" s="2245"/>
      <c r="R16" s="2245"/>
    </row>
    <row r="17" spans="1:28">
      <c r="A17" s="305" t="s">
        <v>2195</v>
      </c>
      <c r="B17" s="294" t="s">
        <v>2196</v>
      </c>
      <c r="C17" s="8">
        <f>'数据-汇总表'!E3</f>
        <v>887.8</v>
      </c>
      <c r="D17" s="1256" t="s">
        <v>2197</v>
      </c>
      <c r="E17" s="3228" t="s">
        <v>2198</v>
      </c>
      <c r="F17" s="3229"/>
      <c r="G17" s="3229"/>
      <c r="H17" s="3229"/>
      <c r="I17" s="3230"/>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6136</v>
      </c>
      <c r="D18" s="1029" t="s">
        <v>2201</v>
      </c>
      <c r="E18" s="3231" t="s">
        <v>2202</v>
      </c>
      <c r="F18" s="3232"/>
      <c r="G18" s="3232"/>
      <c r="H18" s="3232"/>
      <c r="I18" s="3233"/>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8" t="s">
        <v>2206</v>
      </c>
      <c r="C20" s="3219"/>
      <c r="D20" s="3220" t="s">
        <v>2207</v>
      </c>
      <c r="E20" s="3221"/>
      <c r="F20" s="2430" t="s">
        <v>1056</v>
      </c>
      <c r="G20" s="2442"/>
      <c r="H20" s="2442"/>
      <c r="I20" s="2442"/>
      <c r="J20" s="2245"/>
      <c r="K20" s="321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6"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7"/>
      <c r="B30" s="294" t="s">
        <v>2218</v>
      </c>
      <c r="C30" s="3208"/>
      <c r="D30" s="3209"/>
      <c r="E30" s="2442"/>
      <c r="F30" s="2442"/>
      <c r="G30" s="2442"/>
      <c r="H30" s="2442"/>
      <c r="I30" s="2442"/>
      <c r="J30" s="2245"/>
      <c r="K30" s="2402"/>
      <c r="L30" s="2399"/>
      <c r="M30" s="2399"/>
      <c r="N30" s="2245"/>
      <c r="O30" s="1670"/>
      <c r="P30" s="2245"/>
      <c r="Q30" s="2245"/>
      <c r="R30" s="2245"/>
      <c r="S30" s="2245"/>
      <c r="T30" s="2245"/>
      <c r="U30" s="2245"/>
      <c r="V30" s="2245"/>
    </row>
    <row r="31" spans="1:28">
      <c r="A31" s="3210"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5" t="s">
        <v>2228</v>
      </c>
      <c r="T34" s="315" t="str">
        <f>NUMBERSTRING(7-K34,1)&amp;"通"</f>
        <v>七通</v>
      </c>
      <c r="U34" s="2245"/>
      <c r="V34" s="2245"/>
    </row>
    <row r="35" spans="1:30">
      <c r="A35" s="2236"/>
      <c r="B35" s="3205" t="s">
        <v>2229</v>
      </c>
      <c r="C35" s="3205"/>
      <c r="D35" s="3205"/>
      <c r="E35" s="320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5"/>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307</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257</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9" sqref="K2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清单!F4</f>
        <v>6136</v>
      </c>
      <c r="B3" s="11">
        <f>IF(C3="否",G5-AT5,G5)</f>
        <v>887.8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887.8</v>
      </c>
      <c r="H5" s="13">
        <f t="shared" ref="H5:AT5" si="0">SUM(H13:H656)</f>
        <v>887.8</v>
      </c>
      <c r="I5" s="13">
        <f t="shared" si="0"/>
        <v>887.8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887.8</v>
      </c>
      <c r="BA5" s="15">
        <f t="shared" si="1"/>
        <v>887.8</v>
      </c>
      <c r="BB5" s="15">
        <f t="shared" si="1"/>
        <v>887.8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6136</v>
      </c>
      <c r="F6" s="13" t="s">
        <v>0</v>
      </c>
      <c r="G6" s="13" t="s">
        <v>1</v>
      </c>
      <c r="H6" s="17">
        <f>SUMIF(I$12:AB$12,"总值",I6:AB6)</f>
        <v>6136</v>
      </c>
      <c r="I6" s="13">
        <f t="shared" ref="I6:AB6" si="2">ROUND($A$3*I5/$B$3,2)</f>
        <v>6136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6136</v>
      </c>
      <c r="AZ6" s="13" t="s">
        <v>2</v>
      </c>
      <c r="BA6" s="13">
        <f>ROUND($AY$6*BA5/$AZ$5,2)</f>
        <v>6136</v>
      </c>
      <c r="BB6" s="13">
        <f>ROUND($AY$6*BB5/$AZ$5,2)</f>
        <v>6136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3432</v>
      </c>
      <c r="E13" s="13">
        <f>IF($C$3="是",ROUND($A$3*G13/$B$3,2),ROUND($A$3*(G13-AT13)/$B$3,2))</f>
        <v>6136</v>
      </c>
      <c r="F13" s="29"/>
      <c r="G13" s="30">
        <f>H13+AC13+AT13</f>
        <v>887.8</v>
      </c>
      <c r="H13" s="17">
        <f>SUMIF(I$12:AB$12,"总值",I13:AB13)</f>
        <v>887.8</v>
      </c>
      <c r="I13" s="1514">
        <f>清单!F17</f>
        <v>887.8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6136</v>
      </c>
      <c r="AZ13" s="13">
        <f>BA13+BL13</f>
        <v>887.8</v>
      </c>
      <c r="BA13" s="13">
        <f>SUM(BB13:BK13)</f>
        <v>887.8</v>
      </c>
      <c r="BB13" s="13">
        <f>IF($D13="是",I13-J13,0)</f>
        <v>887.8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50" sqref="G5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9"/>
      <c r="G2" s="2432"/>
      <c r="H2" s="2433"/>
      <c r="I2" s="2146" t="s">
        <v>1132</v>
      </c>
      <c r="J2" s="2439"/>
      <c r="K2" s="2439"/>
      <c r="L2" s="2439"/>
      <c r="M2" s="2439"/>
      <c r="N2" s="2440"/>
      <c r="O2" s="2439"/>
      <c r="P2" s="2439"/>
    </row>
    <row r="3" spans="1:16" ht="15.75" thickBot="1">
      <c r="A3" s="3244" t="s">
        <v>1105</v>
      </c>
      <c r="B3" s="3244"/>
      <c r="C3" s="3244"/>
      <c r="D3" s="41">
        <f>'数据-基础表'!AY6</f>
        <v>6136</v>
      </c>
      <c r="E3" s="41">
        <f>'数据-基础表'!AZ5</f>
        <v>887.8</v>
      </c>
      <c r="F3" s="2439"/>
      <c r="G3" s="42"/>
      <c r="H3" s="43" t="s">
        <v>1106</v>
      </c>
      <c r="I3" s="802">
        <f>ROUND('数据-基础表'!B3/'数据-基础表'!A3,2)</f>
        <v>0.14000000000000001</v>
      </c>
      <c r="J3" s="2439"/>
      <c r="K3" s="2439"/>
      <c r="L3" s="2439"/>
      <c r="M3" s="2439"/>
      <c r="N3" s="2440"/>
      <c r="O3" s="2439"/>
      <c r="P3" s="2439"/>
    </row>
    <row r="4" spans="1:16" ht="15">
      <c r="A4" s="3245"/>
      <c r="B4" s="3246"/>
      <c r="C4" s="3247"/>
      <c r="D4" s="1524" t="s">
        <v>1107</v>
      </c>
      <c r="E4" s="1525" t="s">
        <v>1108</v>
      </c>
      <c r="F4" s="2439"/>
      <c r="G4" s="2434" t="s">
        <v>1133</v>
      </c>
      <c r="H4" s="43" t="s">
        <v>1113</v>
      </c>
      <c r="I4" s="802">
        <f>ROUND(SUMIF('数据-基础表'!I9:AS9,"地上",'数据-基础表'!I5:AS5)/'数据-基础表'!A3,2)</f>
        <v>0.14000000000000001</v>
      </c>
      <c r="J4" s="2439"/>
      <c r="K4" s="2439"/>
      <c r="L4" s="2439"/>
      <c r="M4" s="2439"/>
      <c r="N4" s="2440"/>
      <c r="O4" s="2439"/>
      <c r="P4" s="2439"/>
    </row>
    <row r="5" spans="1:16">
      <c r="A5" s="42" t="s">
        <v>1109</v>
      </c>
      <c r="B5" s="3248" t="s">
        <v>1110</v>
      </c>
      <c r="C5" s="3248"/>
      <c r="D5" s="43">
        <f>ROUND($D$3*E5/$E$3,2)</f>
        <v>0</v>
      </c>
      <c r="E5" s="44">
        <f>SUMIF('数据-基础表'!$11:$11,"住宅",'数据-基础表'!$5:$5)</f>
        <v>0</v>
      </c>
      <c r="F5" s="2439"/>
      <c r="G5" s="42"/>
      <c r="H5" s="43" t="s">
        <v>1106</v>
      </c>
      <c r="I5" s="802">
        <f>ROUND(E31/D31,2)</f>
        <v>0.14000000000000001</v>
      </c>
      <c r="J5" s="2439"/>
      <c r="K5" s="2439"/>
      <c r="L5" s="2439"/>
      <c r="M5" s="2439"/>
      <c r="N5" s="2439"/>
      <c r="O5" s="2439"/>
      <c r="P5" s="2439"/>
    </row>
    <row r="6" spans="1:16" ht="15" thickBot="1">
      <c r="A6" s="1527"/>
      <c r="B6" s="3248" t="s">
        <v>1111</v>
      </c>
      <c r="C6" s="3248"/>
      <c r="D6" s="43">
        <f>ROUND($D$3*E6/$E$3,2)</f>
        <v>6136</v>
      </c>
      <c r="E6" s="44">
        <f>E3-E5</f>
        <v>887.8</v>
      </c>
      <c r="F6" s="2439"/>
      <c r="G6" s="1529" t="s">
        <v>1112</v>
      </c>
      <c r="H6" s="45" t="s">
        <v>1113</v>
      </c>
      <c r="I6" s="2435">
        <f>ROUND(F31/D31,2)</f>
        <v>0.14000000000000001</v>
      </c>
      <c r="J6" s="2439"/>
      <c r="K6" s="2439"/>
      <c r="L6" s="2439"/>
      <c r="M6" s="2439"/>
      <c r="N6" s="2439"/>
      <c r="O6" s="2439"/>
      <c r="P6" s="2439"/>
    </row>
    <row r="7" spans="1:16" ht="15.75" thickBot="1">
      <c r="A7" s="3240"/>
      <c r="B7" s="3241"/>
      <c r="C7" s="3242"/>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6136</v>
      </c>
      <c r="E8" s="46">
        <f>SUMIF('数据-基础表'!BB10:BK10,"地上",'数据-基础表'!BB5:BK5)</f>
        <v>887.8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6136</v>
      </c>
      <c r="E16" s="48">
        <f>SUM(E8:E15)</f>
        <v>887.8</v>
      </c>
      <c r="F16" s="2439"/>
      <c r="G16" s="2439"/>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3435</v>
      </c>
      <c r="D19" s="43">
        <f>ROUND($D$3*E19/$E$3,2)</f>
        <v>6136</v>
      </c>
      <c r="E19" s="51">
        <f t="shared" ref="E19:E26" si="1">SUM(F19:G19)</f>
        <v>887.8</v>
      </c>
      <c r="F19" s="2558">
        <f>'数据-基础表'!I13</f>
        <v>887.8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6136</v>
      </c>
      <c r="S19" s="51">
        <f t="shared" si="5"/>
        <v>887.8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6136</v>
      </c>
      <c r="E27" s="1073">
        <f>IF(SUM(E19:E26)='数据-基础表'!BA5,SUM(E19:E26),IF(F27="地上面积有误","面积有误","地下面积有误"))</f>
        <v>887.8</v>
      </c>
      <c r="F27" s="1072">
        <f>IF(SUM(F19:F26)=E8,SUM(F19:F26),"地上面积有误")</f>
        <v>887.8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6136</v>
      </c>
      <c r="S27" s="43">
        <f>IF(SUM(S19:S26)=$E$3,SUM(S19:S26),SUM(S19:S26)&amp;"误差"&amp;ROUND(SUM(S19:S26)-E3,2))</f>
        <v>887.8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6136</v>
      </c>
      <c r="E31" s="643">
        <f>E27+E30</f>
        <v>887.8</v>
      </c>
      <c r="F31" s="644">
        <f>F27+F30</f>
        <v>887.8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sheetPr>
  <dimension ref="A2:G17"/>
  <sheetViews>
    <sheetView workbookViewId="0">
      <selection activeCell="D21" sqref="D21"/>
    </sheetView>
  </sheetViews>
  <sheetFormatPr defaultRowHeight="14.25"/>
  <cols>
    <col min="1" max="1" width="9" style="3154"/>
    <col min="2" max="2" width="23.75" style="3154" customWidth="1"/>
    <col min="3" max="3" width="19.125" style="3154" customWidth="1"/>
    <col min="4" max="4" width="27" style="3154" customWidth="1"/>
    <col min="5" max="16384" width="9" style="3154"/>
  </cols>
  <sheetData>
    <row r="2" spans="1:7">
      <c r="B2" s="3154" t="s">
        <v>3428</v>
      </c>
      <c r="C2" s="3154" t="s">
        <v>3407</v>
      </c>
      <c r="D2" s="3154" t="s">
        <v>3429</v>
      </c>
      <c r="E2" s="3154" t="s">
        <v>3430</v>
      </c>
      <c r="F2" s="3154">
        <v>1140.93</v>
      </c>
      <c r="G2" s="3155">
        <v>51011</v>
      </c>
    </row>
    <row r="4" spans="1:7">
      <c r="B4" s="3154" t="s">
        <v>3406</v>
      </c>
      <c r="C4" s="3154" t="s">
        <v>3407</v>
      </c>
      <c r="D4" s="3154" t="s">
        <v>3408</v>
      </c>
      <c r="E4" s="3154" t="s">
        <v>3409</v>
      </c>
      <c r="F4" s="3154">
        <v>6136</v>
      </c>
      <c r="G4" s="3155">
        <v>51011</v>
      </c>
    </row>
    <row r="7" spans="1:7">
      <c r="A7" s="3154" t="s">
        <v>3431</v>
      </c>
    </row>
    <row r="8" spans="1:7">
      <c r="A8" s="3154">
        <v>1</v>
      </c>
      <c r="B8" s="3154" t="s">
        <v>3410</v>
      </c>
      <c r="C8" s="3154" t="s">
        <v>3407</v>
      </c>
      <c r="D8" s="3154" t="s">
        <v>3411</v>
      </c>
      <c r="E8" s="3154" t="s">
        <v>3409</v>
      </c>
      <c r="F8" s="3154">
        <v>13.2</v>
      </c>
    </row>
    <row r="9" spans="1:7">
      <c r="A9" s="3154">
        <v>2</v>
      </c>
      <c r="B9" s="3154" t="s">
        <v>3412</v>
      </c>
      <c r="C9" s="3154" t="s">
        <v>3407</v>
      </c>
      <c r="D9" s="3154" t="s">
        <v>3413</v>
      </c>
      <c r="E9" s="3154" t="s">
        <v>3409</v>
      </c>
      <c r="F9" s="3154">
        <v>31.9</v>
      </c>
    </row>
    <row r="10" spans="1:7">
      <c r="A10" s="3154">
        <v>3</v>
      </c>
      <c r="B10" s="3154" t="s">
        <v>3415</v>
      </c>
      <c r="C10" s="3154" t="s">
        <v>3407</v>
      </c>
      <c r="D10" s="3154" t="s">
        <v>3414</v>
      </c>
      <c r="E10" s="3154" t="s">
        <v>3409</v>
      </c>
      <c r="F10" s="3154">
        <v>182.4</v>
      </c>
    </row>
    <row r="11" spans="1:7">
      <c r="A11" s="3154">
        <v>4</v>
      </c>
      <c r="B11" s="3154" t="s">
        <v>3416</v>
      </c>
      <c r="C11" s="3154" t="s">
        <v>3407</v>
      </c>
      <c r="D11" s="3154" t="s">
        <v>3417</v>
      </c>
      <c r="E11" s="3154" t="s">
        <v>3409</v>
      </c>
      <c r="F11" s="3154">
        <v>18.8</v>
      </c>
    </row>
    <row r="12" spans="1:7">
      <c r="A12" s="3154">
        <v>5</v>
      </c>
      <c r="B12" s="3154" t="s">
        <v>3418</v>
      </c>
      <c r="C12" s="3154" t="s">
        <v>3407</v>
      </c>
      <c r="D12" s="3154" t="s">
        <v>3419</v>
      </c>
      <c r="E12" s="3154" t="s">
        <v>3409</v>
      </c>
      <c r="F12" s="3154">
        <v>258.2</v>
      </c>
    </row>
    <row r="13" spans="1:7">
      <c r="A13" s="3154">
        <v>6</v>
      </c>
      <c r="B13" s="3154" t="s">
        <v>3421</v>
      </c>
      <c r="C13" s="3154" t="s">
        <v>3407</v>
      </c>
      <c r="D13" s="3154" t="s">
        <v>3420</v>
      </c>
      <c r="E13" s="3154" t="s">
        <v>3409</v>
      </c>
      <c r="F13" s="3154">
        <v>18.8</v>
      </c>
    </row>
    <row r="14" spans="1:7">
      <c r="A14" s="3154">
        <v>7</v>
      </c>
      <c r="B14" s="3154" t="s">
        <v>3422</v>
      </c>
      <c r="C14" s="3154" t="s">
        <v>3407</v>
      </c>
      <c r="D14" s="3154" t="s">
        <v>3423</v>
      </c>
      <c r="E14" s="3154" t="s">
        <v>3409</v>
      </c>
      <c r="F14" s="3154">
        <v>150.5</v>
      </c>
    </row>
    <row r="15" spans="1:7">
      <c r="A15" s="3154">
        <v>8</v>
      </c>
      <c r="B15" s="3154" t="s">
        <v>3424</v>
      </c>
      <c r="C15" s="3154" t="s">
        <v>3407</v>
      </c>
      <c r="D15" s="3154" t="s">
        <v>3425</v>
      </c>
      <c r="E15" s="3154" t="s">
        <v>3409</v>
      </c>
      <c r="F15" s="3154">
        <v>182.3</v>
      </c>
    </row>
    <row r="16" spans="1:7">
      <c r="A16" s="3154">
        <v>9</v>
      </c>
      <c r="B16" s="3154" t="s">
        <v>3427</v>
      </c>
      <c r="C16" s="3154" t="s">
        <v>3407</v>
      </c>
      <c r="D16" s="3154" t="s">
        <v>3426</v>
      </c>
      <c r="E16" s="3154" t="s">
        <v>3409</v>
      </c>
      <c r="F16" s="3154">
        <v>31.7</v>
      </c>
    </row>
    <row r="17" spans="6:6">
      <c r="F17" s="3154">
        <f>SUM(F8:F16)</f>
        <v>887.8</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8.2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45743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483号</v>
      </c>
      <c r="B6" s="1587" t="str">
        <f>IF(A6=0,"","经营性")</f>
        <v>经营性</v>
      </c>
      <c r="C6" s="1588" t="s">
        <v>673</v>
      </c>
      <c r="D6" s="805">
        <f>SUMIF(项目基本情况!C$12:I$12,C6,项目基本情况!C$14:I$14)</f>
        <v>40</v>
      </c>
      <c r="E6" s="804">
        <f>IF(B6="","",SUMIF(项目基本情况!C$12:I$12,C6,项目基本情况!C$13:I$13))</f>
        <v>51011</v>
      </c>
      <c r="F6" s="61">
        <f>SUMIF(项目基本情况!C$12:I$12,C6,项目基本情况!C$15:I$15)</f>
        <v>14.43</v>
      </c>
      <c r="G6" s="62">
        <f>IF(ISERROR(ROUND(POWER(1+H6,D6-F6)*(POWER(1+H6,F6)-1)/(POWER(1+H6,D6)-1),3)),0,ROUND(POWER(1+H6,D6-F6)*(POWER(1+H6,F6)-1)/(POWER(1+H6,D6)-1),3))</f>
        <v>0.61</v>
      </c>
      <c r="H6" s="691">
        <v>5.5E-2</v>
      </c>
      <c r="I6" s="691">
        <v>0.06</v>
      </c>
      <c r="J6" s="63">
        <v>7.0000000000000007E-2</v>
      </c>
      <c r="K6" s="970">
        <f>SUMIF('数据-汇总表'!C$19:C$33,A6,'数据-汇总表'!E$19:E$33)</f>
        <v>887.8</v>
      </c>
      <c r="L6" s="692">
        <v>3000</v>
      </c>
      <c r="M6" s="64">
        <f t="shared" ref="M6:M14" si="0">ROUND(K6*L6/10000,0)</f>
        <v>266</v>
      </c>
      <c r="N6" s="690">
        <v>0.8</v>
      </c>
      <c r="O6" s="64" t="str">
        <f>IF($N$5="成新度","——",ROUND(M6*N6,0))</f>
        <v>——</v>
      </c>
      <c r="P6" s="65" t="str">
        <f>IF($N$5="成新度","——",M6-O6)</f>
        <v>——</v>
      </c>
      <c r="Q6" s="693">
        <v>0.1</v>
      </c>
      <c r="R6" s="66">
        <f ca="1">SUMIF('数据-汇总表'!C$19:C$33,A6,'数据-汇总表'!R$19:R$27)</f>
        <v>6136</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0.61</v>
      </c>
      <c r="H16" s="84">
        <f>ROUND(SUMPRODUCT(H6:H13,K6:K13)/SUMPRODUCT((H6:H13&gt;0)*(K6:K13)),3)</f>
        <v>5.5E-2</v>
      </c>
      <c r="I16" s="85"/>
      <c r="J16" s="85"/>
      <c r="K16" s="86">
        <f>SUM(K6:K15)</f>
        <v>887.8</v>
      </c>
      <c r="L16" s="87">
        <f>ROUND(M16*10000/SUM(K6:K14),0)</f>
        <v>2996</v>
      </c>
      <c r="M16" s="87">
        <f>SUM(M6:M14)</f>
        <v>266</v>
      </c>
      <c r="N16" s="88">
        <f>ROUND(SUMPRODUCT(M6:M14,N6:N14)/M16,3)</f>
        <v>0.8</v>
      </c>
      <c r="O16" s="87">
        <f>SUM(O6:O14)</f>
        <v>0</v>
      </c>
      <c r="P16" s="87">
        <f>SUM(P6:P14)</f>
        <v>0</v>
      </c>
      <c r="Q16" s="89">
        <f>ROUND(SUMPRODUCT(Q6:Q13,K6:K13)/SUMPRODUCT((Q6:Q13&gt;0)*(K6:K13)),2)</f>
        <v>0.1</v>
      </c>
      <c r="R16" s="974">
        <f ca="1">SUM(R6:R13)</f>
        <v>6136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1982</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80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120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v>11</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120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120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120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9" t="s">
        <v>2286</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E36" sqref="E36"/>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887.8</v>
      </c>
      <c r="C1" s="2462"/>
      <c r="D1" s="2462"/>
      <c r="E1" s="2462"/>
      <c r="F1" s="2462"/>
      <c r="G1" s="2463"/>
      <c r="H1" s="2463"/>
      <c r="I1" s="2463"/>
      <c r="J1" s="2463"/>
      <c r="K1" s="2463"/>
    </row>
    <row r="2" spans="1:11" ht="16.5">
      <c r="A2" s="2300" t="s">
        <v>653</v>
      </c>
      <c r="B2" s="2300">
        <f>SUM(C14:C23)</f>
        <v>6136</v>
      </c>
      <c r="C2" s="2462"/>
      <c r="D2" s="2462"/>
      <c r="E2" s="2462"/>
      <c r="F2" s="2462"/>
      <c r="G2" s="2463"/>
      <c r="H2" s="2463"/>
      <c r="I2" s="2463"/>
      <c r="J2" s="2463"/>
      <c r="K2" s="2463"/>
    </row>
    <row r="3" spans="1:11" ht="16.5">
      <c r="A3" s="2300" t="s">
        <v>662</v>
      </c>
      <c r="B3" s="2302">
        <f>项目基本情况!D3</f>
        <v>45743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2220</v>
      </c>
      <c r="C5" s="2300">
        <f ca="1">IF(B5=D14,结果表!H102,ROUND(B5*10000/$B$1,0))</f>
        <v>25006</v>
      </c>
      <c r="D5" s="2300">
        <f ca="1">ROUND(B5*10000/$B$2,0)</f>
        <v>3618</v>
      </c>
      <c r="E5" s="2462"/>
      <c r="F5" s="2463"/>
      <c r="G5" s="2463"/>
      <c r="H5" s="2463"/>
      <c r="I5" s="2463"/>
      <c r="J5" s="2463"/>
      <c r="K5" s="2463"/>
    </row>
    <row r="6" spans="1:11" ht="16.5">
      <c r="A6" s="2300" t="s">
        <v>656</v>
      </c>
      <c r="B6" s="2300">
        <f ca="1">SUM(G14:G23)</f>
        <v>2220</v>
      </c>
      <c r="C6" s="2300">
        <f ca="1">IF(B6=G14,结果表!H108,ROUND(B6*10000/$B$1,0))</f>
        <v>25006</v>
      </c>
      <c r="D6" s="2300">
        <f ca="1">ROUND(B6*10000/$B$2,0)</f>
        <v>3618</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'数据-汇总表'!E31</f>
        <v>887.8</v>
      </c>
      <c r="C14" s="2306">
        <f>'数据-汇总表'!D31</f>
        <v>6136</v>
      </c>
      <c r="D14" s="2306">
        <f ca="1">结果表!G19</f>
        <v>2220</v>
      </c>
      <c r="E14" s="2306">
        <f ca="1">ROUND(D14*10000/B14,0)</f>
        <v>25006</v>
      </c>
      <c r="F14" s="2306">
        <f ca="1">ROUND(D14*10000/C14,0)</f>
        <v>3618</v>
      </c>
      <c r="G14" s="2306">
        <f ca="1">D14</f>
        <v>2220</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J119" sqref="J11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5" t="str">
        <f>项目基本情况!S2</f>
        <v>北京市房地产</v>
      </c>
      <c r="B2" s="3286"/>
      <c r="C2" s="3286"/>
      <c r="D2" s="3286"/>
      <c r="E2" s="3286"/>
      <c r="F2" s="3286"/>
      <c r="G2" s="3286"/>
      <c r="H2" s="3286"/>
      <c r="I2" s="3287"/>
    </row>
    <row r="3" spans="1:12" ht="12.75">
      <c r="A3" s="3289" t="s">
        <v>1264</v>
      </c>
      <c r="B3" s="3290"/>
      <c r="C3" s="3290"/>
      <c r="D3" s="3290"/>
      <c r="E3" s="3290"/>
      <c r="F3" s="3290"/>
      <c r="G3" s="3290"/>
      <c r="H3" s="3290"/>
      <c r="I3" s="3290"/>
    </row>
    <row r="4" spans="1:12" ht="14.25">
      <c r="A4" s="1624" t="s">
        <v>1265</v>
      </c>
      <c r="B4" s="1625" t="s">
        <v>1266</v>
      </c>
      <c r="C4" s="1626" t="s">
        <v>3525</v>
      </c>
      <c r="D4" s="1626" t="s">
        <v>3526</v>
      </c>
      <c r="E4" s="3291" t="s">
        <v>1267</v>
      </c>
      <c r="F4" s="3292"/>
      <c r="G4" s="3292"/>
      <c r="H4" s="3292"/>
      <c r="I4" s="329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5" t="s">
        <v>1268</v>
      </c>
      <c r="B5" s="3252">
        <v>25</v>
      </c>
      <c r="C5" s="3268"/>
      <c r="D5" s="3288"/>
      <c r="E5" s="123" t="s">
        <v>1269</v>
      </c>
      <c r="F5" s="1627"/>
      <c r="G5" s="1627"/>
      <c r="H5" s="1627"/>
      <c r="I5" s="1281"/>
    </row>
    <row r="6" spans="1:12" ht="12.75">
      <c r="A6" s="3265"/>
      <c r="B6" s="3252"/>
      <c r="C6" s="3269"/>
      <c r="D6" s="3288"/>
      <c r="E6" s="123" t="s">
        <v>1270</v>
      </c>
      <c r="F6" s="1627"/>
      <c r="G6" s="1627"/>
      <c r="H6" s="1627"/>
      <c r="I6" s="1281"/>
    </row>
    <row r="7" spans="1:12" ht="12.75">
      <c r="A7" s="3265"/>
      <c r="B7" s="3252"/>
      <c r="C7" s="3270"/>
      <c r="D7" s="3288"/>
      <c r="E7" s="123" t="s">
        <v>1271</v>
      </c>
      <c r="F7" s="1627"/>
      <c r="G7" s="1627"/>
      <c r="H7" s="1627"/>
      <c r="I7" s="1281"/>
    </row>
    <row r="8" spans="1:12" ht="12.75">
      <c r="A8" s="3265" t="s">
        <v>1272</v>
      </c>
      <c r="B8" s="3252">
        <v>15</v>
      </c>
      <c r="C8" s="3268"/>
      <c r="D8" s="3288"/>
      <c r="E8" s="123" t="s">
        <v>1273</v>
      </c>
      <c r="F8" s="1627"/>
      <c r="G8" s="1627"/>
      <c r="H8" s="1627"/>
      <c r="I8" s="1281"/>
    </row>
    <row r="9" spans="1:12" ht="12.75">
      <c r="A9" s="3265"/>
      <c r="B9" s="3252"/>
      <c r="C9" s="3270"/>
      <c r="D9" s="3288"/>
      <c r="E9" s="123" t="s">
        <v>1274</v>
      </c>
      <c r="F9" s="1627"/>
      <c r="G9" s="1627"/>
      <c r="H9" s="1627"/>
      <c r="I9" s="1281"/>
    </row>
    <row r="10" spans="1:12" ht="12.75">
      <c r="A10" s="3265" t="s">
        <v>1275</v>
      </c>
      <c r="B10" s="3252">
        <v>15</v>
      </c>
      <c r="C10" s="3268"/>
      <c r="D10" s="3288"/>
      <c r="E10" s="123" t="s">
        <v>1276</v>
      </c>
      <c r="F10" s="1627"/>
      <c r="G10" s="1627"/>
      <c r="H10" s="1627"/>
      <c r="I10" s="1281"/>
    </row>
    <row r="11" spans="1:12" ht="12.75">
      <c r="A11" s="3265"/>
      <c r="B11" s="3252"/>
      <c r="C11" s="3270"/>
      <c r="D11" s="3288"/>
      <c r="E11" s="123" t="s">
        <v>1277</v>
      </c>
      <c r="F11" s="1627"/>
      <c r="G11" s="1627"/>
      <c r="H11" s="1627"/>
      <c r="I11" s="1281"/>
    </row>
    <row r="12" spans="1:12" ht="12.75">
      <c r="A12" s="3265" t="s">
        <v>1278</v>
      </c>
      <c r="B12" s="3252">
        <v>15</v>
      </c>
      <c r="C12" s="3268"/>
      <c r="D12" s="3288"/>
      <c r="E12" s="123" t="s">
        <v>1279</v>
      </c>
      <c r="F12" s="1627"/>
      <c r="G12" s="1627"/>
      <c r="H12" s="1627"/>
      <c r="I12" s="1281"/>
    </row>
    <row r="13" spans="1:12" ht="12.75">
      <c r="A13" s="3265"/>
      <c r="B13" s="3252"/>
      <c r="C13" s="3270"/>
      <c r="D13" s="3288"/>
      <c r="E13" s="123" t="s">
        <v>1280</v>
      </c>
      <c r="F13" s="1627"/>
      <c r="G13" s="1627"/>
      <c r="H13" s="1627"/>
      <c r="I13" s="1281"/>
    </row>
    <row r="14" spans="1:12" ht="12.75">
      <c r="A14" s="3265" t="s">
        <v>1281</v>
      </c>
      <c r="B14" s="3252">
        <v>30</v>
      </c>
      <c r="C14" s="3268">
        <v>5</v>
      </c>
      <c r="D14" s="3288">
        <v>5</v>
      </c>
      <c r="E14" s="123" t="s">
        <v>1282</v>
      </c>
      <c r="F14" s="1627"/>
      <c r="G14" s="1627"/>
      <c r="H14" s="1627"/>
      <c r="I14" s="1281"/>
    </row>
    <row r="15" spans="1:12" ht="12.75">
      <c r="A15" s="3265"/>
      <c r="B15" s="3252"/>
      <c r="C15" s="3269"/>
      <c r="D15" s="3288"/>
      <c r="E15" s="123" t="s">
        <v>1283</v>
      </c>
      <c r="F15" s="1627"/>
      <c r="G15" s="1627"/>
      <c r="H15" s="1627"/>
      <c r="I15" s="1281"/>
    </row>
    <row r="16" spans="1:12" ht="12.75">
      <c r="A16" s="3265"/>
      <c r="B16" s="3252"/>
      <c r="C16" s="3270"/>
      <c r="D16" s="3288"/>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75" t="s">
        <v>2131</v>
      </c>
      <c r="F18" s="3276"/>
      <c r="G18" s="3276"/>
      <c r="H18" s="3276"/>
      <c r="I18" s="3276"/>
      <c r="K18" s="294" t="s">
        <v>1289</v>
      </c>
      <c r="L18" s="294">
        <f>IF(C1="",'数据-汇总表'!E3,SUMIF(项目类型,C1,'数据-汇总表'!E17:E26)+SUMIF(项目类型,C1,'数据-汇总表'!I17:I26))</f>
        <v>887.8</v>
      </c>
      <c r="M18" s="294">
        <f>IF(C1="",'数据-汇总表'!E3,SUMIF(项目类型,C1,'数据-汇总表'!E17:E26))</f>
        <v>887.8</v>
      </c>
    </row>
    <row r="19" spans="1:36" ht="15">
      <c r="A19" s="1630" t="s">
        <v>1290</v>
      </c>
      <c r="B19" s="1631" t="s">
        <v>1291</v>
      </c>
      <c r="C19" s="126">
        <f ca="1">SUMIF(INDIRECT("'"&amp;C4&amp;"'"&amp;"!A:A"),结果表!B19,INDIRECT("'"&amp;C4&amp;"'"&amp;"!B:B"))</f>
        <v>2105</v>
      </c>
      <c r="D19" s="127">
        <f ca="1">SUMIF(INDIRECT("'"&amp;D4&amp;"'"&amp;"!A:A"),结果表!B19,INDIRECT("'"&amp;D4&amp;"'"&amp;"!B:B"))</f>
        <v>2334</v>
      </c>
      <c r="E19" s="1630" t="s">
        <v>1292</v>
      </c>
      <c r="F19" s="1631" t="s">
        <v>1291</v>
      </c>
      <c r="G19" s="128">
        <f ca="1">ROUND(C19*$C$18+D19*$D$18,0)</f>
        <v>2220</v>
      </c>
      <c r="H19" s="1632" t="s">
        <v>1293</v>
      </c>
      <c r="I19" s="121"/>
      <c r="K19" s="294" t="s">
        <v>1294</v>
      </c>
      <c r="L19" s="294">
        <f>IF(C1="",'数据-汇总表'!D3,SUMIF(项目类型,C1,'数据-汇总表'!D17:D26)+SUMIF(项目类型,C1,'数据-汇总表'!H17:H27))</f>
        <v>6136</v>
      </c>
      <c r="M19" s="294">
        <f>IF(C1="",'数据-汇总表'!D3,SUMIF(项目类型,C1,'数据-汇总表'!D17:D26))</f>
        <v>6136</v>
      </c>
    </row>
    <row r="20" spans="1:36" ht="15">
      <c r="A20" s="1633"/>
      <c r="B20" s="43" t="s">
        <v>1295</v>
      </c>
      <c r="C20" s="129">
        <f ca="1">SUMIF(INDIRECT("'"&amp;C4&amp;"'"&amp;"!A:A"),结果表!B20,INDIRECT("'"&amp;C4&amp;"'"&amp;"!B:B"))</f>
        <v>23710</v>
      </c>
      <c r="D20" s="130">
        <f ca="1">SUMIF(INDIRECT("'"&amp;D4&amp;"'"&amp;"!A:A"),结果表!B20,INDIRECT("'"&amp;D4&amp;"'"&amp;"!B:B"))</f>
        <v>26290</v>
      </c>
      <c r="E20" s="1633"/>
      <c r="F20" s="43" t="s">
        <v>1295</v>
      </c>
      <c r="G20" s="131">
        <f ca="1">ROUND(C20*$C$18+D20*$D$18,0)</f>
        <v>25000</v>
      </c>
      <c r="H20" s="760" t="s">
        <v>1296</v>
      </c>
      <c r="I20" s="121"/>
    </row>
    <row r="21" spans="1:36" ht="15" customHeight="1" thickBot="1">
      <c r="A21" s="449"/>
      <c r="B21" s="93" t="s">
        <v>1297</v>
      </c>
      <c r="C21" s="678">
        <f ca="1">ROUND(C19*10000/L19,0)</f>
        <v>3431</v>
      </c>
      <c r="D21" s="679">
        <f ca="1">ROUND(D19*10000/L19,0)</f>
        <v>3804</v>
      </c>
      <c r="E21" s="449"/>
      <c r="F21" s="93" t="s">
        <v>1297</v>
      </c>
      <c r="G21" s="132">
        <f ca="1">ROUND(G19*10000/L19,0)</f>
        <v>3618</v>
      </c>
      <c r="H21" s="1634" t="s">
        <v>1296</v>
      </c>
      <c r="I21" s="121"/>
    </row>
    <row r="22" spans="1:36" ht="15" thickBot="1">
      <c r="A22" s="1564" t="s">
        <v>1298</v>
      </c>
      <c r="B22" s="1635"/>
      <c r="C22" s="1636"/>
      <c r="D22" s="680">
        <f ca="1">IF(C19&lt;D19,D19/C19-1,C19/D19-1)</f>
        <v>0.10878859857482182</v>
      </c>
      <c r="E22" s="121"/>
      <c r="F22" s="121"/>
      <c r="G22" s="121"/>
      <c r="H22" s="121"/>
      <c r="I22" s="121"/>
    </row>
    <row r="23" spans="1:36" ht="13.5" thickBot="1">
      <c r="A23" s="646"/>
      <c r="B23" s="646"/>
      <c r="C23" s="646"/>
      <c r="D23" s="646"/>
      <c r="E23" s="121"/>
      <c r="F23" s="121"/>
      <c r="G23" s="121"/>
      <c r="H23" s="121"/>
      <c r="I23" s="121"/>
    </row>
    <row r="24" spans="1:36" ht="14.25">
      <c r="A24" s="3259" t="s">
        <v>1299</v>
      </c>
      <c r="B24" s="1631" t="s">
        <v>1291</v>
      </c>
      <c r="C24" s="128">
        <f>IF(B30=0,0,D30)</f>
        <v>0</v>
      </c>
      <c r="D24" s="1637"/>
      <c r="E24" s="121"/>
      <c r="F24" s="121"/>
      <c r="G24" s="121"/>
      <c r="H24" s="121"/>
      <c r="I24" s="121"/>
    </row>
    <row r="25" spans="1:36" ht="14.25">
      <c r="A25" s="32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2220</v>
      </c>
      <c r="D32" s="1641" t="s">
        <v>3527</v>
      </c>
      <c r="E32" s="121"/>
      <c r="F32" s="121"/>
      <c r="G32" s="121"/>
      <c r="H32" s="121"/>
      <c r="I32" s="121"/>
    </row>
    <row r="33" spans="1:15" ht="15">
      <c r="A33" s="740" t="s">
        <v>1306</v>
      </c>
      <c r="B33" s="123"/>
      <c r="C33" s="1642" t="s">
        <v>3528</v>
      </c>
      <c r="D33" s="1643" t="s">
        <v>3525</v>
      </c>
      <c r="E33" s="1644" t="s">
        <v>1307</v>
      </c>
      <c r="F33" s="1645" t="str">
        <f>IF(D32="楼面单价","取值（单价）","取值（总价）")</f>
        <v>取值（总价）</v>
      </c>
      <c r="G33" s="121"/>
      <c r="H33" s="121"/>
      <c r="I33" s="121"/>
    </row>
    <row r="34" spans="1:15" ht="15">
      <c r="A34" s="1646"/>
      <c r="B34" s="1647" t="s">
        <v>1308</v>
      </c>
      <c r="C34" s="140">
        <f ca="1">IF(C33="自定义",F34,C32-C35)</f>
        <v>1914</v>
      </c>
      <c r="D34" s="808">
        <f ca="1">IF(C33="自定义",ROUND(C34/C32,3),IF(C33="收益比率",SUMIF(INDIRECT("'"&amp;D33&amp;"'"&amp;"!b:b"),"土地收益比率",INDIRECT("'"&amp;D33&amp;"'"&amp;"!c:c")),SUMIF(INDIRECT("'"&amp;D33&amp;"'"&amp;"!b:b"),"土地成本比率",INDIRECT("'"&amp;D33&amp;"'"&amp;"!c:c"))))</f>
        <v>0.86199999999999999</v>
      </c>
      <c r="E34" s="1648" t="s">
        <v>1309</v>
      </c>
      <c r="F34" s="1243"/>
      <c r="G34" s="121"/>
      <c r="H34" s="121"/>
      <c r="I34" s="121"/>
    </row>
    <row r="35" spans="1:15" ht="15.75" thickBot="1">
      <c r="A35" s="1649"/>
      <c r="B35" s="1650" t="s">
        <v>1310</v>
      </c>
      <c r="C35" s="1090">
        <f ca="1">IF(C33="自定义",F35,ROUND(C32*D35,0))</f>
        <v>306</v>
      </c>
      <c r="D35" s="1091">
        <f ca="1">IF(C33="自定义",ROUND(C35/C32,3),IF(C33="收益比率",SUMIF(INDIRECT("'"&amp;D33&amp;"'"&amp;"!b:b"),"建筑物收益比率",INDIRECT("'"&amp;D33&amp;"'"&amp;"!c:c")),SUMIF(INDIRECT("'"&amp;D33&amp;"'"&amp;"!b:b"),"建筑物成本比率",INDIRECT("'"&amp;D33&amp;"'"&amp;"!c:c"))))</f>
        <v>0.13800000000000001</v>
      </c>
      <c r="E35" s="1651" t="s">
        <v>1311</v>
      </c>
      <c r="F35" s="146"/>
      <c r="G35" s="121"/>
      <c r="H35" s="121"/>
      <c r="I35" s="121"/>
    </row>
    <row r="36" spans="1:15" ht="15.75" thickBot="1">
      <c r="A36" s="3279" t="s">
        <v>1312</v>
      </c>
      <c r="B36" s="1652" t="s">
        <v>1313</v>
      </c>
      <c r="C36" s="137"/>
      <c r="D36" s="1653"/>
      <c r="E36" s="1567"/>
      <c r="F36" s="1654"/>
      <c r="G36" s="121"/>
      <c r="H36" s="121"/>
      <c r="I36" s="121"/>
    </row>
    <row r="37" spans="1:15" ht="15.75" thickBot="1">
      <c r="A37" s="3280"/>
      <c r="B37" s="1555" t="s">
        <v>1314</v>
      </c>
      <c r="C37" s="139"/>
      <c r="D37" s="1071"/>
      <c r="E37" s="1071"/>
      <c r="F37" s="1654"/>
      <c r="G37" s="121"/>
      <c r="H37" s="121"/>
      <c r="I37" s="121"/>
    </row>
    <row r="38" spans="1:15" ht="15.75" thickBot="1">
      <c r="A38" s="328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6" t="s">
        <v>1326</v>
      </c>
      <c r="B45" s="3257"/>
      <c r="C45" s="3258"/>
      <c r="D45" s="147">
        <f ca="1">ROUND(H101*F45,0)</f>
        <v>2220</v>
      </c>
      <c r="E45" s="148" t="s">
        <v>1327</v>
      </c>
      <c r="F45" s="149">
        <v>1</v>
      </c>
      <c r="G45" s="150" t="s">
        <v>1328</v>
      </c>
      <c r="H45" s="121"/>
      <c r="I45" s="121"/>
      <c r="J45" s="3334" t="s">
        <v>1329</v>
      </c>
      <c r="K45" s="3334"/>
      <c r="L45" s="3334"/>
      <c r="M45" s="3334"/>
      <c r="N45" s="3334"/>
      <c r="O45" s="3334"/>
    </row>
    <row r="46" spans="1:15" ht="14.25" customHeight="1">
      <c r="A46" s="3253" t="s">
        <v>1330</v>
      </c>
      <c r="B46" s="3254"/>
      <c r="C46" s="3254"/>
      <c r="D46" s="3254"/>
      <c r="E46" s="3254"/>
      <c r="F46" s="3254"/>
      <c r="G46" s="3255"/>
      <c r="H46" s="1668"/>
      <c r="I46" s="151"/>
      <c r="J46" s="2310">
        <v>1</v>
      </c>
      <c r="K46" s="3315" t="s">
        <v>1331</v>
      </c>
      <c r="L46" s="3315"/>
      <c r="M46" s="3335"/>
      <c r="N46" s="3335"/>
      <c r="O46" s="3335"/>
    </row>
    <row r="47" spans="1:15" ht="12" customHeight="1">
      <c r="A47" s="152" t="s">
        <v>1332</v>
      </c>
      <c r="B47" s="153"/>
      <c r="C47" s="154"/>
      <c r="D47" s="1024" t="s">
        <v>1333</v>
      </c>
      <c r="E47" s="294" t="s">
        <v>1334</v>
      </c>
      <c r="F47" s="155" t="s">
        <v>1335</v>
      </c>
      <c r="G47" s="2333" t="s">
        <v>1336</v>
      </c>
      <c r="H47" s="2334"/>
      <c r="I47" s="151"/>
      <c r="J47" s="2310">
        <v>2</v>
      </c>
      <c r="K47" s="3315" t="s">
        <v>1337</v>
      </c>
      <c r="L47" s="3315"/>
      <c r="M47" s="3336">
        <f>'数据-取费表'!B2</f>
        <v>45743</v>
      </c>
      <c r="N47" s="3336"/>
      <c r="O47" s="3336"/>
    </row>
    <row r="48" spans="1:15" ht="25.5">
      <c r="A48" s="3284" t="s">
        <v>1338</v>
      </c>
      <c r="B48" s="3267"/>
      <c r="C48" s="3267"/>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15" t="s">
        <v>1340</v>
      </c>
      <c r="L48" s="3315"/>
      <c r="M48" s="3337">
        <f ca="1">H101</f>
        <v>2220</v>
      </c>
      <c r="N48" s="3337"/>
      <c r="O48" s="3337"/>
    </row>
    <row r="49" spans="1:35" ht="25.5" customHeight="1">
      <c r="A49" s="2152" t="s">
        <v>1341</v>
      </c>
      <c r="B49" s="3251" t="s">
        <v>1342</v>
      </c>
      <c r="C49" s="3251"/>
      <c r="D49" s="1478">
        <v>0</v>
      </c>
      <c r="E49" s="316" t="s">
        <v>1343</v>
      </c>
      <c r="F49" s="2233" t="s">
        <v>28</v>
      </c>
      <c r="G49" s="3321"/>
      <c r="H49" s="2134" t="s">
        <v>2134</v>
      </c>
      <c r="I49" s="2135"/>
      <c r="J49" s="2310">
        <v>4</v>
      </c>
      <c r="K49" s="3315" t="str">
        <f>IF(项目基本情况!E8="房地产抵押价值","房地产抵押价值","抵押担保权已注销时的房地产抵押价值")</f>
        <v>房地产抵押价值</v>
      </c>
      <c r="L49" s="3315"/>
      <c r="M49" s="3337">
        <f ca="1">IF(项目基本情况!E8="房地产抵押价值",H107,H109)</f>
        <v>2220</v>
      </c>
      <c r="N49" s="3337"/>
      <c r="O49" s="3337"/>
    </row>
    <row r="50" spans="1:35" ht="25.5" customHeight="1">
      <c r="A50" s="2338"/>
      <c r="B50" s="3251" t="s">
        <v>1344</v>
      </c>
      <c r="C50" s="3251"/>
      <c r="D50" s="2189"/>
      <c r="E50" s="323"/>
      <c r="F50" s="2233"/>
      <c r="G50" s="3322"/>
      <c r="H50" s="2136" t="s">
        <v>2135</v>
      </c>
      <c r="I50" s="2135"/>
      <c r="J50" s="3334" t="s">
        <v>1345</v>
      </c>
      <c r="K50" s="3334"/>
      <c r="L50" s="3334"/>
      <c r="M50" s="3334"/>
      <c r="N50" s="3334"/>
      <c r="O50" s="3334"/>
    </row>
    <row r="51" spans="1:35" ht="20.45" customHeight="1">
      <c r="A51" s="2339"/>
      <c r="B51" s="3251" t="s">
        <v>1346</v>
      </c>
      <c r="C51" s="3251"/>
      <c r="D51" s="1024"/>
      <c r="E51" s="319"/>
      <c r="F51" s="2233"/>
      <c r="G51" s="3323"/>
      <c r="H51" s="2136" t="s">
        <v>2136</v>
      </c>
      <c r="I51" s="2135"/>
      <c r="J51" s="2311" t="s">
        <v>1347</v>
      </c>
      <c r="K51" s="3315" t="s">
        <v>1348</v>
      </c>
      <c r="L51" s="3315"/>
      <c r="M51" s="2311" t="s">
        <v>1349</v>
      </c>
      <c r="N51" s="2311" t="s">
        <v>1350</v>
      </c>
      <c r="O51" s="2311" t="s">
        <v>1351</v>
      </c>
    </row>
    <row r="52" spans="1:35" ht="24" customHeight="1">
      <c r="A52" s="2153" t="s">
        <v>1352</v>
      </c>
      <c r="B52" s="3251" t="s">
        <v>1353</v>
      </c>
      <c r="C52" s="3251"/>
      <c r="D52" s="1024">
        <f ca="1">ROUND(D45*'数据-取费表'!B41/(1+'数据-取费表'!C42),0)</f>
        <v>116</v>
      </c>
      <c r="E52" s="1256" t="s">
        <v>1354</v>
      </c>
      <c r="F52" s="2340">
        <f>'数据-取费表'!B41</f>
        <v>5.5000000000000007E-2</v>
      </c>
      <c r="G52" s="2341"/>
      <c r="H52" s="2331"/>
      <c r="I52" s="1669"/>
      <c r="J52" s="2310">
        <v>1</v>
      </c>
      <c r="K52" s="3316" t="s">
        <v>1355</v>
      </c>
      <c r="L52" s="3316"/>
      <c r="M52" s="2312" t="b">
        <f>D48</f>
        <v>0</v>
      </c>
      <c r="N52" s="2310" t="str">
        <f>E48</f>
        <v>销售额×税（费）率</v>
      </c>
      <c r="O52" s="2313">
        <f>F48</f>
        <v>5.5000000000000007E-2</v>
      </c>
    </row>
    <row r="53" spans="1:35" ht="12" customHeight="1">
      <c r="A53" s="2153" t="s">
        <v>1356</v>
      </c>
      <c r="B53" s="3277" t="s">
        <v>2291</v>
      </c>
      <c r="C53" s="3278"/>
      <c r="D53" s="1024">
        <f ca="1">ROUND(D45*'数据-取费表'!B41/(1+'数据-取费表'!C42),0)</f>
        <v>116</v>
      </c>
      <c r="E53" s="1256" t="s">
        <v>1354</v>
      </c>
      <c r="F53" s="2340">
        <f>'数据-取费表'!B41</f>
        <v>5.5000000000000007E-2</v>
      </c>
      <c r="G53" s="2341"/>
      <c r="H53" s="2331"/>
      <c r="I53" s="1669"/>
      <c r="J53" s="2310">
        <v>2</v>
      </c>
      <c r="K53" s="3316" t="s">
        <v>1357</v>
      </c>
      <c r="L53" s="3316"/>
      <c r="M53" s="2312">
        <f t="shared" ref="M53:O54" ca="1" si="0">D55</f>
        <v>1</v>
      </c>
      <c r="N53" s="2310" t="str">
        <f t="shared" si="0"/>
        <v>销售额×税（费）率</v>
      </c>
      <c r="O53" s="2313" t="str">
        <f t="shared" si="0"/>
        <v>免征</v>
      </c>
    </row>
    <row r="54" spans="1:35" ht="12" customHeight="1">
      <c r="A54" s="2153" t="s">
        <v>1358</v>
      </c>
      <c r="B54" s="3277" t="s">
        <v>2292</v>
      </c>
      <c r="C54" s="3278"/>
      <c r="D54" s="1024">
        <f ca="1">C68</f>
        <v>116</v>
      </c>
      <c r="E54" s="319" t="s">
        <v>1359</v>
      </c>
      <c r="F54" s="2340">
        <f>'数据-取费表'!B41</f>
        <v>5.5000000000000007E-2</v>
      </c>
      <c r="G54" s="2341"/>
      <c r="H54" s="2342"/>
      <c r="I54" s="1669"/>
      <c r="J54" s="2310">
        <v>3</v>
      </c>
      <c r="K54" s="3316" t="s">
        <v>1360</v>
      </c>
      <c r="L54" s="3316"/>
      <c r="M54" s="2312">
        <f t="shared" ca="1" si="0"/>
        <v>1258</v>
      </c>
      <c r="N54" s="2310" t="str">
        <f t="shared" si="0"/>
        <v>增值额×税（费）率</v>
      </c>
      <c r="O54" s="2314" t="str">
        <f t="shared" si="0"/>
        <v>免征</v>
      </c>
    </row>
    <row r="55" spans="1:35" ht="24" customHeight="1">
      <c r="A55" s="3266" t="s">
        <v>1361</v>
      </c>
      <c r="B55" s="3267"/>
      <c r="C55" s="3267"/>
      <c r="D55" s="12">
        <f ca="1">IF(H55="个人住宅",0,ROUND(D45*I55,0))</f>
        <v>1</v>
      </c>
      <c r="E55" s="1256" t="s">
        <v>1362</v>
      </c>
      <c r="F55" s="2340" t="str">
        <f>IF(H55="正常",I55,"免征")</f>
        <v>免征</v>
      </c>
      <c r="G55" s="2341"/>
      <c r="H55" s="2337"/>
      <c r="I55" s="157">
        <f>'数据-取费表'!B49</f>
        <v>5.0000000000000001E-4</v>
      </c>
      <c r="J55" s="2310">
        <f>IF(H59="非个人房产","",4)</f>
        <v>4</v>
      </c>
      <c r="K55" s="3316" t="str">
        <f>IF(H59="非个人房产","——","个人所得税")</f>
        <v>个人所得税</v>
      </c>
      <c r="L55" s="3316"/>
      <c r="M55" s="2315">
        <f ca="1">D59</f>
        <v>21</v>
      </c>
      <c r="N55" s="1883" t="str">
        <f>E59</f>
        <v>差额计税</v>
      </c>
      <c r="O55" s="2316">
        <f>F59</f>
        <v>0.01</v>
      </c>
    </row>
    <row r="56" spans="1:35" ht="24.75">
      <c r="A56" s="3266" t="s">
        <v>1363</v>
      </c>
      <c r="B56" s="3267"/>
      <c r="C56" s="3267"/>
      <c r="D56" s="12">
        <f ca="1">IF(H56="个人住宅",D57,D58)</f>
        <v>1258</v>
      </c>
      <c r="E56" s="1256" t="s">
        <v>1364</v>
      </c>
      <c r="F56" s="2340" t="str">
        <f>IF(H56="正常",F58,"免征")</f>
        <v>免征</v>
      </c>
      <c r="G56" s="2343" t="s">
        <v>1365</v>
      </c>
      <c r="H56" s="2344"/>
      <c r="I56" s="1670"/>
      <c r="J56" s="2310" t="str">
        <f>IF(项目基本情况!K6="上海银行",IF(J55="",4,J55+1),"")</f>
        <v/>
      </c>
      <c r="K56" s="3339" t="str">
        <f>IF(项目基本情况!K6="上海银行","其他处置费用","")</f>
        <v/>
      </c>
      <c r="L56" s="3340"/>
      <c r="M56" s="2312" t="str">
        <f>IF(项目基本情况!K6="上海银行",M69,"")</f>
        <v/>
      </c>
      <c r="N56" s="3339" t="str">
        <f>IF(项目基本情况!K6="上海银行","包含处置中涉及的律师、诉讼、拍卖、评估等费用","")</f>
        <v/>
      </c>
      <c r="O56" s="3342"/>
    </row>
    <row r="57" spans="1:35" ht="12.75">
      <c r="A57" s="2153" t="s">
        <v>1341</v>
      </c>
      <c r="B57" s="3277" t="s">
        <v>1366</v>
      </c>
      <c r="C57" s="3278"/>
      <c r="D57" s="1478">
        <v>0</v>
      </c>
      <c r="E57" s="316" t="s">
        <v>1343</v>
      </c>
      <c r="F57" s="294"/>
      <c r="G57" s="2341"/>
      <c r="H57" s="2345"/>
      <c r="I57" s="1670"/>
      <c r="J57" s="3316">
        <f>IF(AND(J55="",J56=""),4,IF(项目基本情况!K6="上海银行",结果表!J56+1,结果表!J55+1))</f>
        <v>5</v>
      </c>
      <c r="K57" s="3316" t="s">
        <v>1367</v>
      </c>
      <c r="L57" s="2317" t="s">
        <v>1368</v>
      </c>
      <c r="M57" s="2318"/>
      <c r="N57" s="2319">
        <f ca="1">SUMIF(M52:M56,"&lt;9e307")</f>
        <v>1280</v>
      </c>
      <c r="O57" s="2320"/>
      <c r="P57" s="2465">
        <f ca="1">N57/M49</f>
        <v>0.57657657657657657</v>
      </c>
    </row>
    <row r="58" spans="1:35" ht="24.75">
      <c r="A58" s="2153" t="s">
        <v>1352</v>
      </c>
      <c r="B58" s="3277" t="s">
        <v>1369</v>
      </c>
      <c r="C58" s="3251"/>
      <c r="D58" s="12">
        <f ca="1">IF(H58="转让取得",C81,C97)</f>
        <v>1258</v>
      </c>
      <c r="E58" s="1256" t="s">
        <v>1364</v>
      </c>
      <c r="F58" s="294" t="s">
        <v>28</v>
      </c>
      <c r="G58" s="2341"/>
      <c r="H58" s="2344"/>
      <c r="I58" s="1670"/>
      <c r="J58" s="3316"/>
      <c r="K58" s="3316"/>
      <c r="L58" s="2317" t="s">
        <v>1370</v>
      </c>
      <c r="M58" s="2321"/>
      <c r="N58" s="2322" t="str">
        <f ca="1">NUMBERSTRING(INT(N57*10000),2)&amp;"元整"</f>
        <v>壹仟贰佰捌拾万元整</v>
      </c>
      <c r="O58" s="2323"/>
    </row>
    <row r="59" spans="1:35" ht="24.75" thickBot="1">
      <c r="A59" s="3319" t="s">
        <v>1371</v>
      </c>
      <c r="B59" s="3320"/>
      <c r="C59" s="3320"/>
      <c r="D59" s="2346">
        <f ca="1">IF(H59="非个人房产","——",IF(H59="个人住宅（满五唯一有凭证）",0,IF(H59="个人其他（无凭证）",ROUND(D45*F59,0),ROUND(C67*F59,0))))</f>
        <v>21</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7">
        <f>J57+1</f>
        <v>6</v>
      </c>
      <c r="K59" s="3316" t="s">
        <v>1372</v>
      </c>
      <c r="L59" s="2310" t="s">
        <v>1368</v>
      </c>
      <c r="M59" s="2324"/>
      <c r="N59" s="2325">
        <f ca="1">M49-N57</f>
        <v>940</v>
      </c>
      <c r="O59" s="2326"/>
    </row>
    <row r="60" spans="1:35" ht="12" customHeight="1">
      <c r="A60" s="1671"/>
      <c r="B60" s="646"/>
      <c r="C60" s="646"/>
      <c r="D60" s="646"/>
      <c r="E60" s="1466"/>
      <c r="F60" s="1670"/>
      <c r="G60" s="1670"/>
      <c r="H60" s="151"/>
      <c r="I60" s="121"/>
      <c r="J60" s="3318"/>
      <c r="K60" s="3316"/>
      <c r="L60" s="2317" t="s">
        <v>1370</v>
      </c>
      <c r="M60" s="2321"/>
      <c r="N60" s="2322" t="str">
        <f ca="1">NUMBERSTRING(INT(N59*10000),2)&amp;"元整"</f>
        <v>玖佰肆拾万元整</v>
      </c>
      <c r="O60" s="2323"/>
    </row>
    <row r="61" spans="1:35" ht="13.5" thickBot="1">
      <c r="A61" s="3264" t="s">
        <v>1373</v>
      </c>
      <c r="B61" s="3264"/>
      <c r="C61" s="3264"/>
      <c r="D61" s="3264"/>
      <c r="E61" s="3264"/>
      <c r="F61" s="1670"/>
      <c r="G61" s="1670"/>
      <c r="H61" s="151"/>
      <c r="I61" s="121"/>
      <c r="J61" s="2310">
        <f>J59+1</f>
        <v>7</v>
      </c>
      <c r="K61" s="3316" t="s">
        <v>1374</v>
      </c>
      <c r="L61" s="3316"/>
      <c r="M61" s="2327"/>
      <c r="N61" s="2328">
        <f ca="1">ROUND(N59*10000/'数据-汇总表'!E3,0)</f>
        <v>10588</v>
      </c>
      <c r="O61" s="2329"/>
    </row>
    <row r="62" spans="1:35" ht="12.75">
      <c r="A62" s="3282" t="s">
        <v>1375</v>
      </c>
      <c r="B62" s="3283"/>
      <c r="C62" s="1865"/>
      <c r="D62" s="1865" t="s">
        <v>1376</v>
      </c>
      <c r="E62" s="158" t="s">
        <v>1377</v>
      </c>
      <c r="F62" s="1670"/>
      <c r="G62" s="1670"/>
      <c r="H62" s="151"/>
      <c r="I62" s="121"/>
    </row>
    <row r="63" spans="1:35" ht="12.75">
      <c r="A63" s="165" t="s">
        <v>330</v>
      </c>
      <c r="B63" s="159" t="s">
        <v>1378</v>
      </c>
      <c r="C63" s="2350">
        <f ca="1">ROUND((C64+C65)/(1+'数据-取费表'!C42),0)</f>
        <v>2114</v>
      </c>
      <c r="D63" s="159"/>
      <c r="E63" s="160"/>
      <c r="F63" s="1670"/>
      <c r="G63" s="1670"/>
      <c r="H63" s="151"/>
      <c r="I63" s="121"/>
      <c r="J63" s="3341" t="s">
        <v>1379</v>
      </c>
      <c r="K63" s="1245" t="s">
        <v>1380</v>
      </c>
      <c r="L63" s="1245">
        <f ca="1">IF(M49&gt;10000,M49*0.5%,IF(AND(M49&gt;1000,M49&lt;=10000),M49*1%,IF(AND(M49&gt;100,M49&lt;=1000),M49*3%,IF(AND(M49&gt;10,M49&lt;=100),M49*5%,M49*8%))))</f>
        <v>22.2</v>
      </c>
      <c r="M63" s="294">
        <f ca="1">ROUND(L63,1)</f>
        <v>22.2</v>
      </c>
      <c r="N63" s="2330"/>
      <c r="Z63" s="1623"/>
      <c r="AI63" s="1561"/>
    </row>
    <row r="64" spans="1:35" ht="14.25" customHeight="1">
      <c r="A64" s="161" t="s">
        <v>325</v>
      </c>
      <c r="B64" s="162" t="s">
        <v>1381</v>
      </c>
      <c r="C64" s="2351">
        <f ca="1">D45</f>
        <v>2220</v>
      </c>
      <c r="D64" s="162" t="s">
        <v>26</v>
      </c>
      <c r="E64" s="164"/>
      <c r="F64" s="1670"/>
      <c r="G64" s="1670"/>
      <c r="H64" s="151"/>
      <c r="I64" s="121"/>
      <c r="J64" s="3341"/>
      <c r="K64" s="1245" t="s">
        <v>1382</v>
      </c>
      <c r="L64" s="1245">
        <f ca="1">IF(M49&gt;2000,M49*0.5%,IF(AND(M49&gt;1000,M49&lt;=2000),M49*0.6%,IF(AND(M49&gt;500,M49&lt;=1000),M49*0.7%,IF(AND(M49&gt;200,M49&lt;=500),M49*0.8%,IF(AND(M49&gt;100,M49&lt;=200),M49*0.9%,IF(AND(M49&gt;50,M49&lt;=100),M49*1%,IF(AND(M49&gt;20,M49&lt;=50),M49*1.5%,IF(AND(M49&gt;10,M49&lt;=20),M49*2%,IF(AND(M49&gt;1,M49&lt;=10),M49*2.5%)))))))))</f>
        <v>11.1</v>
      </c>
      <c r="M64" s="294">
        <f t="shared" ref="M64:M65" ca="1" si="1">ROUND(L64,1)</f>
        <v>11.1</v>
      </c>
      <c r="N64" s="2331" t="s">
        <v>1383</v>
      </c>
      <c r="Z64" s="1623"/>
      <c r="AI64" s="1561"/>
    </row>
    <row r="65" spans="1:35" ht="14.25" customHeight="1">
      <c r="A65" s="161" t="s">
        <v>326</v>
      </c>
      <c r="B65" s="162" t="s">
        <v>1384</v>
      </c>
      <c r="C65" s="2352"/>
      <c r="D65" s="162"/>
      <c r="E65" s="164"/>
      <c r="F65" s="1670"/>
      <c r="G65" s="1670"/>
      <c r="H65" s="151"/>
      <c r="I65" s="121"/>
      <c r="J65" s="3341"/>
      <c r="K65" s="1245" t="s">
        <v>1385</v>
      </c>
      <c r="L65" s="1245">
        <f ca="1">IF(M49&gt;1000,M49*0.1%,IF(AND(M49&gt;500,M49&lt;=1000),M49*0.5%,IF(AND(M49&gt;50,M49&lt;=500),M49*1%,IF(AND(M49&gt;1,M49&lt;=50),M49*1.5%))))</f>
        <v>2.2200000000000002</v>
      </c>
      <c r="M65" s="294">
        <f t="shared" ca="1" si="1"/>
        <v>2.2000000000000002</v>
      </c>
      <c r="N65" s="2331" t="s">
        <v>1383</v>
      </c>
      <c r="Z65" s="1623"/>
      <c r="AI65" s="1561"/>
    </row>
    <row r="66" spans="1:35" ht="14.25" customHeight="1">
      <c r="A66" s="165" t="s">
        <v>327</v>
      </c>
      <c r="B66" s="166" t="s">
        <v>1386</v>
      </c>
      <c r="C66" s="2353"/>
      <c r="D66" s="166" t="s">
        <v>26</v>
      </c>
      <c r="E66" s="1251" t="s">
        <v>671</v>
      </c>
      <c r="F66" s="1670"/>
      <c r="G66" s="1670"/>
      <c r="H66" s="151"/>
      <c r="I66" s="121"/>
      <c r="J66" s="3341"/>
      <c r="K66" s="1245" t="s">
        <v>1387</v>
      </c>
      <c r="L66" s="1245">
        <f ca="1">M49*0.5%</f>
        <v>11.1</v>
      </c>
      <c r="M66" s="294">
        <f ca="1">IF(L66&gt;0.5,0.5,ROUND(L66,0))</f>
        <v>0.5</v>
      </c>
      <c r="N66" s="2331" t="s">
        <v>1388</v>
      </c>
      <c r="Z66" s="1623"/>
      <c r="AI66" s="1561"/>
    </row>
    <row r="67" spans="1:35" ht="14.25" customHeight="1">
      <c r="A67" s="165" t="s">
        <v>328</v>
      </c>
      <c r="B67" s="166" t="s">
        <v>1389</v>
      </c>
      <c r="C67" s="2354">
        <f ca="1">C63-C66</f>
        <v>2114</v>
      </c>
      <c r="D67" s="162" t="s">
        <v>26</v>
      </c>
      <c r="E67" s="164"/>
      <c r="F67" s="1670"/>
      <c r="G67" s="1670"/>
      <c r="H67" s="151"/>
      <c r="I67" s="121"/>
      <c r="J67" s="3341"/>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116</v>
      </c>
      <c r="D68" s="2356">
        <f>'数据-取费表'!B41</f>
        <v>5.5000000000000007E-2</v>
      </c>
      <c r="E68" s="170"/>
      <c r="F68" s="1670"/>
      <c r="G68" s="1670"/>
      <c r="H68" s="151"/>
      <c r="I68" s="121"/>
      <c r="J68" s="3341"/>
      <c r="K68" s="1245" t="s">
        <v>1392</v>
      </c>
      <c r="L68" s="1245">
        <f ca="1">IF(M49&gt;10000,M49*0.5%,IF(AND(M49&gt;5000,M49&lt;=10000),M49*1%,IF(AND(M49&gt;1000,M49&lt;=5000),M49*2%,IF(AND(M49&gt;200,M49&lt;=1000),M49*3%,M49*5%))))</f>
        <v>44.4</v>
      </c>
      <c r="M68" s="294">
        <f ca="1">ROUND(L68,1)</f>
        <v>44.4</v>
      </c>
      <c r="N68" s="2330"/>
      <c r="Z68" s="1623"/>
      <c r="AI68" s="1561"/>
    </row>
    <row r="69" spans="1:35" ht="16.5" customHeight="1">
      <c r="A69" s="1672"/>
      <c r="B69" s="1673"/>
      <c r="C69" s="1674"/>
      <c r="D69" s="1675"/>
      <c r="E69" s="1676"/>
      <c r="F69" s="1466"/>
      <c r="G69" s="1466"/>
      <c r="H69" s="1467"/>
      <c r="I69" s="646"/>
      <c r="J69" s="3341"/>
      <c r="K69" s="1245" t="s">
        <v>1393</v>
      </c>
      <c r="L69" s="1245"/>
      <c r="M69" s="294">
        <f ca="1">ROUND(SUM(M63:M68),0)</f>
        <v>83</v>
      </c>
      <c r="N69" s="2332">
        <f ca="1">M69/M49</f>
        <v>3.7387387387387387E-2</v>
      </c>
      <c r="Z69" s="1623"/>
      <c r="AI69" s="1561"/>
    </row>
    <row r="70" spans="1:35" s="642" customFormat="1" ht="15" thickBot="1">
      <c r="A70" s="3303" t="s">
        <v>1394</v>
      </c>
      <c r="B70" s="3304"/>
      <c r="C70" s="3304"/>
      <c r="D70" s="3304"/>
      <c r="E70" s="3304"/>
      <c r="F70" s="3304"/>
      <c r="G70" s="3304"/>
      <c r="H70" s="330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2" t="s">
        <v>1375</v>
      </c>
      <c r="B71" s="328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2114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7" t="s">
        <v>1402</v>
      </c>
      <c r="F76" s="3251"/>
      <c r="G76" s="3251"/>
      <c r="H76" s="330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11</v>
      </c>
      <c r="D78" s="2363">
        <f>'数据-取费表'!B43</f>
        <v>5.000000000000001E-3</v>
      </c>
      <c r="E78" s="3261" t="s">
        <v>1406</v>
      </c>
      <c r="F78" s="3262"/>
      <c r="G78" s="3262"/>
      <c r="H78" s="327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2103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191.18181818181819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1258</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3" t="s">
        <v>1410</v>
      </c>
      <c r="B83" s="3304"/>
      <c r="C83" s="3304"/>
      <c r="D83" s="3304"/>
      <c r="E83" s="3304"/>
      <c r="F83" s="3304"/>
      <c r="G83" s="3304"/>
      <c r="H83" s="330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2" t="s">
        <v>1375</v>
      </c>
      <c r="B84" s="328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2114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3" t="s">
        <v>2129</v>
      </c>
      <c r="H90" s="3344"/>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1" t="s">
        <v>1419</v>
      </c>
      <c r="F91" s="3262"/>
      <c r="G91" s="326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1" t="s">
        <v>1422</v>
      </c>
      <c r="F92" s="3262"/>
      <c r="G92" s="3262"/>
      <c r="H92" s="3271"/>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11</v>
      </c>
      <c r="D93" s="2363">
        <f>'数据-取费表'!B43</f>
        <v>5.000000000000001E-3</v>
      </c>
      <c r="E93" s="3261" t="s">
        <v>1406</v>
      </c>
      <c r="F93" s="3262"/>
      <c r="G93" s="3262"/>
      <c r="H93" s="327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2" t="s">
        <v>1426</v>
      </c>
      <c r="F94" s="3273"/>
      <c r="G94" s="3273"/>
      <c r="H94" s="327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2103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191.18181818181819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1258</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63"/>
      <c r="E100" s="3246" t="s">
        <v>1429</v>
      </c>
      <c r="F100" s="3246"/>
      <c r="G100" s="3246"/>
      <c r="H100" s="3263"/>
      <c r="I100" s="121"/>
    </row>
    <row r="101" spans="1:35" ht="18.75" customHeight="1">
      <c r="A101" s="3324" t="s">
        <v>1430</v>
      </c>
      <c r="B101" s="3325"/>
      <c r="C101" s="2371" t="str">
        <f>C4</f>
        <v>成本法</v>
      </c>
      <c r="D101" s="2372" t="str">
        <f>D4</f>
        <v>收益法-酒店模型</v>
      </c>
      <c r="E101" s="3338" t="s">
        <v>1431</v>
      </c>
      <c r="F101" s="3295"/>
      <c r="G101" s="1687" t="s">
        <v>1432</v>
      </c>
      <c r="H101" s="2381">
        <f ca="1">H118</f>
        <v>2220</v>
      </c>
      <c r="I101" s="121"/>
    </row>
    <row r="102" spans="1:35" ht="18.75" customHeight="1">
      <c r="A102" s="3297" t="s">
        <v>1433</v>
      </c>
      <c r="B102" s="2370" t="s">
        <v>1432</v>
      </c>
      <c r="C102" s="2371">
        <f ca="1">IF(D32="楼面单价",ROUND(C19,0),C19)</f>
        <v>2105</v>
      </c>
      <c r="D102" s="2372">
        <f ca="1">IF(D32="楼面单价",ROUND(D19,0),D19)</f>
        <v>2334</v>
      </c>
      <c r="E102" s="3338"/>
      <c r="F102" s="3295"/>
      <c r="G102" s="1687" t="s">
        <v>1434</v>
      </c>
      <c r="H102" s="2341">
        <f ca="1">I118</f>
        <v>25006</v>
      </c>
      <c r="I102" s="121"/>
    </row>
    <row r="103" spans="1:35" ht="42.75" customHeight="1">
      <c r="A103" s="3297"/>
      <c r="B103" s="2370" t="s">
        <v>1434</v>
      </c>
      <c r="C103" s="2373">
        <f ca="1">C20</f>
        <v>23710</v>
      </c>
      <c r="D103" s="2374">
        <f ca="1">D20</f>
        <v>26290</v>
      </c>
      <c r="E103" s="3332" t="s">
        <v>1435</v>
      </c>
      <c r="F103" s="3333"/>
      <c r="G103" s="1688" t="s">
        <v>1436</v>
      </c>
      <c r="H103" s="2381">
        <f>IF(D36="正常操作",H104+H105+H106,H105+H106)</f>
        <v>0</v>
      </c>
      <c r="I103" s="121"/>
    </row>
    <row r="104" spans="1:35" ht="18.75" customHeight="1">
      <c r="A104" s="3297" t="s">
        <v>1437</v>
      </c>
      <c r="B104" s="2375" t="s">
        <v>1432</v>
      </c>
      <c r="C104" s="2376">
        <f ca="1">H118</f>
        <v>2220</v>
      </c>
      <c r="D104" s="2377"/>
      <c r="E104" s="1555" t="s">
        <v>1438</v>
      </c>
      <c r="F104" s="1548"/>
      <c r="G104" s="1688" t="s">
        <v>1436</v>
      </c>
      <c r="H104" s="2382">
        <f>IF(D36="同一抵押权人同一抵押物续贷",C36&amp;"（续贷，未扣减，详见特别提示）",C36)</f>
        <v>0</v>
      </c>
      <c r="I104" s="121"/>
    </row>
    <row r="105" spans="1:35" ht="18.75" customHeight="1" thickBot="1">
      <c r="A105" s="3298"/>
      <c r="B105" s="2378" t="s">
        <v>1434</v>
      </c>
      <c r="C105" s="2379">
        <f ca="1">I118</f>
        <v>25006</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4" t="str">
        <f>IF(项目基本情况!E8="已注销","——","3.房地产抵押价值")</f>
        <v>3.房地产抵押价值</v>
      </c>
      <c r="F107" s="3295"/>
      <c r="G107" s="1687" t="s">
        <v>1432</v>
      </c>
      <c r="H107" s="2381">
        <f ca="1">IF(E107="——","——",H101-H103)</f>
        <v>2220</v>
      </c>
      <c r="I107" s="121"/>
    </row>
    <row r="108" spans="1:35" ht="18.75" customHeight="1">
      <c r="A108" s="121"/>
      <c r="B108" s="121"/>
      <c r="C108" s="121"/>
      <c r="D108" s="121"/>
      <c r="E108" s="3294"/>
      <c r="F108" s="3295"/>
      <c r="G108" s="1687" t="s">
        <v>1434</v>
      </c>
      <c r="H108" s="2341">
        <f ca="1">IF(H107=H101,H102,ROUND(H107*10000/'数据-汇总表'!E3,0))</f>
        <v>25006</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95"/>
      <c r="G109" s="1687" t="s">
        <v>1432</v>
      </c>
      <c r="H109" s="2384" t="str">
        <f>IF(E109="——","——",H101-H105-H106)</f>
        <v>——</v>
      </c>
      <c r="I109" s="121"/>
    </row>
    <row r="110" spans="1:35" ht="18.75" customHeight="1">
      <c r="A110" s="121"/>
      <c r="B110" s="121"/>
      <c r="C110" s="121"/>
      <c r="D110" s="121"/>
      <c r="E110" s="3294"/>
      <c r="F110" s="3295"/>
      <c r="G110" s="1687" t="s">
        <v>1434</v>
      </c>
      <c r="H110" s="2341" t="str">
        <f>IF(H109="——","——",ROUND(H109*10000/'数据-汇总表'!E3,0))</f>
        <v>——</v>
      </c>
      <c r="I110" s="121"/>
    </row>
    <row r="111" spans="1:35" ht="18.75" customHeight="1">
      <c r="A111" s="121"/>
      <c r="B111" s="121"/>
      <c r="C111" s="121"/>
      <c r="D111" s="121"/>
      <c r="E111" s="3326" t="str">
        <f>IF(项目基本情况!E9="抵押净值",IF(OR(项目基本情况!E8="已注销",项目基本情况!E8="房地产抵押价值"),"4.抵押净值","5.抵押净值"),"——")</f>
        <v>——</v>
      </c>
      <c r="F111" s="3296"/>
      <c r="G111" s="1687" t="s">
        <v>1432</v>
      </c>
      <c r="H111" s="2381" t="str">
        <f>IF(E111="——","——",N59)</f>
        <v>——</v>
      </c>
      <c r="I111" s="121"/>
    </row>
    <row r="112" spans="1:35" ht="18.75" customHeight="1" thickBot="1">
      <c r="A112" s="121"/>
      <c r="B112" s="121"/>
      <c r="C112" s="121"/>
      <c r="D112" s="121"/>
      <c r="E112" s="3327"/>
      <c r="F112" s="3328"/>
      <c r="G112" s="1690" t="s">
        <v>1434</v>
      </c>
      <c r="H112" s="2385"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5" t="s">
        <v>1443</v>
      </c>
      <c r="B116" s="3300" t="s">
        <v>1444</v>
      </c>
      <c r="C116" s="3300" t="s">
        <v>1445</v>
      </c>
      <c r="D116" s="3313" t="s">
        <v>1446</v>
      </c>
      <c r="E116" s="3314"/>
      <c r="F116" s="3308" t="s">
        <v>1447</v>
      </c>
      <c r="G116" s="3308"/>
      <c r="H116" s="3265" t="s">
        <v>1448</v>
      </c>
      <c r="I116" s="3265"/>
    </row>
    <row r="117" spans="1:27" ht="18.75" customHeight="1">
      <c r="A117" s="3265"/>
      <c r="B117" s="3301"/>
      <c r="C117" s="330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887.8</v>
      </c>
      <c r="C118" s="2150">
        <f>M19</f>
        <v>6136</v>
      </c>
      <c r="D118" s="2150">
        <f ca="1">ROUND(IF(D32="总价",C34,E118*B118/10000),0)</f>
        <v>1914</v>
      </c>
      <c r="E118" s="2150">
        <f ca="1">ROUND(IF(C33="自定义",IF(D32="楼面单价",C34,D118*10000/B118),I118-G118),0)</f>
        <v>21559</v>
      </c>
      <c r="F118" s="2150">
        <f ca="1">ROUND(IF(D32="总价",C35,G118*B118/10000),0)</f>
        <v>306</v>
      </c>
      <c r="G118" s="2150">
        <f ca="1">ROUND(IF(D32="楼面单价",C35,F118*10000/B118),0)</f>
        <v>3447</v>
      </c>
      <c r="H118" s="2150">
        <f ca="1">ROUND(IF(D32="总价",C32,I118*B118/10000),0)</f>
        <v>2220</v>
      </c>
      <c r="I118" s="2150">
        <f ca="1">ROUND(IF(D32="楼面单价",C32,H118*10000/B118),0)</f>
        <v>25006</v>
      </c>
      <c r="J118" s="684">
        <f ca="1">D118/(C118/666.67)</f>
        <v>207.95410365058669</v>
      </c>
    </row>
    <row r="119" spans="1:27" ht="18.75" customHeight="1">
      <c r="A119" s="3265" t="s">
        <v>1452</v>
      </c>
      <c r="B119" s="3265"/>
      <c r="C119" s="3265"/>
      <c r="D119" s="3305" t="str">
        <f ca="1">NUMBERSTRING(INT(D118*10000),2)&amp;"元整"</f>
        <v>壹仟玖佰壹拾肆万元整</v>
      </c>
      <c r="E119" s="3307"/>
      <c r="F119" s="3305" t="str">
        <f ca="1">NUMBERSTRING(INT(F118*10000),2)&amp;"元整"</f>
        <v>叁佰零陆万元整</v>
      </c>
      <c r="G119" s="3307"/>
      <c r="H119" s="3305" t="str">
        <f ca="1">NUMBERSTRING(INT(H118*10000),2)&amp;"元整"</f>
        <v>贰仟贰佰贰拾万元整</v>
      </c>
      <c r="I119" s="3307"/>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5" t="s">
        <v>1452</v>
      </c>
      <c r="B121" s="3306"/>
      <c r="C121" s="3307"/>
      <c r="D121" s="3305" t="str">
        <f>IF(D120=0,"零元整",NUMBERSTRING(INT(D120*10000),2)&amp;"元整")</f>
        <v>零元整</v>
      </c>
      <c r="E121" s="3306"/>
      <c r="F121" s="3306"/>
      <c r="G121" s="3306"/>
      <c r="H121" s="3306"/>
      <c r="I121" s="3307"/>
      <c r="AA121" s="684"/>
    </row>
    <row r="122" spans="1:27" ht="18.75" customHeight="1">
      <c r="A122" s="3296" t="str">
        <f>IF(项目基本情况!B9="房地产市场价值","",MID(E107,3,LEN(E107)-2))</f>
        <v>房地产抵押价值</v>
      </c>
      <c r="B122" s="3296"/>
      <c r="C122" s="3296"/>
      <c r="D122" s="3329">
        <f ca="1">H107</f>
        <v>2220</v>
      </c>
      <c r="E122" s="3330"/>
      <c r="F122" s="3330"/>
      <c r="G122" s="3330"/>
      <c r="H122" s="3330"/>
      <c r="I122" s="3331"/>
      <c r="AA122" s="684"/>
    </row>
    <row r="123" spans="1:27" ht="18.75" customHeight="1">
      <c r="A123" s="3265" t="s">
        <v>1452</v>
      </c>
      <c r="B123" s="3265"/>
      <c r="C123" s="3265"/>
      <c r="D123" s="3305" t="str">
        <f ca="1">NUMBERSTRING(INT(D122*10000),2)&amp;"元整"</f>
        <v>贰仟贰佰贰拾万元整</v>
      </c>
      <c r="E123" s="3306"/>
      <c r="F123" s="3306"/>
      <c r="G123" s="3306"/>
      <c r="H123" s="3306"/>
      <c r="I123" s="3307"/>
      <c r="AA123" s="684"/>
    </row>
    <row r="124" spans="1:27" ht="18.75" customHeight="1">
      <c r="A124" s="3296" t="str">
        <f>IF(项目基本情况!B9="房地产市场价值","",MID(E109,3,LEN(E109)-2))</f>
        <v/>
      </c>
      <c r="B124" s="3296"/>
      <c r="C124" s="3296"/>
      <c r="D124" s="3329" t="str">
        <f>H109</f>
        <v>——</v>
      </c>
      <c r="E124" s="3330"/>
      <c r="F124" s="3330"/>
      <c r="G124" s="3330"/>
      <c r="H124" s="3330"/>
      <c r="I124" s="3331"/>
      <c r="AA124" s="684"/>
    </row>
    <row r="125" spans="1:27" ht="18.75" customHeight="1">
      <c r="A125" s="3265" t="s">
        <v>1452</v>
      </c>
      <c r="B125" s="3265"/>
      <c r="C125" s="3265"/>
      <c r="D125" s="3305" t="e">
        <f>NUMBERSTRING(INT(D124*10000),2)&amp;"元整"</f>
        <v>#VALUE!</v>
      </c>
      <c r="E125" s="3306"/>
      <c r="F125" s="3306"/>
      <c r="G125" s="3306"/>
      <c r="H125" s="3306"/>
      <c r="I125" s="3307"/>
      <c r="AA125" s="684"/>
    </row>
    <row r="126" spans="1:27" ht="18.75" customHeight="1">
      <c r="A126" s="3296" t="str">
        <f>IF(项目基本情况!B9="房地产市场价值","",MID(E111,3,LEN(E111)-2))</f>
        <v/>
      </c>
      <c r="B126" s="3296"/>
      <c r="C126" s="3296"/>
      <c r="D126" s="3329" t="str">
        <f>H111</f>
        <v>——</v>
      </c>
      <c r="E126" s="3330"/>
      <c r="F126" s="3330"/>
      <c r="G126" s="3330"/>
      <c r="H126" s="3330"/>
      <c r="I126" s="3331"/>
      <c r="AA126" s="684"/>
    </row>
    <row r="127" spans="1:27" ht="18.75" customHeight="1">
      <c r="A127" s="3265" t="s">
        <v>1452</v>
      </c>
      <c r="B127" s="3265"/>
      <c r="C127" s="3265"/>
      <c r="D127" s="3305" t="e">
        <f>NUMBERSTRING(INT(D126*10000),2)&amp;"元整"</f>
        <v>#VALUE!</v>
      </c>
      <c r="E127" s="3306"/>
      <c r="F127" s="3306"/>
      <c r="G127" s="3306"/>
      <c r="H127" s="3306"/>
      <c r="I127" s="3307"/>
      <c r="AA127" s="684"/>
    </row>
    <row r="128" spans="1:27" ht="21.75" customHeight="1">
      <c r="A128" s="3312" t="s">
        <v>1453</v>
      </c>
      <c r="B128" s="3312"/>
      <c r="C128" s="3312"/>
      <c r="D128" s="3312"/>
      <c r="E128" s="3312"/>
      <c r="F128" s="3312"/>
      <c r="G128" s="3312"/>
      <c r="H128" s="3312"/>
      <c r="I128" s="331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M49" sqref="M4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3434</v>
      </c>
      <c r="C1" s="190"/>
      <c r="D1" s="190"/>
      <c r="E1" s="190"/>
      <c r="F1" s="190"/>
      <c r="G1" s="1062">
        <f>MATCH(B1,'数据-取费表'!A6:A16,0)+5</f>
        <v>6</v>
      </c>
    </row>
    <row r="2" spans="1:9" s="192" customFormat="1" ht="18" customHeight="1">
      <c r="A2" s="193" t="s">
        <v>1462</v>
      </c>
      <c r="B2" s="194">
        <f ca="1">IF(D2="——",C52,C52-E2)</f>
        <v>2105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23710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1456</v>
      </c>
      <c r="D5" s="203" t="s">
        <v>1469</v>
      </c>
      <c r="E5" s="204" t="s">
        <v>1470</v>
      </c>
      <c r="F5" s="204" t="s">
        <v>1471</v>
      </c>
      <c r="G5" s="205"/>
    </row>
    <row r="6" spans="1:9" s="206" customFormat="1" ht="13.5" customHeight="1">
      <c r="A6" s="732" t="s">
        <v>1472</v>
      </c>
      <c r="B6" s="207" t="s">
        <v>1473</v>
      </c>
      <c r="C6" s="208">
        <f>基准地价修正!B2</f>
        <v>1402</v>
      </c>
      <c r="D6" s="209"/>
      <c r="E6" s="210"/>
      <c r="F6" s="210"/>
      <c r="G6" s="211"/>
    </row>
    <row r="7" spans="1:9" s="206" customFormat="1" ht="13.5" customHeight="1">
      <c r="A7" s="732" t="s">
        <v>1474</v>
      </c>
      <c r="B7" s="207" t="s">
        <v>1475</v>
      </c>
      <c r="C7" s="212">
        <f>ROUND(C6*F7,0)</f>
        <v>43</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11</v>
      </c>
      <c r="D8" s="214"/>
      <c r="E8" s="212"/>
      <c r="F8" s="213"/>
      <c r="G8" s="1714" t="s">
        <v>3448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80</v>
      </c>
      <c r="F9" s="213"/>
      <c r="G9" s="1715" t="s">
        <v>3449</v>
      </c>
      <c r="H9" s="1070"/>
      <c r="I9" s="1716" t="s">
        <v>1479</v>
      </c>
    </row>
    <row r="10" spans="1:9" s="206" customFormat="1" ht="13.5" customHeight="1">
      <c r="A10" s="733" t="s">
        <v>356</v>
      </c>
      <c r="B10" s="216" t="s">
        <v>1480</v>
      </c>
      <c r="C10" s="217">
        <f ca="1">ROUND(D10*E10/10000,0)</f>
        <v>11</v>
      </c>
      <c r="D10" s="795">
        <f ca="1">IF(B1="",'数据-汇总表'!E6,IF(INDIRECT("'数据-取费表'!c"&amp;$G$1)="住宅",INDIRECT("'数据-取费表'!s"&amp;$G$1),INDIRECT("'数据-取费表'!k"&amp;$G$1)+INDIRECT("'数据-取费表'!s"&amp;$G$1)))</f>
        <v>887.8</v>
      </c>
      <c r="E10" s="217">
        <f>'数据-取费表'!B28</f>
        <v>120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887.8</v>
      </c>
      <c r="E19" s="203">
        <f>'数据-取费表'!B31</f>
        <v>120</v>
      </c>
      <c r="F19" s="223"/>
      <c r="G19" s="1714" t="s">
        <v>3450</v>
      </c>
    </row>
    <row r="20" spans="1:7" s="206" customFormat="1" ht="13.5" customHeight="1">
      <c r="A20" s="247" t="s">
        <v>1493</v>
      </c>
      <c r="B20" s="202" t="s">
        <v>1494</v>
      </c>
      <c r="C20" s="224">
        <f ca="1">ROUND((C5+C19)*F20,0)</f>
        <v>29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45</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45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149</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149</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1815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295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266</v>
      </c>
      <c r="D34" s="209"/>
      <c r="E34" s="212"/>
      <c r="F34" s="249">
        <f ca="1">IF('数据-取费表'!B24=0,1,IF(B1="",'数据-取费表'!N16,INDIRECT("'数据-取费表'!n"&amp;$G$1)))</f>
        <v>1</v>
      </c>
      <c r="G34" s="211" t="s">
        <v>1526</v>
      </c>
    </row>
    <row r="35" spans="1:7" ht="13.5" customHeight="1">
      <c r="A35" s="734" t="s">
        <v>351</v>
      </c>
      <c r="B35" s="207" t="s">
        <v>1527</v>
      </c>
      <c r="C35" s="212">
        <f ca="1">ROUND(C34*F35,0)</f>
        <v>13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v>
      </c>
      <c r="D37" s="209">
        <f ca="1">D19</f>
        <v>887.8</v>
      </c>
      <c r="E37" s="241">
        <f>'数据-取费表'!B35</f>
        <v>120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5</v>
      </c>
      <c r="D42" s="230"/>
      <c r="E42" s="230"/>
      <c r="F42" s="231"/>
      <c r="G42" s="3345" t="s">
        <v>1544</v>
      </c>
    </row>
    <row r="43" spans="1:7" ht="13.5" customHeight="1">
      <c r="A43" s="734" t="s">
        <v>347</v>
      </c>
      <c r="B43" s="207" t="s">
        <v>1545</v>
      </c>
      <c r="C43" s="230">
        <f ca="1">ROUND(IF('数据-取费表'!B22&lt;=1,C39*F22*'数据-取费表'!B21/2,C39*(POWER((1+F22),'数据-取费表'!B21/2)-1)),0)</f>
        <v>0</v>
      </c>
      <c r="D43" s="230"/>
      <c r="E43" s="230"/>
      <c r="F43" s="231"/>
      <c r="G43" s="3346"/>
    </row>
    <row r="44" spans="1:7" ht="13.5" customHeight="1">
      <c r="A44" s="734" t="s">
        <v>348</v>
      </c>
      <c r="B44" s="207" t="s">
        <v>1546</v>
      </c>
      <c r="C44" s="230">
        <f ca="1">ROUND(IF('数据-取费表'!B22&lt;=1,C40*F22*'数据-取费表'!B21/2,C40*(POWER((1+F22),'数据-取费表'!B21/2)-1)),4)</f>
        <v>2.9999999999999997E-4</v>
      </c>
      <c r="D44" s="230"/>
      <c r="E44" s="230"/>
      <c r="F44" s="231"/>
      <c r="G44" s="3347"/>
    </row>
    <row r="45" spans="1:7" s="206" customFormat="1" ht="13.5" customHeight="1">
      <c r="A45" s="247" t="s">
        <v>1547</v>
      </c>
      <c r="B45" s="236" t="s">
        <v>1513</v>
      </c>
      <c r="C45" s="237">
        <f ca="1">C46</f>
        <v>30</v>
      </c>
      <c r="D45" s="227">
        <f ca="1">C47</f>
        <v>2E-3</v>
      </c>
      <c r="E45" s="228" t="s">
        <v>1539</v>
      </c>
      <c r="F45" s="238">
        <f ca="1">F27</f>
        <v>0.1</v>
      </c>
      <c r="G45" s="239" t="s">
        <v>1548</v>
      </c>
    </row>
    <row r="46" spans="1:7" s="206" customFormat="1" ht="13.5" customHeight="1">
      <c r="A46" s="734" t="s">
        <v>346</v>
      </c>
      <c r="B46" s="240" t="s">
        <v>1549</v>
      </c>
      <c r="C46" s="241">
        <f ca="1">ROUND((C33+C39)*F27,0)</f>
        <v>30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363</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290</v>
      </c>
      <c r="D51" s="224"/>
      <c r="E51" s="224"/>
      <c r="F51" s="256"/>
      <c r="G51" s="226" t="s">
        <v>1560</v>
      </c>
    </row>
    <row r="52" spans="1:7" s="200" customFormat="1" ht="16.5" thickBot="1">
      <c r="A52" s="257" t="s">
        <v>1561</v>
      </c>
      <c r="B52" s="258"/>
      <c r="C52" s="259">
        <f ca="1">C31+C51</f>
        <v>2105</v>
      </c>
      <c r="D52" s="258"/>
      <c r="E52" s="258"/>
      <c r="F52" s="258"/>
      <c r="G52" s="260"/>
    </row>
    <row r="55" spans="1:7" ht="15">
      <c r="B55" s="262" t="s">
        <v>1562</v>
      </c>
      <c r="C55" s="263"/>
    </row>
    <row r="56" spans="1:7">
      <c r="B56" s="265" t="s">
        <v>802</v>
      </c>
      <c r="C56" s="267">
        <f ca="1">1-C57</f>
        <v>0.86199999999999999</v>
      </c>
    </row>
    <row r="57" spans="1:7">
      <c r="B57" s="265" t="s">
        <v>803</v>
      </c>
      <c r="C57" s="266">
        <f ca="1">ROUND(C51/C52,3)</f>
        <v>0.13800000000000001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317.38589999999999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3575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106536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106536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80</v>
      </c>
      <c r="F9" s="213"/>
      <c r="G9" s="218"/>
    </row>
    <row r="10" spans="1:8" s="206" customFormat="1" ht="13.5" customHeight="1">
      <c r="A10" s="733" t="s">
        <v>356</v>
      </c>
      <c r="B10" s="216" t="s">
        <v>1480</v>
      </c>
      <c r="C10" s="217">
        <f ca="1">ROUND(D10*E10,0)</f>
        <v>106536</v>
      </c>
      <c r="D10" s="795">
        <f ca="1">IF(B1="",'数据-汇总表'!E6,IF(INDIRECT("'数据-取费表'!c"&amp;$G$1)="住宅",INDIRECT("'数据-取费表'!s"&amp;$G$1),INDIRECT("'数据-取费表'!k"&amp;$G$1)+INDIRECT("'数据-取费表'!s"&amp;$G$1)))</f>
        <v>887.8</v>
      </c>
      <c r="E10" s="217">
        <f>'数据-取费表'!B28</f>
        <v>120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106536</v>
      </c>
      <c r="D19" s="204">
        <f ca="1">D9+D10</f>
        <v>887.8</v>
      </c>
      <c r="E19" s="203">
        <f>'数据-取费表'!B31</f>
        <v>120</v>
      </c>
      <c r="F19" s="223"/>
      <c r="G19" s="1714"/>
    </row>
    <row r="20" spans="1:7" s="206" customFormat="1" ht="13.5" customHeight="1">
      <c r="A20" s="247" t="s">
        <v>1574</v>
      </c>
      <c r="B20" s="202" t="s">
        <v>1575</v>
      </c>
      <c r="C20" s="224">
        <f ca="1">ROUND((C5+C19)*F20,0)</f>
        <v>4261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6672</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3303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3303</v>
      </c>
      <c r="D24" s="230"/>
      <c r="E24" s="230"/>
      <c r="F24" s="231"/>
      <c r="G24" s="232" t="s">
        <v>1586</v>
      </c>
    </row>
    <row r="25" spans="1:7" s="206" customFormat="1" ht="24">
      <c r="A25" s="734" t="s">
        <v>1476</v>
      </c>
      <c r="B25" s="207" t="s">
        <v>1587</v>
      </c>
      <c r="C25" s="230">
        <f ca="1">ROUND(IF('数据-取费表'!B22&lt;=1,C20*F22*'数据-取费表'!B22/2,C20*(POWER((1+F22),'数据-取费表'!B22/2)-1)),0)</f>
        <v>66</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21733</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21733</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265577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2956374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2663400</v>
      </c>
      <c r="D34" s="209"/>
      <c r="E34" s="212"/>
      <c r="F34" s="249"/>
      <c r="G34" s="211"/>
    </row>
    <row r="35" spans="1:7" ht="13.5" customHeight="1">
      <c r="A35" s="734" t="s">
        <v>351</v>
      </c>
      <c r="B35" s="207" t="s">
        <v>1527</v>
      </c>
      <c r="C35" s="212">
        <f ca="1">ROUND(C34*F35,0)</f>
        <v>133170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106536</v>
      </c>
      <c r="D37" s="209">
        <f ca="1">D19</f>
        <v>887.8</v>
      </c>
      <c r="E37" s="241">
        <f>'数据-取费表'!B35</f>
        <v>120</v>
      </c>
      <c r="F37" s="251"/>
      <c r="G37" s="253"/>
    </row>
    <row r="38" spans="1:7" ht="13.5" customHeight="1">
      <c r="A38" s="734" t="s">
        <v>354</v>
      </c>
      <c r="B38" s="207" t="s">
        <v>1533</v>
      </c>
      <c r="C38" s="212">
        <f ca="1">ROUND(C34*F38,0)</f>
        <v>53268</v>
      </c>
      <c r="D38" s="212"/>
      <c r="E38" s="212"/>
      <c r="F38" s="251">
        <f>'数据-取费表'!B36</f>
        <v>0.02</v>
      </c>
      <c r="G38" s="211" t="s">
        <v>1528</v>
      </c>
    </row>
    <row r="39" spans="1:7" s="206" customFormat="1" ht="13.5" customHeight="1">
      <c r="A39" s="247" t="s">
        <v>1534</v>
      </c>
      <c r="B39" s="202" t="s">
        <v>1535</v>
      </c>
      <c r="C39" s="224">
        <f ca="1">ROUND(C33*F20,0)</f>
        <v>59127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46740</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45824</v>
      </c>
      <c r="D42" s="230"/>
      <c r="E42" s="230"/>
      <c r="F42" s="231"/>
      <c r="G42" s="3345" t="s">
        <v>1591</v>
      </c>
    </row>
    <row r="43" spans="1:7" ht="13.5" customHeight="1">
      <c r="A43" s="734" t="s">
        <v>347</v>
      </c>
      <c r="B43" s="207" t="s">
        <v>1545</v>
      </c>
      <c r="C43" s="230">
        <f ca="1">ROUND(IF('数据-取费表'!B22&lt;=1,C39*F22*'数据-取费表'!B20/2,C39*(POWER((1+F22),'数据-取费表'!B20/2)-1)),0)</f>
        <v>916</v>
      </c>
      <c r="D43" s="230"/>
      <c r="E43" s="230"/>
      <c r="F43" s="231"/>
      <c r="G43" s="3346"/>
    </row>
    <row r="44" spans="1:7" ht="13.5" customHeight="1">
      <c r="A44" s="734" t="s">
        <v>348</v>
      </c>
      <c r="B44" s="207" t="s">
        <v>1546</v>
      </c>
      <c r="C44" s="230">
        <f ca="1">ROUND(IF('数据-取费表'!B22&lt;=1,C40*F22*'数据-取费表'!B20/2,C40*(POWER((1+F22),'数据-取费表'!B20/2)-1)),4)</f>
        <v>2.9999999999999997E-4</v>
      </c>
      <c r="D44" s="230"/>
      <c r="E44" s="230"/>
      <c r="F44" s="231"/>
      <c r="G44" s="3347"/>
    </row>
    <row r="45" spans="1:7" s="206" customFormat="1" ht="13.5" customHeight="1">
      <c r="A45" s="247" t="s">
        <v>1547</v>
      </c>
      <c r="B45" s="236" t="s">
        <v>1513</v>
      </c>
      <c r="C45" s="237">
        <f ca="1">C46</f>
        <v>301550</v>
      </c>
      <c r="D45" s="227">
        <f ca="1">C47</f>
        <v>2E-3</v>
      </c>
      <c r="E45" s="228" t="s">
        <v>1539</v>
      </c>
      <c r="F45" s="238">
        <f ca="1">F27</f>
        <v>0.1</v>
      </c>
      <c r="G45" s="239" t="s">
        <v>1548</v>
      </c>
    </row>
    <row r="46" spans="1:7" s="206" customFormat="1" ht="13.5" customHeight="1">
      <c r="A46" s="734" t="s">
        <v>346</v>
      </c>
      <c r="B46" s="240" t="s">
        <v>1549</v>
      </c>
      <c r="C46" s="241">
        <f ca="1">ROUND((C33+C39)*F27,0)</f>
        <v>301550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3635352</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2908282</v>
      </c>
      <c r="D51" s="224"/>
      <c r="E51" s="224"/>
      <c r="F51" s="256"/>
      <c r="G51" s="226" t="s">
        <v>1560</v>
      </c>
    </row>
    <row r="52" spans="1:7" s="200" customFormat="1" ht="16.5" thickBot="1">
      <c r="A52" s="257" t="s">
        <v>1561</v>
      </c>
      <c r="B52" s="258"/>
      <c r="C52" s="259">
        <f ca="1">C31+C51</f>
        <v>3173859</v>
      </c>
      <c r="D52" s="258"/>
      <c r="E52" s="258"/>
      <c r="F52" s="258"/>
      <c r="G52" s="260"/>
    </row>
    <row r="55" spans="1:7" ht="15">
      <c r="B55" s="262" t="s">
        <v>1562</v>
      </c>
      <c r="C55" s="263"/>
    </row>
    <row r="56" spans="1:7">
      <c r="B56" s="265" t="s">
        <v>802</v>
      </c>
      <c r="C56" s="267">
        <f ca="1">1-C57</f>
        <v>8.3999999999999964E-2</v>
      </c>
    </row>
    <row r="57" spans="1:7">
      <c r="B57" s="265" t="s">
        <v>803</v>
      </c>
      <c r="C57" s="266">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887.8</v>
      </c>
      <c r="E14" s="21">
        <f>'数据-取费表'!B35</f>
        <v>120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887.8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80</v>
      </c>
      <c r="F19" s="756"/>
      <c r="G19" s="12"/>
      <c r="H19" s="1108"/>
      <c r="I19" s="761"/>
      <c r="J19" s="761"/>
      <c r="K19" s="762"/>
    </row>
    <row r="20" spans="1:33" s="755" customFormat="1" ht="13.5" customHeight="1">
      <c r="A20" s="752" t="s">
        <v>361</v>
      </c>
      <c r="B20" s="753" t="s">
        <v>1627</v>
      </c>
      <c r="C20" s="21">
        <f ca="1">ROUND(D20*E20/10000,0)</f>
        <v>11</v>
      </c>
      <c r="D20" s="796">
        <f ca="1">IF(C1="",'数据-汇总表'!E6,IF(INDIRECT("'数据-取费表'!c"&amp;$K$1)="住宅",INDIRECT("'数据-取费表'!s"&amp;$K$1),INDIRECT("'数据-取费表'!k"&amp;$K$1)+INDIRECT("'数据-取费表'!s"&amp;$K$1)))</f>
        <v>887.8</v>
      </c>
      <c r="E20" s="21">
        <f>'数据-取费表'!B28</f>
        <v>120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9" zoomScale="70" zoomScaleNormal="70" zoomScaleSheetLayoutView="70" workbookViewId="0">
      <selection activeCell="J53" sqref="J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2109</v>
      </c>
      <c r="E6" s="294" t="s">
        <v>696</v>
      </c>
      <c r="F6" s="295">
        <f ca="1">INDIRECT("'数据-取费表'!u"&amp;$G$1)</f>
        <v>0</v>
      </c>
      <c r="G6" s="1292"/>
      <c r="H6" s="1006" t="s">
        <v>398</v>
      </c>
      <c r="I6" s="3350" t="s">
        <v>694</v>
      </c>
      <c r="J6" s="293">
        <f ca="1">ROUND(M6*M8*M7*(1-M9)/10000,0)</f>
        <v>0</v>
      </c>
      <c r="K6" s="147" t="s">
        <v>2108</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120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3523</v>
      </c>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t="s">
        <v>3524</v>
      </c>
      <c r="K48" s="1330" t="s">
        <v>820</v>
      </c>
      <c r="L48" s="1331">
        <f ca="1">INDIRECT("'数据-取费表'!f"&amp;$G$1)</f>
        <v>0</v>
      </c>
      <c r="O48" s="1325" t="s">
        <v>404</v>
      </c>
      <c r="P48" s="1326" t="s">
        <v>821</v>
      </c>
      <c r="Q48" s="1327">
        <f ca="1">J60</f>
        <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60</v>
      </c>
      <c r="K50" s="1330" t="s">
        <v>827</v>
      </c>
      <c r="L50" s="1333"/>
      <c r="M50" s="1336"/>
      <c r="O50" s="1334" t="s">
        <v>406</v>
      </c>
      <c r="P50" s="1326" t="s">
        <v>828</v>
      </c>
      <c r="Q50" s="1337">
        <f ca="1">J58</f>
        <v>1</v>
      </c>
      <c r="R50" s="1327"/>
    </row>
    <row r="51" spans="1:18" s="1292" customFormat="1" ht="13.5" thickBot="1">
      <c r="A51" s="923"/>
      <c r="B51" s="925"/>
      <c r="C51" s="926"/>
      <c r="D51" s="899"/>
      <c r="E51" s="927" t="s">
        <v>698</v>
      </c>
      <c r="F51" s="295">
        <f ca="1">F8</f>
        <v>0</v>
      </c>
      <c r="I51" s="1338" t="s">
        <v>829</v>
      </c>
      <c r="J51" s="1331">
        <f>IF(J49="",J50,J49+J50-YEAR('数据-取费表'!B2))</f>
        <v>60</v>
      </c>
      <c r="K51" s="1339" t="s">
        <v>830</v>
      </c>
      <c r="L51" s="1340">
        <f ca="1">ROUND(-PV(INDIRECT("'数据-取费表'!h"&amp;$G$1),J51,(C39-C13*C76),0),0)</f>
        <v>0</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1</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t="str">
        <f ca="1">IF(L48&lt;J51,"——",L48-J53)</f>
        <v>——</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60</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0</v>
      </c>
      <c r="D58" s="906" t="s">
        <v>715</v>
      </c>
      <c r="E58" s="907"/>
      <c r="F58" s="908"/>
      <c r="I58" s="1360" t="s">
        <v>848</v>
      </c>
      <c r="J58" s="1362">
        <f ca="1">IF(J55&lt;0.4,0.4,J55)</f>
        <v>1</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f ca="1">L60</f>
        <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2106</v>
      </c>
      <c r="E6" s="294" t="s">
        <v>696</v>
      </c>
      <c r="F6" s="295">
        <f ca="1">INDIRECT("'数据-取费表'!u"&amp;$G$1)</f>
        <v>0</v>
      </c>
      <c r="G6" s="1292"/>
      <c r="H6" s="1006" t="s">
        <v>398</v>
      </c>
      <c r="I6" s="3350" t="s">
        <v>694</v>
      </c>
      <c r="J6" s="293">
        <f ca="1">ROUND(M6*M8*M7*(1-M9),0)</f>
        <v>0</v>
      </c>
      <c r="K6" s="1284"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120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zoomScaleSheetLayoutView="100" workbookViewId="0">
      <selection activeCell="K21" sqref="K2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6136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1402</v>
      </c>
      <c r="C2" s="1846" t="s">
        <v>1935</v>
      </c>
      <c r="D2" s="162" t="s">
        <v>1936</v>
      </c>
      <c r="E2" s="3121" t="s">
        <v>673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Ⅹ-怀2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2856</v>
      </c>
      <c r="U2" s="1130">
        <f>'数据-取费表'!K6</f>
        <v>887.8</v>
      </c>
      <c r="V2" s="3064">
        <f>ROUND(T2*U2/10000,0)</f>
        <v>254</v>
      </c>
      <c r="W2" s="1133"/>
      <c r="X2" s="1133"/>
      <c r="Y2" s="1133"/>
      <c r="Z2" s="1133"/>
      <c r="AA2" s="1133"/>
      <c r="AB2" s="1133"/>
      <c r="AC2" s="1134"/>
      <c r="AD2" s="1135"/>
      <c r="AE2" s="1135"/>
      <c r="AF2" s="1135"/>
      <c r="AG2" s="1135"/>
      <c r="AH2" s="1135"/>
      <c r="AI2" s="1135"/>
      <c r="AJ2" s="1136"/>
    </row>
    <row r="3" spans="1:36" ht="15.75">
      <c r="A3" s="195" t="s">
        <v>1940</v>
      </c>
      <c r="B3" s="196">
        <f>ROUND(B2*10000/D1,0)</f>
        <v>2285</v>
      </c>
      <c r="C3" s="1846" t="s">
        <v>1941</v>
      </c>
      <c r="D3" s="162" t="s">
        <v>1942</v>
      </c>
      <c r="E3" s="3119" t="s">
        <v>2447</v>
      </c>
      <c r="F3" s="1848" t="s">
        <v>3529</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2202</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60"/>
      <c r="B4" s="3361"/>
      <c r="C4" s="3361"/>
      <c r="D4" s="3362"/>
      <c r="E4" s="3362"/>
      <c r="F4" s="3362"/>
      <c r="G4" s="3362"/>
      <c r="H4" s="3362"/>
      <c r="I4" s="3362"/>
      <c r="J4" s="33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1796</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3760</v>
      </c>
      <c r="D5" s="1252">
        <f>ROUND(C6*C17+C20,0)</f>
        <v>3760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1525</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3760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1389</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十级</v>
      </c>
      <c r="Y7" s="1131" t="s">
        <v>1956</v>
      </c>
      <c r="Z7" s="1132">
        <f>G3</f>
        <v>1</v>
      </c>
      <c r="AA7" s="1133"/>
      <c r="AB7" s="1133"/>
      <c r="AC7" s="1134"/>
      <c r="AD7" s="1135"/>
      <c r="AE7" s="1135"/>
      <c r="AF7" s="1135"/>
      <c r="AG7" s="1135"/>
      <c r="AH7" s="1135"/>
      <c r="AI7" s="1135"/>
      <c r="AJ7" s="1136"/>
    </row>
    <row r="8" spans="1:36" ht="25.5">
      <c r="A8" s="3010"/>
      <c r="B8" s="162" t="s">
        <v>1957</v>
      </c>
      <c r="C8" s="1870" t="s">
        <v>3437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57" t="s">
        <v>1960</v>
      </c>
      <c r="X8" s="33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59"/>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3760</v>
      </c>
      <c r="N10" s="813">
        <f>SUMPRODUCT((因素修正幅度!B327:B357=I2)*(因素修正幅度!C3:G3=E2)*(因素修正幅度!C327:G357))</f>
        <v>0.15</v>
      </c>
      <c r="O10" s="1056"/>
      <c r="P10" s="1056"/>
      <c r="Q10" s="1056"/>
      <c r="R10" s="1129">
        <v>9</v>
      </c>
      <c r="S10" s="1130"/>
      <c r="T10" s="3064">
        <f t="shared" si="0"/>
        <v>0</v>
      </c>
      <c r="U10" s="1130"/>
      <c r="V10" s="3064">
        <f t="shared" si="1"/>
        <v>0</v>
      </c>
      <c r="W10" s="335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64" t="s">
        <v>3254</v>
      </c>
      <c r="B20" s="159" t="s">
        <v>1994</v>
      </c>
      <c r="C20" s="3032">
        <f>ROUND(IF(F21="与级别开发程度一致",0,(G21-E21)/C21),0)</f>
        <v>0</v>
      </c>
      <c r="D20" s="3047" t="s">
        <v>1998</v>
      </c>
      <c r="E20" s="3048"/>
      <c r="F20" s="3370" t="s">
        <v>1995</v>
      </c>
      <c r="G20" s="3371"/>
      <c r="H20" s="3033" t="s">
        <v>3438</v>
      </c>
      <c r="I20" s="3033" t="s">
        <v>3439</v>
      </c>
      <c r="J20" s="3034" t="s">
        <v>3440</v>
      </c>
      <c r="K20" s="1889" t="s">
        <v>3441</v>
      </c>
      <c r="L20" s="1889" t="s">
        <v>3442</v>
      </c>
      <c r="M20" s="1889"/>
      <c r="N20" s="1889"/>
      <c r="O20" s="1890" t="s">
        <v>3443</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65"/>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3530</v>
      </c>
      <c r="G21" s="1995">
        <f>SUM(H21:O21)</f>
        <v>185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10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6" t="s">
        <v>2002</v>
      </c>
      <c r="E23" s="717">
        <v>44197</v>
      </c>
      <c r="F23" s="1896" t="s">
        <v>2003</v>
      </c>
      <c r="G23" s="718">
        <f>'数据-取费表'!B2</f>
        <v>45743</v>
      </c>
      <c r="H23" s="3049" t="s">
        <v>3255</v>
      </c>
      <c r="I23" s="3050" t="str">
        <f>IF(H23="季度增幅（自定义）",SUMIF(N25:N28,E2,O25:O28),"")</f>
        <v/>
      </c>
      <c r="J23" s="3142" t="s">
        <v>3444</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0.60980000000000001</v>
      </c>
      <c r="D24" s="1902" t="s">
        <v>2007</v>
      </c>
      <c r="E24" s="1248">
        <f>存贷款利率!E27/100</f>
        <v>4.3499999999999997E-2</v>
      </c>
      <c r="F24" s="1902" t="s">
        <v>1999</v>
      </c>
      <c r="G24" s="724">
        <f>SUMIF(M30:Q30,E2,M33:Q33)</f>
        <v>5.5E-2</v>
      </c>
      <c r="H24" s="1902" t="s">
        <v>2008</v>
      </c>
      <c r="I24" s="725">
        <f>SUMIF('数据-取费表'!C6:C15,E2,'数据-取费表'!F6:F15)/COUNTIF('数据-取费表'!C6:C15,E2)</f>
        <v>14.43</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3531</v>
      </c>
      <c r="C25" s="461">
        <f>IF(B25="容积率修正",IF(G3&lt;10,D26,J26),C27)</f>
        <v>1.2333000000000001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1.2333000000000001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0.98050000000000004</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1402</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2285</v>
      </c>
      <c r="D33" s="1940">
        <f>'数据-汇总表'!D3</f>
        <v>6136</v>
      </c>
      <c r="E33" s="727">
        <f>ROUND(C33*D33/10000,0)</f>
        <v>1402</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571</v>
      </c>
      <c r="D34" s="1945"/>
      <c r="E34" s="727">
        <f>ROUND(IF(B25="楼层修正",SUM(V2:V16)*M40,C34*D34/10000),0)</f>
        <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8"/>
      <c r="B37" s="1955" t="s">
        <v>2036</v>
      </c>
      <c r="C37" s="167">
        <f>ROUND(D5*C22*C23*C24*C28*F37,0)</f>
        <v>926</v>
      </c>
      <c r="D37" s="1940"/>
      <c r="E37" s="163">
        <f>ROUND(C37*D37/10000,0)</f>
        <v>0</v>
      </c>
      <c r="F37" s="163">
        <f>SUMIF(修正!A57:A68,G2,修正!B57:B68)</f>
        <v>0.5</v>
      </c>
      <c r="G37" s="163">
        <f>ROUND(IF(E2="工业",C37*$M$42,C37*$M$41),0)</f>
        <v>232</v>
      </c>
      <c r="H37" s="163">
        <f>D37</f>
        <v>0</v>
      </c>
      <c r="I37" s="163">
        <f>ROUND(G37*H37/10000,0)</f>
        <v>0</v>
      </c>
      <c r="J37" s="2755"/>
      <c r="K37" s="3062" t="s">
        <v>3265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9"/>
      <c r="B38" s="1884" t="s">
        <v>2037</v>
      </c>
      <c r="C38" s="167">
        <f>ROUND(D5*C22*C23*C24*C28*F38,0)</f>
        <v>371</v>
      </c>
      <c r="D38" s="1940"/>
      <c r="E38" s="163">
        <f t="shared" ref="E38:E42" si="4">ROUND(C38*D38/10000,0)</f>
        <v>0</v>
      </c>
      <c r="F38" s="163">
        <f>SUMIF(修正!A57:A68,G2,修正!C57:C68)</f>
        <v>0.2</v>
      </c>
      <c r="G38" s="163">
        <f>ROUND(IF(E2="工业",C38*$M$42,C38*$M$41),0)</f>
        <v>93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9"/>
      <c r="B39" s="1884" t="s">
        <v>3258</v>
      </c>
      <c r="C39" s="167">
        <f>ROUND(D5*C22*C23*C24*C28*F39,0)</f>
        <v>371</v>
      </c>
      <c r="D39" s="1940"/>
      <c r="E39" s="163">
        <f t="shared" si="4"/>
        <v>0</v>
      </c>
      <c r="F39" s="163">
        <f>SUMIF(修正!A57:A68,G2,修正!D57:D68)</f>
        <v>0.2</v>
      </c>
      <c r="G39" s="163">
        <f>ROUND(IF(E2="工业",C39*$M$42,C39*$M$41),0)</f>
        <v>93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371</v>
      </c>
      <c r="D40" s="1940"/>
      <c r="E40" s="163">
        <f t="shared" si="4"/>
        <v>0</v>
      </c>
      <c r="F40" s="167">
        <f>SUMIF(修正!A57:A68,G2,修正!E57:E68)</f>
        <v>0.2</v>
      </c>
      <c r="G40" s="163">
        <f>ROUND(IF(E2="工业",C40*$M$42,C40*$M$41),0)</f>
        <v>93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0.98050000000000004</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3445</v>
      </c>
      <c r="D50" s="1002">
        <f t="shared" ref="D50:D58" si="7">SUMIF($J$49:$N$49,C50,J50:N50)</f>
        <v>-2.2499999999999999E-2</v>
      </c>
      <c r="E50" s="702">
        <f>ROUND(SUM(D50:D58),4)</f>
        <v>-1.95E-2</v>
      </c>
      <c r="F50" s="1675">
        <f>IF(E2="商业",SUMIF(L1:L12,G2,N1:N12),"——")</f>
        <v>0.15</v>
      </c>
      <c r="G50" s="1000">
        <f>H50</f>
        <v>2.2499999999999999E-2</v>
      </c>
      <c r="H50" s="1003">
        <f t="shared" ref="H50:H58" si="8">IFERROR(ROUNDDOWN($F$50*I50/2,4),"——")</f>
        <v>2.2499999999999999E-2</v>
      </c>
      <c r="I50" s="3069">
        <v>0.3</v>
      </c>
      <c r="J50" s="1001">
        <f t="shared" ref="J50:J58" si="9">K50+$G50</f>
        <v>4.4999999999999998E-2</v>
      </c>
      <c r="K50" s="1001">
        <f t="shared" ref="K50:K58" si="10">$L50+$G50</f>
        <v>2.2499999999999999E-2</v>
      </c>
      <c r="L50" s="1001">
        <v>0</v>
      </c>
      <c r="M50" s="1001">
        <f t="shared" ref="M50:N58" si="11">L50-$G50</f>
        <v>-2.2499999999999999E-2</v>
      </c>
      <c r="N50" s="1001">
        <f t="shared" si="11"/>
        <v>-4.4999999999999998E-2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3446</v>
      </c>
      <c r="D51" s="1002">
        <f t="shared" si="7"/>
        <v>0</v>
      </c>
      <c r="E51" s="703"/>
      <c r="F51" s="1675"/>
      <c r="G51" s="1000">
        <f t="shared" ref="G51:G58" si="12">H51</f>
        <v>1.6500000000000001E-2</v>
      </c>
      <c r="H51" s="1003">
        <f t="shared" si="8"/>
        <v>1.6500000000000001E-2</v>
      </c>
      <c r="I51" s="3069">
        <v>0.22</v>
      </c>
      <c r="J51" s="1001">
        <f t="shared" si="9"/>
        <v>3.3000000000000002E-2</v>
      </c>
      <c r="K51" s="1001">
        <f t="shared" si="10"/>
        <v>1.6500000000000001E-2</v>
      </c>
      <c r="L51" s="1001">
        <v>0</v>
      </c>
      <c r="M51" s="1001">
        <f t="shared" si="11"/>
        <v>-1.6500000000000001E-2</v>
      </c>
      <c r="N51" s="1001">
        <f t="shared" si="11"/>
        <v>-3.3000000000000002E-2</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t="s">
        <v>3447</v>
      </c>
      <c r="D52" s="1002">
        <f t="shared" si="7"/>
        <v>8.9999999999999993E-3</v>
      </c>
      <c r="E52" s="703"/>
      <c r="F52" s="1675"/>
      <c r="G52" s="1000">
        <f t="shared" si="12"/>
        <v>8.9999999999999993E-3</v>
      </c>
      <c r="H52" s="1003">
        <f t="shared" si="8"/>
        <v>8.9999999999999993E-3</v>
      </c>
      <c r="I52" s="3069">
        <v>0.12</v>
      </c>
      <c r="J52" s="1001">
        <f t="shared" si="9"/>
        <v>1.7999999999999999E-2</v>
      </c>
      <c r="K52" s="1001">
        <f t="shared" si="10"/>
        <v>8.9999999999999993E-3</v>
      </c>
      <c r="L52" s="1001">
        <v>0</v>
      </c>
      <c r="M52" s="1001">
        <f t="shared" si="11"/>
        <v>-8.9999999999999993E-3</v>
      </c>
      <c r="N52" s="1001">
        <f t="shared" si="11"/>
        <v>-1.7999999999999999E-2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3445</v>
      </c>
      <c r="D53" s="1002">
        <f t="shared" si="7"/>
        <v>-3.7000000000000002E-3</v>
      </c>
      <c r="E53" s="703"/>
      <c r="F53" s="1675"/>
      <c r="G53" s="1000">
        <f t="shared" si="12"/>
        <v>3.7000000000000002E-3</v>
      </c>
      <c r="H53" s="1003">
        <f t="shared" si="8"/>
        <v>3.7000000000000002E-3</v>
      </c>
      <c r="I53" s="3069">
        <v>0.05</v>
      </c>
      <c r="J53" s="1001">
        <f t="shared" si="9"/>
        <v>7.4000000000000003E-3</v>
      </c>
      <c r="K53" s="1001">
        <f t="shared" si="10"/>
        <v>3.7000000000000002E-3</v>
      </c>
      <c r="L53" s="1001">
        <v>0</v>
      </c>
      <c r="M53" s="1001">
        <f t="shared" si="11"/>
        <v>-3.7000000000000002E-3</v>
      </c>
      <c r="N53" s="1001">
        <f t="shared" si="11"/>
        <v>-7.4000000000000003E-3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3445</v>
      </c>
      <c r="D54" s="1002">
        <f t="shared" si="7"/>
        <v>-6.0000000000000001E-3</v>
      </c>
      <c r="E54" s="703"/>
      <c r="F54" s="1675"/>
      <c r="G54" s="1000">
        <f t="shared" si="12"/>
        <v>6.0000000000000001E-3</v>
      </c>
      <c r="H54" s="1003">
        <f t="shared" si="8"/>
        <v>6.0000000000000001E-3</v>
      </c>
      <c r="I54" s="3069">
        <v>0.08</v>
      </c>
      <c r="J54" s="1001">
        <f t="shared" si="9"/>
        <v>1.2E-2</v>
      </c>
      <c r="K54" s="1001">
        <f t="shared" si="10"/>
        <v>6.0000000000000001E-3</v>
      </c>
      <c r="L54" s="1001">
        <v>0</v>
      </c>
      <c r="M54" s="1001">
        <f t="shared" si="11"/>
        <v>-6.0000000000000001E-3</v>
      </c>
      <c r="N54" s="1001">
        <f t="shared" si="11"/>
        <v>-1.2E-2</v>
      </c>
      <c r="AA54" s="1057"/>
      <c r="AB54" s="1057"/>
      <c r="AC54" s="1057"/>
      <c r="AD54" s="1057"/>
      <c r="AE54" s="1057"/>
      <c r="AF54" s="1057"/>
      <c r="AG54" s="1057"/>
      <c r="AH54" s="1057"/>
      <c r="AI54" s="1057"/>
      <c r="AJ54" s="1057"/>
      <c r="AK54" s="1057"/>
    </row>
    <row r="55" spans="1:37" s="1056" customFormat="1" ht="24">
      <c r="A55" s="1970" t="s">
        <v>2057</v>
      </c>
      <c r="B55" s="1975" t="s">
        <v>2058</v>
      </c>
      <c r="C55" s="1887" t="s">
        <v>3447</v>
      </c>
      <c r="D55" s="1002">
        <f t="shared" si="7"/>
        <v>3.7000000000000002E-3</v>
      </c>
      <c r="E55" s="703"/>
      <c r="F55" s="1675"/>
      <c r="G55" s="1000">
        <f t="shared" si="12"/>
        <v>3.7000000000000002E-3</v>
      </c>
      <c r="H55" s="1003">
        <f t="shared" si="8"/>
        <v>3.7000000000000002E-3</v>
      </c>
      <c r="I55" s="3069">
        <v>0.05</v>
      </c>
      <c r="J55" s="1001">
        <f t="shared" si="9"/>
        <v>7.4000000000000003E-3</v>
      </c>
      <c r="K55" s="1001">
        <f t="shared" si="10"/>
        <v>3.7000000000000002E-3</v>
      </c>
      <c r="L55" s="1001">
        <v>0</v>
      </c>
      <c r="M55" s="1001">
        <f t="shared" si="11"/>
        <v>-3.7000000000000002E-3</v>
      </c>
      <c r="N55" s="1001">
        <f t="shared" si="11"/>
        <v>-7.4000000000000003E-3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3445</v>
      </c>
      <c r="D56" s="1002">
        <f t="shared" si="7"/>
        <v>-3.7000000000000002E-3</v>
      </c>
      <c r="E56" s="703"/>
      <c r="F56" s="1675"/>
      <c r="G56" s="1000">
        <f t="shared" si="12"/>
        <v>3.7000000000000002E-3</v>
      </c>
      <c r="H56" s="1003">
        <f t="shared" si="8"/>
        <v>3.7000000000000002E-3</v>
      </c>
      <c r="I56" s="3069">
        <v>0.05</v>
      </c>
      <c r="J56" s="1001">
        <f t="shared" si="9"/>
        <v>7.4000000000000003E-3</v>
      </c>
      <c r="K56" s="1001">
        <f t="shared" si="10"/>
        <v>3.7000000000000002E-3</v>
      </c>
      <c r="L56" s="1001">
        <v>0</v>
      </c>
      <c r="M56" s="1001">
        <f t="shared" si="11"/>
        <v>-3.7000000000000002E-3</v>
      </c>
      <c r="N56" s="1001">
        <f t="shared" si="11"/>
        <v>-7.4000000000000003E-3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3446</v>
      </c>
      <c r="D57" s="1002">
        <f t="shared" si="7"/>
        <v>0</v>
      </c>
      <c r="E57" s="703"/>
      <c r="F57" s="1675"/>
      <c r="G57" s="1000">
        <f t="shared" si="12"/>
        <v>6.0000000000000001E-3</v>
      </c>
      <c r="H57" s="1003">
        <f t="shared" si="8"/>
        <v>6.0000000000000001E-3</v>
      </c>
      <c r="I57" s="3069">
        <v>0.08</v>
      </c>
      <c r="J57" s="1001">
        <f t="shared" si="9"/>
        <v>1.2E-2</v>
      </c>
      <c r="K57" s="1001">
        <f t="shared" si="10"/>
        <v>6.0000000000000001E-3</v>
      </c>
      <c r="L57" s="1001">
        <v>0</v>
      </c>
      <c r="M57" s="1001">
        <f t="shared" si="11"/>
        <v>-6.0000000000000001E-3</v>
      </c>
      <c r="N57" s="1001">
        <f t="shared" si="11"/>
        <v>-1.2E-2</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3447</v>
      </c>
      <c r="D58" s="1002">
        <f t="shared" si="7"/>
        <v>3.7000000000000002E-3</v>
      </c>
      <c r="E58" s="704"/>
      <c r="F58" s="1675"/>
      <c r="G58" s="1000">
        <f t="shared" si="12"/>
        <v>3.7000000000000002E-3</v>
      </c>
      <c r="H58" s="1003">
        <f t="shared" si="8"/>
        <v>3.7000000000000002E-3</v>
      </c>
      <c r="I58" s="3070">
        <v>0.05</v>
      </c>
      <c r="J58" s="1001">
        <f t="shared" si="9"/>
        <v>7.4000000000000003E-3</v>
      </c>
      <c r="K58" s="1001">
        <f t="shared" si="10"/>
        <v>3.7000000000000002E-3</v>
      </c>
      <c r="L58" s="1001">
        <v>0</v>
      </c>
      <c r="M58" s="1001">
        <f t="shared" si="11"/>
        <v>-3.7000000000000002E-3</v>
      </c>
      <c r="N58" s="1001">
        <f t="shared" si="11"/>
        <v>-7.4000000000000003E-3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3269</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3272</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3273</v>
      </c>
      <c r="B96" s="3087" t="s">
        <v>3284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3275</v>
      </c>
      <c r="B98" s="3088" t="s">
        <v>3285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3276</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3277</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3278</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6" t="s">
        <v>3293</v>
      </c>
      <c r="B103" s="3366"/>
      <c r="C103" s="3366"/>
      <c r="D103" s="3366"/>
      <c r="E103" s="3366"/>
      <c r="F103" s="3366"/>
      <c r="G103" s="3366"/>
      <c r="H103" s="3366"/>
      <c r="I103" s="3366"/>
      <c r="J103" s="3366"/>
      <c r="K103" s="1667"/>
      <c r="L103" s="1667"/>
      <c r="M103" s="1667"/>
      <c r="N103" s="1667"/>
    </row>
    <row r="104" spans="1:14">
      <c r="A104" s="3367" t="s">
        <v>3294</v>
      </c>
      <c r="B104" s="3367" t="s">
        <v>3295</v>
      </c>
      <c r="C104" s="3091" t="s">
        <v>3296</v>
      </c>
      <c r="D104" s="3092"/>
      <c r="E104" s="3092"/>
      <c r="F104" s="3092"/>
      <c r="G104" s="3092"/>
      <c r="H104" s="3092"/>
      <c r="I104" s="3092"/>
      <c r="J104" s="3093"/>
      <c r="K104" s="3094"/>
      <c r="L104" s="3094"/>
      <c r="M104" s="3094"/>
      <c r="N104" s="3094"/>
    </row>
    <row r="105" spans="1:14">
      <c r="A105" s="3367"/>
      <c r="B105" s="3367"/>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353"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5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5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5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5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54"/>
      <c r="B111" s="3095" t="s">
        <v>3267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55"/>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56" t="s">
        <v>3310</v>
      </c>
      <c r="B113" s="3356"/>
      <c r="C113" s="3356"/>
      <c r="D113" s="3356"/>
      <c r="E113" s="3356"/>
      <c r="F113" s="3356"/>
      <c r="G113" s="3356"/>
      <c r="H113" s="3356"/>
      <c r="I113" s="3356"/>
      <c r="J113" s="335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1</v>
      </c>
      <c r="C116" s="3100" t="s">
        <v>3312</v>
      </c>
      <c r="D116" s="3101">
        <f>SUMPRODUCT((A118:A122=F116)*(B117:M117=H116)*B118:M122)</f>
        <v>0.8306</v>
      </c>
      <c r="E116" s="162" t="s">
        <v>3313</v>
      </c>
      <c r="F116" s="3102" t="str">
        <f>E2</f>
        <v>商业</v>
      </c>
      <c r="G116" s="162" t="s">
        <v>3314</v>
      </c>
      <c r="H116" s="3102" t="str">
        <f>G2</f>
        <v>十级</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3328</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3329</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3330</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2612</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1" priority="6" stopIfTrue="1" operator="notEqual">
      <formula>"——"</formula>
    </cfRule>
  </conditionalFormatting>
  <conditionalFormatting sqref="F61">
    <cfRule type="cellIs" dxfId="120" priority="5" stopIfTrue="1" operator="notEqual">
      <formula>"——"</formula>
    </cfRule>
  </conditionalFormatting>
  <conditionalFormatting sqref="F72">
    <cfRule type="cellIs" dxfId="119" priority="4" stopIfTrue="1" operator="notEqual">
      <formula>"——"</formula>
    </cfRule>
  </conditionalFormatting>
  <conditionalFormatting sqref="F83">
    <cfRule type="cellIs" dxfId="118" priority="3" stopIfTrue="1" operator="notEqual">
      <formula>"——"</formula>
    </cfRule>
  </conditionalFormatting>
  <conditionalFormatting sqref="H50:H58 H61:H69 H72:H80 H83:H91">
    <cfRule type="cellIs" dxfId="117" priority="2" operator="notEqual">
      <formula>"——"</formula>
    </cfRule>
  </conditionalFormatting>
  <conditionalFormatting sqref="H93:H101">
    <cfRule type="cellIs" dxfId="116"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10" sqref="E10"/>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f ca="1">IF(D2="——",C40,C40+E2)</f>
        <v>2334</v>
      </c>
      <c r="C2" s="2596" t="s">
        <v>2316</v>
      </c>
      <c r="D2" s="3139" t="s">
        <v>43</v>
      </c>
      <c r="E2" s="3140"/>
      <c r="F2" s="2598"/>
      <c r="G2" s="2599"/>
      <c r="H2" s="2600"/>
      <c r="I2" s="2601"/>
      <c r="J2" s="3378" t="s">
        <v>2317</v>
      </c>
      <c r="K2" s="3379"/>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f ca="1">ROUND(B2*10000/B4,0)</f>
        <v>26290</v>
      </c>
      <c r="C3" s="2596" t="s">
        <v>2326</v>
      </c>
      <c r="D3" s="2596"/>
      <c r="E3" s="2597"/>
      <c r="F3" s="2598"/>
      <c r="G3" s="2599"/>
      <c r="H3" s="2600"/>
      <c r="I3" s="2601"/>
      <c r="J3" s="3380" t="s">
        <v>2327</v>
      </c>
      <c r="K3" s="3381"/>
      <c r="L3" s="2608"/>
      <c r="M3" s="2608"/>
      <c r="N3" s="2608"/>
      <c r="O3" s="2608"/>
      <c r="P3" s="2608"/>
      <c r="Q3" s="2609"/>
      <c r="R3" s="2610">
        <f>SUM(L3:Q3)</f>
        <v>0</v>
      </c>
      <c r="S3" s="2593"/>
      <c r="T3" s="2593"/>
      <c r="U3" s="2593"/>
      <c r="V3" s="2601"/>
    </row>
    <row r="4" spans="1:22" s="2605" customFormat="1" ht="13.15" customHeight="1">
      <c r="A4" s="2611" t="s">
        <v>2328</v>
      </c>
      <c r="B4" s="2612">
        <f>'数据-汇总表'!E31</f>
        <v>887.8</v>
      </c>
      <c r="C4" s="2596"/>
      <c r="D4" s="2596"/>
      <c r="E4" s="2597"/>
      <c r="F4" s="2598"/>
      <c r="G4" s="2599"/>
      <c r="H4" s="2600"/>
      <c r="I4" s="2601"/>
      <c r="J4" s="3380" t="s">
        <v>2329</v>
      </c>
      <c r="K4" s="3381"/>
      <c r="L4" s="2613"/>
      <c r="M4" s="2613"/>
      <c r="N4" s="2613"/>
      <c r="O4" s="2613"/>
      <c r="P4" s="2613"/>
      <c r="Q4" s="2614"/>
      <c r="R4" s="2615">
        <f>SUM(L4:Q4)</f>
        <v>0</v>
      </c>
      <c r="S4" s="2593"/>
      <c r="T4" s="2593"/>
      <c r="U4" s="2593"/>
      <c r="V4" s="2601"/>
    </row>
    <row r="5" spans="1:22" s="2605" customFormat="1" ht="13.15" customHeight="1" thickBot="1">
      <c r="A5" s="2616" t="s">
        <v>2330</v>
      </c>
      <c r="B5" s="2617">
        <f>'数据-汇总表'!D31</f>
        <v>6136</v>
      </c>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86" t="s">
        <v>2333</v>
      </c>
      <c r="B6" s="3387"/>
      <c r="C6" s="3388"/>
      <c r="D6" s="2622">
        <v>666</v>
      </c>
      <c r="E6" s="2623"/>
      <c r="F6" s="2624"/>
      <c r="G6" s="2625">
        <f>D6/'数据-汇总表'!E3/365*10000</f>
        <v>20.552574163624413</v>
      </c>
      <c r="H6" s="2600"/>
      <c r="I6" s="2601"/>
      <c r="J6" s="3372">
        <v>1</v>
      </c>
      <c r="K6" s="3373"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 ca="1">SUM(D9,D10,D11,D17,0)</f>
        <v>407</v>
      </c>
      <c r="E7" s="2632">
        <f ca="1">E9+E10+E11+E17</f>
        <v>0.61156156156156161</v>
      </c>
      <c r="F7" s="2633"/>
      <c r="G7" s="2634"/>
      <c r="H7" s="2600"/>
      <c r="I7" s="2601"/>
      <c r="J7" s="3372"/>
      <c r="K7" s="3374"/>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89" t="s">
        <v>2347</v>
      </c>
      <c r="C8" s="3390"/>
      <c r="D8" s="2641" t="s">
        <v>2348</v>
      </c>
      <c r="E8" s="2642" t="s">
        <v>2349</v>
      </c>
      <c r="F8" s="2643" t="s">
        <v>2350</v>
      </c>
      <c r="G8" s="2644"/>
      <c r="H8" s="2600"/>
      <c r="I8" s="2601"/>
      <c r="J8" s="3372"/>
      <c r="K8" s="3374"/>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89" t="s">
        <v>2353</v>
      </c>
      <c r="C9" s="3390"/>
      <c r="D9" s="2641">
        <f>ROUND(D6*E9,0)</f>
        <v>233</v>
      </c>
      <c r="E9" s="2645">
        <v>0.35</v>
      </c>
      <c r="F9" s="2646" t="s">
        <v>2354</v>
      </c>
      <c r="G9" s="2625"/>
      <c r="H9" s="2600"/>
      <c r="I9" s="2601"/>
      <c r="J9" s="3372"/>
      <c r="K9" s="3374"/>
      <c r="L9" s="2635" t="s">
        <v>2355</v>
      </c>
      <c r="M9" s="2636"/>
      <c r="N9" s="2612"/>
      <c r="O9" s="2637"/>
      <c r="P9" s="2637"/>
      <c r="Q9" s="2638">
        <v>365</v>
      </c>
      <c r="R9" s="2639">
        <f t="shared" si="0"/>
        <v>0</v>
      </c>
      <c r="S9" s="2593"/>
      <c r="T9" s="2593"/>
      <c r="U9" s="2593"/>
      <c r="V9" s="2601"/>
    </row>
    <row r="10" spans="1:22" s="2605" customFormat="1" ht="13.15" customHeight="1">
      <c r="A10" s="2640">
        <v>2</v>
      </c>
      <c r="B10" s="3389" t="s">
        <v>2356</v>
      </c>
      <c r="C10" s="3390"/>
      <c r="D10" s="2641">
        <f>ROUND(D6*E10,0)</f>
        <v>100</v>
      </c>
      <c r="E10" s="2645">
        <v>0.15</v>
      </c>
      <c r="F10" s="2646" t="s">
        <v>2357</v>
      </c>
      <c r="G10" s="2625"/>
      <c r="H10" s="2600"/>
      <c r="I10" s="2601"/>
      <c r="J10" s="3372"/>
      <c r="K10" s="3374"/>
      <c r="L10" s="2635" t="s">
        <v>2358</v>
      </c>
      <c r="M10" s="2636"/>
      <c r="N10" s="2612"/>
      <c r="O10" s="2637"/>
      <c r="P10" s="2637"/>
      <c r="Q10" s="2638">
        <v>365</v>
      </c>
      <c r="R10" s="2639">
        <f t="shared" si="0"/>
        <v>0</v>
      </c>
      <c r="S10" s="2593"/>
      <c r="T10" s="2593"/>
      <c r="U10" s="2593"/>
      <c r="V10" s="2601"/>
    </row>
    <row r="11" spans="1:22" s="2605" customFormat="1" ht="13.15" customHeight="1">
      <c r="A11" s="2640">
        <v>3</v>
      </c>
      <c r="B11" s="3389" t="s">
        <v>2359</v>
      </c>
      <c r="C11" s="3390"/>
      <c r="D11" s="2641">
        <f ca="1">D12+D14+D15+D16</f>
        <v>41</v>
      </c>
      <c r="E11" s="2647">
        <f ca="1">D11/D6</f>
        <v>6.1561561561561562E-2</v>
      </c>
      <c r="F11" s="2643"/>
      <c r="G11" s="2644"/>
      <c r="H11" s="2600"/>
      <c r="I11" s="2601"/>
      <c r="J11" s="3372"/>
      <c r="K11" s="3374"/>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82" t="s">
        <v>2362</v>
      </c>
      <c r="C12" s="3383"/>
      <c r="D12" s="2649">
        <f ca="1">ROUND(D13*1.2%*(1-30%),0)</f>
        <v>3</v>
      </c>
      <c r="E12" s="2650">
        <v>1.2E-2</v>
      </c>
      <c r="F12" s="2643" t="s">
        <v>2363</v>
      </c>
      <c r="G12" s="2644"/>
      <c r="H12" s="2600"/>
      <c r="I12" s="2601"/>
      <c r="J12" s="3372"/>
      <c r="K12" s="3374"/>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f ca="1">成本法!C49</f>
        <v>363</v>
      </c>
      <c r="E13" s="2654"/>
      <c r="F13" s="2643"/>
      <c r="G13" s="2644"/>
      <c r="H13" s="2600"/>
      <c r="I13" s="2601"/>
      <c r="J13" s="3372"/>
      <c r="K13" s="3374"/>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82" t="s">
        <v>2368</v>
      </c>
      <c r="C14" s="3383"/>
      <c r="D14" s="2649">
        <f>ROUND(E14*B5/10000,0)</f>
        <v>1</v>
      </c>
      <c r="E14" s="2638">
        <v>1.5</v>
      </c>
      <c r="F14" s="2643" t="s">
        <v>2369</v>
      </c>
      <c r="G14" s="2644"/>
      <c r="H14" s="2600"/>
      <c r="I14" s="2601"/>
      <c r="J14" s="3372"/>
      <c r="K14" s="3375"/>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82" t="s">
        <v>2372</v>
      </c>
      <c r="C15" s="3383"/>
      <c r="D15" s="2649">
        <f>ROUND(D6*E15,0)</f>
        <v>37</v>
      </c>
      <c r="E15" s="2650">
        <v>5.5E-2</v>
      </c>
      <c r="F15" s="2643" t="s">
        <v>2373</v>
      </c>
      <c r="G15" s="2625"/>
      <c r="H15" s="2600"/>
      <c r="I15" s="2601"/>
      <c r="J15" s="3372">
        <v>2</v>
      </c>
      <c r="K15" s="3373"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82" t="s">
        <v>2381</v>
      </c>
      <c r="C16" s="3383"/>
      <c r="D16" s="2660">
        <f>D6*E16</f>
        <v>0</v>
      </c>
      <c r="E16" s="2661"/>
      <c r="F16" s="2646" t="s">
        <v>2382</v>
      </c>
      <c r="G16" s="2625"/>
      <c r="H16" s="2600"/>
      <c r="I16" s="2601"/>
      <c r="J16" s="3372"/>
      <c r="K16" s="3374"/>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84" t="s">
        <v>2384</v>
      </c>
      <c r="C17" s="3385"/>
      <c r="D17" s="2663">
        <f>ROUND(D6*E17,0)</f>
        <v>33</v>
      </c>
      <c r="E17" s="2664">
        <v>0.05</v>
      </c>
      <c r="F17" s="2665" t="s">
        <v>2385</v>
      </c>
      <c r="G17" s="2625"/>
      <c r="H17" s="2600"/>
      <c r="I17" s="2601"/>
      <c r="J17" s="3372"/>
      <c r="K17" s="3374"/>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33</v>
      </c>
      <c r="E18" s="2667">
        <v>0.05</v>
      </c>
      <c r="F18" s="2668" t="s">
        <v>2388</v>
      </c>
      <c r="G18" s="2625"/>
      <c r="H18" s="2600"/>
      <c r="I18" s="2601"/>
      <c r="J18" s="3372"/>
      <c r="K18" s="3374"/>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72"/>
      <c r="K19" s="3375"/>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2">
        <v>3</v>
      </c>
      <c r="K20" s="3373"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72"/>
      <c r="K21" s="3374"/>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72"/>
      <c r="K22" s="3374"/>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666</v>
      </c>
      <c r="D23" s="2684">
        <f>C23*(1+D24)</f>
        <v>666</v>
      </c>
      <c r="E23" s="2685">
        <f>D23*(1+E24)</f>
        <v>666</v>
      </c>
      <c r="F23" s="2686"/>
      <c r="G23" s="2687"/>
      <c r="H23" s="2600"/>
      <c r="I23" s="2601"/>
      <c r="J23" s="3372"/>
      <c r="K23" s="3374"/>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72"/>
      <c r="K24" s="3375"/>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 ca="1">D7</f>
        <v>407</v>
      </c>
      <c r="D26" s="2684">
        <f>D23*D27</f>
        <v>0</v>
      </c>
      <c r="E26" s="2685">
        <f>E23*E27</f>
        <v>0</v>
      </c>
      <c r="F26" s="2686"/>
      <c r="G26" s="2687"/>
      <c r="H26" s="2600"/>
      <c r="I26" s="2601"/>
      <c r="J26" s="3376">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f ca="1">E7</f>
        <v>0.61156156156156161</v>
      </c>
      <c r="D27" s="2691"/>
      <c r="E27" s="2692"/>
      <c r="F27" s="2693"/>
      <c r="G27" s="2687"/>
      <c r="H27" s="2707"/>
      <c r="I27" s="2699"/>
      <c r="J27" s="337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33.300000000000004</v>
      </c>
      <c r="D29" s="2684">
        <f>D23*C30</f>
        <v>33.300000000000004</v>
      </c>
      <c r="E29" s="2685">
        <f>E23*C30</f>
        <v>33.300000000000004</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0.05</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 ca="1">C23-C26-C29</f>
        <v>225.7</v>
      </c>
      <c r="D32" s="2684">
        <f>D23-D26-D29</f>
        <v>632.70000000000005</v>
      </c>
      <c r="E32" s="2685">
        <f>E23-E26-E29</f>
        <v>632.70000000000005</v>
      </c>
      <c r="F32" s="2686"/>
      <c r="G32" s="2593"/>
      <c r="H32" s="2600"/>
      <c r="I32" s="2601"/>
      <c r="J32" s="3378" t="s">
        <v>2317</v>
      </c>
      <c r="K32" s="3379"/>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f ca="1">C32/'数据-汇总表'!E3/365*10000</f>
        <v>6.9650390221171623</v>
      </c>
      <c r="H33" s="2707"/>
      <c r="I33" s="2699"/>
      <c r="J33" s="3380" t="s">
        <v>2327</v>
      </c>
      <c r="K33" s="3381"/>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v>0.06</v>
      </c>
      <c r="D34" s="2727">
        <f>C34</f>
        <v>0.06</v>
      </c>
      <c r="E34" s="2728">
        <f>C34</f>
        <v>0.06</v>
      </c>
      <c r="F34" s="2686"/>
      <c r="G34" s="2593"/>
      <c r="H34" s="2707"/>
      <c r="I34" s="2699"/>
      <c r="J34" s="3380" t="s">
        <v>2329</v>
      </c>
      <c r="K34" s="338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v>1.4999999999999999E-2</v>
      </c>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f>项目基本情况!D15</f>
        <v>14.43</v>
      </c>
      <c r="D36" s="2737"/>
      <c r="E36" s="2738"/>
      <c r="F36" s="2739">
        <f>C36+D36+E36</f>
        <v>14.43</v>
      </c>
      <c r="G36" s="2593"/>
      <c r="H36" s="2600"/>
      <c r="I36" s="2601"/>
      <c r="J36" s="3372">
        <v>1</v>
      </c>
      <c r="K36" s="3373"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72"/>
      <c r="K37" s="3374"/>
      <c r="L37" s="2635"/>
      <c r="M37" s="2636"/>
      <c r="N37" s="2612"/>
      <c r="O37" s="2637"/>
      <c r="P37" s="2637"/>
      <c r="Q37" s="2638"/>
      <c r="R37" s="2639"/>
      <c r="S37" s="2593"/>
      <c r="T37" s="2593" t="s">
        <v>2345</v>
      </c>
      <c r="U37" s="2593"/>
      <c r="V37" s="2601"/>
    </row>
    <row r="38" spans="1:23" s="2605" customFormat="1" ht="13.15" customHeight="1">
      <c r="A38" s="2681">
        <v>8</v>
      </c>
      <c r="B38" s="2682"/>
      <c r="C38" s="2641">
        <f ca="1">ROUND(C32*(1-((1+C35)/(1+C34))^C36)/(C34-C35),0)</f>
        <v>2334</v>
      </c>
      <c r="D38" s="2641">
        <f>IF(D23=0,0,ROUND(D32*(1-((1+D35)/(1+D34))^D36)/(D34-D35),0))</f>
        <v>0</v>
      </c>
      <c r="E38" s="2641">
        <f>IF(E23=0,0,ROUND(E32*(1-((1+E35)/(1+E34))^E36)/(E34-E35),0))</f>
        <v>0</v>
      </c>
      <c r="F38" s="2686"/>
      <c r="G38" s="2593"/>
      <c r="H38" s="2600"/>
      <c r="I38" s="2601"/>
      <c r="J38" s="3372"/>
      <c r="K38" s="3374"/>
      <c r="L38" s="2635"/>
      <c r="M38" s="2636"/>
      <c r="N38" s="2612"/>
      <c r="O38" s="2637"/>
      <c r="P38" s="2637"/>
      <c r="Q38" s="2638"/>
      <c r="R38" s="2639"/>
      <c r="S38" s="2593"/>
      <c r="T38" s="2593" t="s">
        <v>2352</v>
      </c>
      <c r="U38" s="2593"/>
      <c r="V38" s="2601"/>
    </row>
    <row r="39" spans="1:23" s="2605" customFormat="1" ht="13.15" customHeight="1">
      <c r="A39" s="2681">
        <v>9</v>
      </c>
      <c r="B39" s="2682" t="s">
        <v>2430</v>
      </c>
      <c r="C39" s="2649">
        <f ca="1">C38</f>
        <v>2334</v>
      </c>
      <c r="D39" s="2682">
        <f>D38/(1+D34)^C36</f>
        <v>0</v>
      </c>
      <c r="E39" s="2682">
        <f>E38/(1+E34)^(C36+D36)</f>
        <v>0</v>
      </c>
      <c r="F39" s="2686"/>
      <c r="G39" s="2601"/>
      <c r="H39" s="2600"/>
      <c r="I39" s="2601"/>
      <c r="J39" s="3372"/>
      <c r="K39" s="3374"/>
      <c r="L39" s="2635"/>
      <c r="M39" s="2636"/>
      <c r="N39" s="2612"/>
      <c r="O39" s="2637"/>
      <c r="P39" s="2637"/>
      <c r="Q39" s="2638"/>
      <c r="R39" s="2639"/>
      <c r="S39" s="2593"/>
      <c r="T39" s="2593"/>
      <c r="U39" s="2593"/>
      <c r="V39" s="2601"/>
    </row>
    <row r="40" spans="1:23" s="2605" customFormat="1" ht="13.15" customHeight="1">
      <c r="A40" s="2740">
        <v>10</v>
      </c>
      <c r="B40" s="2682" t="s">
        <v>2431</v>
      </c>
      <c r="C40" s="2741">
        <f ca="1">C39+D39+E39</f>
        <v>2334</v>
      </c>
      <c r="D40" s="2742"/>
      <c r="E40" s="2742"/>
      <c r="F40" s="2743"/>
      <c r="G40" s="2593"/>
      <c r="H40" s="2600"/>
      <c r="I40" s="2601"/>
      <c r="J40" s="3372"/>
      <c r="K40" s="3375"/>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f ca="1">ROUND(C40*10000/B4,0)</f>
        <v>26290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6">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7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1" t="s">
        <v>1654</v>
      </c>
      <c r="C5" s="3392"/>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887.8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1" t="s">
        <v>1667</v>
      </c>
      <c r="D4" s="3412"/>
      <c r="E4" s="3413" t="s">
        <v>1668</v>
      </c>
      <c r="F4" s="3414"/>
      <c r="G4" s="3411" t="s">
        <v>1669</v>
      </c>
      <c r="H4" s="3412"/>
      <c r="I4" s="3411" t="s">
        <v>1670</v>
      </c>
      <c r="J4" s="3412"/>
      <c r="K4" s="1744" t="s">
        <v>1671</v>
      </c>
      <c r="L4" s="2487"/>
      <c r="M4" s="2488"/>
      <c r="N4" s="2488"/>
      <c r="O4" s="2488"/>
      <c r="P4" s="3415" t="s">
        <v>1672</v>
      </c>
      <c r="Q4" s="3416"/>
      <c r="R4" s="3421" t="s">
        <v>1668</v>
      </c>
      <c r="S4" s="3422"/>
      <c r="T4" s="3421" t="s">
        <v>1669</v>
      </c>
      <c r="U4" s="3422"/>
      <c r="V4" s="3397" t="s">
        <v>1670</v>
      </c>
      <c r="W4" s="3397"/>
      <c r="X4" s="1265"/>
      <c r="Y4" s="3421" t="s">
        <v>1672</v>
      </c>
      <c r="Z4" s="3422"/>
      <c r="AA4" s="3408" t="s">
        <v>1668</v>
      </c>
      <c r="AB4" s="3408" t="s">
        <v>1669</v>
      </c>
      <c r="AC4" s="3408" t="s">
        <v>1670</v>
      </c>
    </row>
    <row r="5" spans="1:29" ht="15">
      <c r="A5" s="348"/>
      <c r="B5" s="349"/>
      <c r="C5" s="3429" t="s">
        <v>1673</v>
      </c>
      <c r="D5" s="3430"/>
      <c r="E5" s="3436" t="s">
        <v>1674</v>
      </c>
      <c r="F5" s="3437"/>
      <c r="G5" s="3429" t="s">
        <v>1675</v>
      </c>
      <c r="H5" s="3430"/>
      <c r="I5" s="3429" t="s">
        <v>1676</v>
      </c>
      <c r="J5" s="3430"/>
      <c r="K5" s="1745"/>
      <c r="L5" s="2487"/>
      <c r="M5" s="2488"/>
      <c r="N5" s="2488"/>
      <c r="O5" s="2488"/>
      <c r="P5" s="3417"/>
      <c r="Q5" s="3418"/>
      <c r="R5" s="3423"/>
      <c r="S5" s="3424"/>
      <c r="T5" s="3423"/>
      <c r="U5" s="3424"/>
      <c r="V5" s="3397"/>
      <c r="W5" s="3397"/>
      <c r="X5" s="1265"/>
      <c r="Y5" s="3423"/>
      <c r="Z5" s="3424"/>
      <c r="AA5" s="3409"/>
      <c r="AB5" s="3409"/>
      <c r="AC5" s="3409"/>
    </row>
    <row r="6" spans="1:29" ht="15.75" thickBot="1">
      <c r="A6" s="350"/>
      <c r="B6" s="351"/>
      <c r="C6" s="3427" t="s">
        <v>1677</v>
      </c>
      <c r="D6" s="3428"/>
      <c r="E6" s="3434" t="s">
        <v>1677</v>
      </c>
      <c r="F6" s="3435"/>
      <c r="G6" s="3427" t="s">
        <v>1677</v>
      </c>
      <c r="H6" s="3428"/>
      <c r="I6" s="3427" t="s">
        <v>1677</v>
      </c>
      <c r="J6" s="3428"/>
      <c r="K6" s="1745" t="s">
        <v>1678</v>
      </c>
      <c r="L6" s="2487"/>
      <c r="M6" s="2488"/>
      <c r="N6" s="2488"/>
      <c r="O6" s="2488"/>
      <c r="P6" s="3419"/>
      <c r="Q6" s="3420"/>
      <c r="R6" s="3423"/>
      <c r="S6" s="3424"/>
      <c r="T6" s="3425"/>
      <c r="U6" s="3426"/>
      <c r="V6" s="3397"/>
      <c r="W6" s="3397"/>
      <c r="X6" s="1265"/>
      <c r="Y6" s="3425"/>
      <c r="Z6" s="3426"/>
      <c r="AA6" s="3410"/>
      <c r="AB6" s="3410"/>
      <c r="AC6" s="3410"/>
    </row>
    <row r="7" spans="1:29" s="102" customFormat="1" ht="15.75" thickBot="1">
      <c r="A7" s="352" t="s">
        <v>1679</v>
      </c>
      <c r="B7" s="353"/>
      <c r="C7" s="354">
        <f>'数据-取费表'!B2</f>
        <v>45743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31" t="s">
        <v>1680</v>
      </c>
      <c r="Q7" s="3433"/>
      <c r="R7" s="664" t="s">
        <v>20</v>
      </c>
      <c r="S7" s="665">
        <f t="shared" ref="S7:S15" si="0">F7</f>
        <v>0</v>
      </c>
      <c r="T7" s="664" t="s">
        <v>20</v>
      </c>
      <c r="U7" s="665">
        <f t="shared" ref="U7:U15" si="1">H7</f>
        <v>0</v>
      </c>
      <c r="V7" s="664" t="s">
        <v>20</v>
      </c>
      <c r="W7" s="665">
        <f t="shared" ref="W7:W15" si="2">J7</f>
        <v>0</v>
      </c>
      <c r="X7" s="666"/>
      <c r="Y7" s="3431" t="s">
        <v>1680</v>
      </c>
      <c r="Z7" s="3432"/>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31" t="s">
        <v>1683</v>
      </c>
      <c r="Q8" s="3432"/>
      <c r="R8" s="664" t="s">
        <v>20</v>
      </c>
      <c r="S8" s="665">
        <f t="shared" si="0"/>
        <v>100</v>
      </c>
      <c r="T8" s="664" t="s">
        <v>20</v>
      </c>
      <c r="U8" s="665">
        <f t="shared" si="1"/>
        <v>100</v>
      </c>
      <c r="V8" s="664" t="s">
        <v>20</v>
      </c>
      <c r="W8" s="665">
        <f t="shared" si="2"/>
        <v>100</v>
      </c>
      <c r="X8" s="666"/>
      <c r="Y8" s="3431" t="s">
        <v>1683</v>
      </c>
      <c r="Z8" s="343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7"/>
      <c r="Q11" s="530" t="str">
        <f t="shared" si="6"/>
        <v>容积率</v>
      </c>
      <c r="R11" s="664" t="s">
        <v>18</v>
      </c>
      <c r="S11" s="665" t="e">
        <f t="shared" si="0"/>
        <v>#N/A</v>
      </c>
      <c r="T11" s="664" t="s">
        <v>18</v>
      </c>
      <c r="U11" s="665" t="e">
        <f t="shared" si="1"/>
        <v>#N/A</v>
      </c>
      <c r="V11" s="664" t="s">
        <v>18</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7"/>
      <c r="Q12" s="530">
        <f t="shared" si="6"/>
        <v>111</v>
      </c>
      <c r="R12" s="664" t="s">
        <v>18</v>
      </c>
      <c r="S12" s="665">
        <f t="shared" si="0"/>
        <v>100</v>
      </c>
      <c r="T12" s="664" t="s">
        <v>18</v>
      </c>
      <c r="U12" s="665">
        <f t="shared" si="1"/>
        <v>100</v>
      </c>
      <c r="V12" s="664" t="s">
        <v>18</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7"/>
      <c r="Q13" s="530">
        <f t="shared" si="6"/>
        <v>111</v>
      </c>
      <c r="R13" s="664" t="s">
        <v>18</v>
      </c>
      <c r="S13" s="665">
        <f t="shared" si="0"/>
        <v>100</v>
      </c>
      <c r="T13" s="664" t="s">
        <v>18</v>
      </c>
      <c r="U13" s="665">
        <f t="shared" si="1"/>
        <v>100</v>
      </c>
      <c r="V13" s="664" t="s">
        <v>18</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7"/>
      <c r="Q14" s="530">
        <f t="shared" si="6"/>
        <v>111</v>
      </c>
      <c r="R14" s="664" t="s">
        <v>18</v>
      </c>
      <c r="S14" s="665">
        <f t="shared" si="0"/>
        <v>100</v>
      </c>
      <c r="T14" s="664" t="s">
        <v>18</v>
      </c>
      <c r="U14" s="665">
        <f t="shared" si="1"/>
        <v>100</v>
      </c>
      <c r="V14" s="664" t="s">
        <v>18</v>
      </c>
      <c r="W14" s="665">
        <f t="shared" si="2"/>
        <v>100</v>
      </c>
      <c r="X14" s="666"/>
      <c r="Y14" s="325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5" t="s">
        <v>1691</v>
      </c>
      <c r="Q15" s="1263" t="str">
        <f t="shared" si="6"/>
        <v>居住社区成熟度</v>
      </c>
      <c r="R15" s="667" t="s">
        <v>18</v>
      </c>
      <c r="S15" s="668">
        <f t="shared" si="0"/>
        <v>100</v>
      </c>
      <c r="T15" s="667" t="s">
        <v>18</v>
      </c>
      <c r="U15" s="668">
        <f t="shared" si="1"/>
        <v>100</v>
      </c>
      <c r="V15" s="667" t="s">
        <v>18</v>
      </c>
      <c r="W15" s="668">
        <f t="shared" si="2"/>
        <v>100</v>
      </c>
      <c r="X15" s="1265"/>
      <c r="Y15" s="339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6"/>
      <c r="Q16" s="1263"/>
      <c r="R16" s="667"/>
      <c r="S16" s="668"/>
      <c r="T16" s="667"/>
      <c r="U16" s="668"/>
      <c r="V16" s="667"/>
      <c r="W16" s="668"/>
      <c r="X16" s="1265"/>
      <c r="Y16" s="339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6"/>
      <c r="Q17" s="1263" t="str">
        <f>B17</f>
        <v>交通便捷度</v>
      </c>
      <c r="R17" s="667" t="s">
        <v>18</v>
      </c>
      <c r="S17" s="668">
        <f>F17</f>
        <v>100</v>
      </c>
      <c r="T17" s="667" t="s">
        <v>18</v>
      </c>
      <c r="U17" s="668">
        <f>H17</f>
        <v>100</v>
      </c>
      <c r="V17" s="667" t="s">
        <v>18</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6"/>
      <c r="Q18" s="1263"/>
      <c r="R18" s="667"/>
      <c r="S18" s="668"/>
      <c r="T18" s="667"/>
      <c r="U18" s="668"/>
      <c r="V18" s="667"/>
      <c r="W18" s="668"/>
      <c r="X18" s="1265"/>
      <c r="Y18" s="339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6"/>
      <c r="Q19" s="1263" t="str">
        <f>B19</f>
        <v>公共配套设施</v>
      </c>
      <c r="R19" s="667" t="s">
        <v>18</v>
      </c>
      <c r="S19" s="668">
        <f>F19</f>
        <v>100</v>
      </c>
      <c r="T19" s="667" t="s">
        <v>18</v>
      </c>
      <c r="U19" s="668">
        <f>H19</f>
        <v>100</v>
      </c>
      <c r="V19" s="667" t="s">
        <v>18</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6"/>
      <c r="Q20" s="1263"/>
      <c r="R20" s="667"/>
      <c r="S20" s="668"/>
      <c r="T20" s="667"/>
      <c r="U20" s="668"/>
      <c r="V20" s="667"/>
      <c r="W20" s="668"/>
      <c r="X20" s="1265"/>
      <c r="Y20" s="339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6"/>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6"/>
      <c r="Q22" s="1263"/>
      <c r="R22" s="667"/>
      <c r="S22" s="668"/>
      <c r="T22" s="667"/>
      <c r="U22" s="668"/>
      <c r="V22" s="667"/>
      <c r="W22" s="668"/>
      <c r="X22" s="1265"/>
      <c r="Y22" s="339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6"/>
      <c r="Q23" s="1263" t="str">
        <f>B23</f>
        <v>自然及人文环境</v>
      </c>
      <c r="R23" s="667" t="s">
        <v>18</v>
      </c>
      <c r="S23" s="668">
        <f>F23</f>
        <v>100</v>
      </c>
      <c r="T23" s="667" t="s">
        <v>18</v>
      </c>
      <c r="U23" s="668">
        <f>H23</f>
        <v>100</v>
      </c>
      <c r="V23" s="667" t="s">
        <v>18</v>
      </c>
      <c r="W23" s="668">
        <f>J23</f>
        <v>100</v>
      </c>
      <c r="X23" s="1265"/>
      <c r="Y23" s="33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6"/>
      <c r="Q24" s="1263"/>
      <c r="R24" s="667"/>
      <c r="S24" s="668"/>
      <c r="T24" s="667"/>
      <c r="U24" s="668"/>
      <c r="V24" s="667"/>
      <c r="W24" s="668"/>
      <c r="X24" s="1265"/>
      <c r="Y24" s="339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6"/>
      <c r="Q26" s="1263" t="str">
        <f t="shared" si="11"/>
        <v>朝向</v>
      </c>
      <c r="R26" s="667" t="s">
        <v>18</v>
      </c>
      <c r="S26" s="668">
        <f t="shared" si="12"/>
        <v>100</v>
      </c>
      <c r="T26" s="667" t="s">
        <v>18</v>
      </c>
      <c r="U26" s="668">
        <f t="shared" si="13"/>
        <v>100</v>
      </c>
      <c r="V26" s="667" t="s">
        <v>18</v>
      </c>
      <c r="W26" s="668">
        <f t="shared" si="14"/>
        <v>100</v>
      </c>
      <c r="X26" s="1265"/>
      <c r="Y26" s="33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6"/>
      <c r="Q27" s="530">
        <f t="shared" si="11"/>
        <v>111</v>
      </c>
      <c r="R27" s="664" t="s">
        <v>18</v>
      </c>
      <c r="S27" s="665">
        <f t="shared" si="12"/>
        <v>100</v>
      </c>
      <c r="T27" s="664" t="s">
        <v>18</v>
      </c>
      <c r="U27" s="665">
        <f t="shared" si="13"/>
        <v>100</v>
      </c>
      <c r="V27" s="664" t="s">
        <v>18</v>
      </c>
      <c r="W27" s="665">
        <f t="shared" si="14"/>
        <v>100</v>
      </c>
      <c r="X27" s="666"/>
      <c r="Y27" s="33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6"/>
      <c r="Q28" s="1263">
        <f t="shared" si="11"/>
        <v>111</v>
      </c>
      <c r="R28" s="667" t="s">
        <v>18</v>
      </c>
      <c r="S28" s="668">
        <f t="shared" si="12"/>
        <v>100</v>
      </c>
      <c r="T28" s="667" t="s">
        <v>18</v>
      </c>
      <c r="U28" s="668">
        <f t="shared" si="13"/>
        <v>100</v>
      </c>
      <c r="V28" s="667" t="s">
        <v>18</v>
      </c>
      <c r="W28" s="668">
        <f t="shared" si="14"/>
        <v>100</v>
      </c>
      <c r="X28" s="1265"/>
      <c r="Y28" s="33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6"/>
      <c r="Q29" s="1263">
        <f t="shared" si="11"/>
        <v>111</v>
      </c>
      <c r="R29" s="667" t="s">
        <v>18</v>
      </c>
      <c r="S29" s="668">
        <f t="shared" si="12"/>
        <v>100</v>
      </c>
      <c r="T29" s="667" t="s">
        <v>18</v>
      </c>
      <c r="U29" s="668">
        <f t="shared" si="13"/>
        <v>100</v>
      </c>
      <c r="V29" s="667" t="s">
        <v>18</v>
      </c>
      <c r="W29" s="668">
        <f t="shared" si="14"/>
        <v>100</v>
      </c>
      <c r="X29" s="1265"/>
      <c r="Y29" s="33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6"/>
      <c r="Q30" s="1263">
        <f t="shared" si="11"/>
        <v>111</v>
      </c>
      <c r="R30" s="667" t="s">
        <v>18</v>
      </c>
      <c r="S30" s="668">
        <f t="shared" si="12"/>
        <v>100</v>
      </c>
      <c r="T30" s="667" t="s">
        <v>18</v>
      </c>
      <c r="U30" s="668">
        <f t="shared" si="13"/>
        <v>100</v>
      </c>
      <c r="V30" s="667" t="s">
        <v>18</v>
      </c>
      <c r="W30" s="668">
        <f t="shared" si="14"/>
        <v>100</v>
      </c>
      <c r="X30" s="1265"/>
      <c r="Y30" s="339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6"/>
      <c r="Q31" s="1263">
        <f t="shared" si="11"/>
        <v>111</v>
      </c>
      <c r="R31" s="667" t="s">
        <v>18</v>
      </c>
      <c r="S31" s="668">
        <f t="shared" si="12"/>
        <v>100</v>
      </c>
      <c r="T31" s="667" t="s">
        <v>18</v>
      </c>
      <c r="U31" s="668">
        <f t="shared" si="13"/>
        <v>100</v>
      </c>
      <c r="V31" s="667" t="s">
        <v>18</v>
      </c>
      <c r="W31" s="668">
        <f t="shared" si="14"/>
        <v>100</v>
      </c>
      <c r="X31" s="1265"/>
      <c r="Y31" s="339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0" t="s">
        <v>1696</v>
      </c>
      <c r="Q32" s="1263" t="str">
        <f t="shared" si="11"/>
        <v>建筑类型</v>
      </c>
      <c r="R32" s="667" t="s">
        <v>18</v>
      </c>
      <c r="S32" s="668">
        <f t="shared" si="12"/>
        <v>100</v>
      </c>
      <c r="T32" s="667" t="s">
        <v>18</v>
      </c>
      <c r="U32" s="668">
        <f t="shared" si="13"/>
        <v>100</v>
      </c>
      <c r="V32" s="667" t="s">
        <v>18</v>
      </c>
      <c r="W32" s="668">
        <f t="shared" si="14"/>
        <v>100</v>
      </c>
      <c r="X32" s="1265"/>
      <c r="Y32" s="340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1"/>
      <c r="Q33" s="531" t="str">
        <f t="shared" si="11"/>
        <v>项目建筑规模</v>
      </c>
      <c r="R33" s="669" t="s">
        <v>18</v>
      </c>
      <c r="S33" s="670" t="e">
        <f t="shared" si="12"/>
        <v>#N/A</v>
      </c>
      <c r="T33" s="669" t="s">
        <v>18</v>
      </c>
      <c r="U33" s="670" t="e">
        <f t="shared" si="13"/>
        <v>#N/A</v>
      </c>
      <c r="V33" s="669" t="s">
        <v>18</v>
      </c>
      <c r="W33" s="670" t="e">
        <f t="shared" si="14"/>
        <v>#N/A</v>
      </c>
      <c r="X33" s="671"/>
      <c r="Y33" s="340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1"/>
      <c r="Q34" s="1263" t="str">
        <f t="shared" si="11"/>
        <v>建筑结构</v>
      </c>
      <c r="R34" s="667" t="s">
        <v>18</v>
      </c>
      <c r="S34" s="668">
        <f t="shared" si="12"/>
        <v>100</v>
      </c>
      <c r="T34" s="667" t="s">
        <v>18</v>
      </c>
      <c r="U34" s="668">
        <f t="shared" si="13"/>
        <v>100</v>
      </c>
      <c r="V34" s="667" t="s">
        <v>18</v>
      </c>
      <c r="W34" s="668">
        <f t="shared" si="14"/>
        <v>100</v>
      </c>
      <c r="X34" s="1265"/>
      <c r="Y34" s="340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1"/>
      <c r="Q35" s="1263" t="str">
        <f t="shared" si="11"/>
        <v>建筑品质</v>
      </c>
      <c r="R35" s="667" t="s">
        <v>18</v>
      </c>
      <c r="S35" s="668">
        <f t="shared" si="12"/>
        <v>100</v>
      </c>
      <c r="T35" s="667" t="s">
        <v>18</v>
      </c>
      <c r="U35" s="668">
        <f t="shared" si="13"/>
        <v>100</v>
      </c>
      <c r="V35" s="667" t="s">
        <v>18</v>
      </c>
      <c r="W35" s="668">
        <f t="shared" si="14"/>
        <v>100</v>
      </c>
      <c r="X35" s="1265"/>
      <c r="Y35" s="340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1"/>
      <c r="Q36" s="1263" t="str">
        <f t="shared" si="11"/>
        <v>公共部分装修</v>
      </c>
      <c r="R36" s="667" t="s">
        <v>18</v>
      </c>
      <c r="S36" s="668">
        <f t="shared" si="12"/>
        <v>100</v>
      </c>
      <c r="T36" s="667" t="s">
        <v>18</v>
      </c>
      <c r="U36" s="668">
        <f t="shared" si="13"/>
        <v>100</v>
      </c>
      <c r="V36" s="667" t="s">
        <v>18</v>
      </c>
      <c r="W36" s="668">
        <f t="shared" si="14"/>
        <v>100</v>
      </c>
      <c r="X36" s="1265"/>
      <c r="Y36" s="340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1"/>
      <c r="Q37" s="530" t="str">
        <f t="shared" si="11"/>
        <v>成新度</v>
      </c>
      <c r="R37" s="664" t="s">
        <v>18</v>
      </c>
      <c r="S37" s="665" t="e">
        <f t="shared" si="12"/>
        <v>#N/A</v>
      </c>
      <c r="T37" s="664" t="s">
        <v>18</v>
      </c>
      <c r="U37" s="665" t="e">
        <f t="shared" si="13"/>
        <v>#N/A</v>
      </c>
      <c r="V37" s="664" t="s">
        <v>18</v>
      </c>
      <c r="W37" s="665" t="e">
        <f t="shared" si="14"/>
        <v>#N/A</v>
      </c>
      <c r="X37" s="666"/>
      <c r="Y37" s="340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1" t="s">
        <v>1696</v>
      </c>
      <c r="Q38" s="1263" t="str">
        <f t="shared" si="11"/>
        <v>物业管理</v>
      </c>
      <c r="R38" s="667" t="s">
        <v>18</v>
      </c>
      <c r="S38" s="668">
        <f t="shared" si="12"/>
        <v>100</v>
      </c>
      <c r="T38" s="667" t="s">
        <v>18</v>
      </c>
      <c r="U38" s="668">
        <f t="shared" si="13"/>
        <v>100</v>
      </c>
      <c r="V38" s="667" t="s">
        <v>18</v>
      </c>
      <c r="W38" s="668">
        <f t="shared" si="14"/>
        <v>100</v>
      </c>
      <c r="X38" s="1265"/>
      <c r="Y38" s="340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1"/>
      <c r="Q39" s="1263" t="str">
        <f t="shared" si="11"/>
        <v>市政基础设施</v>
      </c>
      <c r="R39" s="667" t="s">
        <v>18</v>
      </c>
      <c r="S39" s="668">
        <f t="shared" si="12"/>
        <v>100</v>
      </c>
      <c r="T39" s="667" t="s">
        <v>18</v>
      </c>
      <c r="U39" s="668">
        <f t="shared" si="13"/>
        <v>100</v>
      </c>
      <c r="V39" s="667" t="s">
        <v>18</v>
      </c>
      <c r="W39" s="668">
        <f t="shared" si="14"/>
        <v>100</v>
      </c>
      <c r="X39" s="1265"/>
      <c r="Y39" s="340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1"/>
      <c r="Q40" s="1263" t="str">
        <f t="shared" si="11"/>
        <v>房型</v>
      </c>
      <c r="R40" s="667" t="s">
        <v>18</v>
      </c>
      <c r="S40" s="668">
        <f t="shared" si="12"/>
        <v>100</v>
      </c>
      <c r="T40" s="667" t="s">
        <v>18</v>
      </c>
      <c r="U40" s="668">
        <f t="shared" si="13"/>
        <v>100</v>
      </c>
      <c r="V40" s="667" t="s">
        <v>18</v>
      </c>
      <c r="W40" s="668">
        <f t="shared" si="14"/>
        <v>100</v>
      </c>
      <c r="X40" s="1265"/>
      <c r="Y40" s="340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1"/>
      <c r="Q41" s="531" t="str">
        <f t="shared" si="11"/>
        <v>单套/主力户型建筑面积</v>
      </c>
      <c r="R41" s="669" t="s">
        <v>18</v>
      </c>
      <c r="S41" s="670">
        <f t="shared" si="12"/>
        <v>100</v>
      </c>
      <c r="T41" s="669" t="s">
        <v>18</v>
      </c>
      <c r="U41" s="670">
        <f t="shared" si="13"/>
        <v>100</v>
      </c>
      <c r="V41" s="669" t="s">
        <v>18</v>
      </c>
      <c r="W41" s="670">
        <f t="shared" si="14"/>
        <v>100</v>
      </c>
      <c r="X41" s="671"/>
      <c r="Y41" s="340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1"/>
      <c r="Q42" s="1263" t="str">
        <f t="shared" si="11"/>
        <v>内部装修</v>
      </c>
      <c r="R42" s="667" t="s">
        <v>18</v>
      </c>
      <c r="S42" s="668">
        <f t="shared" si="12"/>
        <v>100</v>
      </c>
      <c r="T42" s="667" t="s">
        <v>18</v>
      </c>
      <c r="U42" s="668">
        <f t="shared" si="13"/>
        <v>100</v>
      </c>
      <c r="V42" s="667" t="s">
        <v>18</v>
      </c>
      <c r="W42" s="668">
        <f t="shared" si="14"/>
        <v>100</v>
      </c>
      <c r="X42" s="1265"/>
      <c r="Y42" s="340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1"/>
      <c r="Q43" s="1263" t="str">
        <f t="shared" si="11"/>
        <v>内部装修维护情况</v>
      </c>
      <c r="R43" s="667" t="s">
        <v>18</v>
      </c>
      <c r="S43" s="668">
        <f t="shared" si="12"/>
        <v>100</v>
      </c>
      <c r="T43" s="667" t="s">
        <v>18</v>
      </c>
      <c r="U43" s="668">
        <f t="shared" si="13"/>
        <v>100</v>
      </c>
      <c r="V43" s="667" t="s">
        <v>18</v>
      </c>
      <c r="W43" s="668">
        <f t="shared" si="14"/>
        <v>100</v>
      </c>
      <c r="X43" s="1265"/>
      <c r="Y43" s="34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1"/>
      <c r="Q44" s="530">
        <f t="shared" si="11"/>
        <v>111</v>
      </c>
      <c r="R44" s="664" t="s">
        <v>18</v>
      </c>
      <c r="S44" s="665">
        <f t="shared" si="12"/>
        <v>100</v>
      </c>
      <c r="T44" s="664" t="s">
        <v>18</v>
      </c>
      <c r="U44" s="665">
        <f t="shared" si="13"/>
        <v>100</v>
      </c>
      <c r="V44" s="664" t="s">
        <v>18</v>
      </c>
      <c r="W44" s="665">
        <f t="shared" si="14"/>
        <v>100</v>
      </c>
      <c r="X44" s="666"/>
      <c r="Y44" s="34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1"/>
      <c r="Q45" s="1263">
        <f t="shared" si="11"/>
        <v>111</v>
      </c>
      <c r="R45" s="667" t="s">
        <v>18</v>
      </c>
      <c r="S45" s="668">
        <f t="shared" si="12"/>
        <v>100</v>
      </c>
      <c r="T45" s="667" t="s">
        <v>18</v>
      </c>
      <c r="U45" s="668">
        <f t="shared" si="13"/>
        <v>100</v>
      </c>
      <c r="V45" s="667" t="s">
        <v>18</v>
      </c>
      <c r="W45" s="668">
        <f t="shared" si="14"/>
        <v>100</v>
      </c>
      <c r="X45" s="1265"/>
      <c r="Y45" s="340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2"/>
      <c r="Q46" s="1263">
        <f t="shared" si="11"/>
        <v>111</v>
      </c>
      <c r="R46" s="667" t="s">
        <v>17</v>
      </c>
      <c r="S46" s="668">
        <f t="shared" si="12"/>
        <v>100</v>
      </c>
      <c r="T46" s="667" t="s">
        <v>17</v>
      </c>
      <c r="U46" s="668">
        <f t="shared" si="13"/>
        <v>100</v>
      </c>
      <c r="V46" s="667" t="s">
        <v>17</v>
      </c>
      <c r="W46" s="668">
        <f t="shared" si="14"/>
        <v>100</v>
      </c>
      <c r="X46" s="1265"/>
      <c r="Y46" s="340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6" t="str">
        <f>A47</f>
        <v>成交单价（元/平方米）</v>
      </c>
      <c r="Q47" s="3396"/>
      <c r="R47" s="3397">
        <f>E47</f>
        <v>0</v>
      </c>
      <c r="S47" s="3397"/>
      <c r="T47" s="3397">
        <f>G47</f>
        <v>0</v>
      </c>
      <c r="U47" s="3397"/>
      <c r="V47" s="3397">
        <f>I47</f>
        <v>0</v>
      </c>
      <c r="W47" s="339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6" t="str">
        <f>A48</f>
        <v>比较价值（元/平方米）</v>
      </c>
      <c r="Q48" s="3396"/>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887.8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1" t="s">
        <v>1770</v>
      </c>
      <c r="D4" s="3412"/>
      <c r="E4" s="3413" t="s">
        <v>1771</v>
      </c>
      <c r="F4" s="3414"/>
      <c r="G4" s="3411" t="s">
        <v>1772</v>
      </c>
      <c r="H4" s="3412"/>
      <c r="I4" s="3411" t="s">
        <v>1773</v>
      </c>
      <c r="J4" s="3412"/>
      <c r="K4" s="537" t="s">
        <v>1774</v>
      </c>
      <c r="L4" s="2487"/>
      <c r="M4" s="2488"/>
      <c r="N4" s="2488"/>
      <c r="O4" s="2488"/>
      <c r="P4" s="3415" t="s">
        <v>1775</v>
      </c>
      <c r="Q4" s="3416"/>
      <c r="R4" s="3421" t="s">
        <v>1771</v>
      </c>
      <c r="S4" s="3422"/>
      <c r="T4" s="3421" t="s">
        <v>1772</v>
      </c>
      <c r="U4" s="3422"/>
      <c r="V4" s="3397" t="s">
        <v>1773</v>
      </c>
      <c r="W4" s="3397"/>
      <c r="X4" s="1265"/>
      <c r="Y4" s="3421" t="s">
        <v>1775</v>
      </c>
      <c r="Z4" s="3422"/>
      <c r="AA4" s="3408" t="s">
        <v>1771</v>
      </c>
      <c r="AB4" s="3397" t="s">
        <v>1772</v>
      </c>
      <c r="AC4" s="3408" t="s">
        <v>1773</v>
      </c>
    </row>
    <row r="5" spans="1:29" ht="15">
      <c r="A5" s="348"/>
      <c r="B5" s="349"/>
      <c r="C5" s="3429" t="s">
        <v>1673</v>
      </c>
      <c r="D5" s="3430"/>
      <c r="E5" s="3436" t="s">
        <v>1674</v>
      </c>
      <c r="F5" s="3437"/>
      <c r="G5" s="3429" t="s">
        <v>1675</v>
      </c>
      <c r="H5" s="3430"/>
      <c r="I5" s="3429" t="s">
        <v>1676</v>
      </c>
      <c r="J5" s="3430"/>
      <c r="K5" s="537"/>
      <c r="L5" s="2487"/>
      <c r="M5" s="2488"/>
      <c r="N5" s="2488"/>
      <c r="O5" s="2488"/>
      <c r="P5" s="3417"/>
      <c r="Q5" s="3418"/>
      <c r="R5" s="3423"/>
      <c r="S5" s="3424"/>
      <c r="T5" s="3423"/>
      <c r="U5" s="3424"/>
      <c r="V5" s="3397"/>
      <c r="W5" s="3397"/>
      <c r="X5" s="1265"/>
      <c r="Y5" s="3423"/>
      <c r="Z5" s="3424"/>
      <c r="AA5" s="3409"/>
      <c r="AB5" s="3397"/>
      <c r="AC5" s="3409"/>
    </row>
    <row r="6" spans="1:29" ht="15.75" thickBot="1">
      <c r="A6" s="350"/>
      <c r="B6" s="351"/>
      <c r="C6" s="3427" t="s">
        <v>1677</v>
      </c>
      <c r="D6" s="3428"/>
      <c r="E6" s="3434" t="s">
        <v>1677</v>
      </c>
      <c r="F6" s="3435"/>
      <c r="G6" s="3427" t="s">
        <v>1677</v>
      </c>
      <c r="H6" s="3428"/>
      <c r="I6" s="3427" t="s">
        <v>1677</v>
      </c>
      <c r="J6" s="3428"/>
      <c r="K6" s="537" t="s">
        <v>1678</v>
      </c>
      <c r="L6" s="2487"/>
      <c r="M6" s="2488"/>
      <c r="N6" s="2488"/>
      <c r="O6" s="2488"/>
      <c r="P6" s="3419"/>
      <c r="Q6" s="3420"/>
      <c r="R6" s="3423"/>
      <c r="S6" s="3424"/>
      <c r="T6" s="3425"/>
      <c r="U6" s="3426"/>
      <c r="V6" s="3397"/>
      <c r="W6" s="3397"/>
      <c r="X6" s="1265"/>
      <c r="Y6" s="3425"/>
      <c r="Z6" s="3426"/>
      <c r="AA6" s="3410"/>
      <c r="AB6" s="3397"/>
      <c r="AC6" s="3410"/>
    </row>
    <row r="7" spans="1:29" s="102" customFormat="1" ht="15.75" thickBot="1">
      <c r="A7" s="352" t="s">
        <v>1679</v>
      </c>
      <c r="B7" s="353"/>
      <c r="C7" s="354">
        <f>'数据-取费表'!B2</f>
        <v>45743</v>
      </c>
      <c r="D7" s="355">
        <v>100</v>
      </c>
      <c r="E7" s="356"/>
      <c r="F7" s="357">
        <f>SUMIF(58:58,YEAR(E7)&amp;"-"&amp;MONTH(E7),59:59)</f>
        <v>0</v>
      </c>
      <c r="G7" s="356"/>
      <c r="H7" s="355">
        <f>SUMIF(58:58,YEAR(G7)&amp;"-"&amp;MONTH(G7),59:59)</f>
        <v>0</v>
      </c>
      <c r="I7" s="356"/>
      <c r="J7" s="355">
        <f>SUMIF(58:58,YEAR(I7)&amp;"-"&amp;MONTH(I7),59:59)</f>
        <v>0</v>
      </c>
      <c r="K7" s="38"/>
      <c r="L7" s="2489"/>
      <c r="M7" s="2440"/>
      <c r="N7" s="2440"/>
      <c r="O7" s="2440"/>
      <c r="P7" s="3431" t="s">
        <v>1680</v>
      </c>
      <c r="Q7" s="3433"/>
      <c r="R7" s="664" t="s">
        <v>14</v>
      </c>
      <c r="S7" s="665">
        <f t="shared" ref="S7:S15" si="0">F7</f>
        <v>0</v>
      </c>
      <c r="T7" s="664" t="s">
        <v>14</v>
      </c>
      <c r="U7" s="665">
        <f t="shared" ref="U7:U15" si="1">H7</f>
        <v>0</v>
      </c>
      <c r="V7" s="664" t="s">
        <v>14</v>
      </c>
      <c r="W7" s="665">
        <f t="shared" ref="W7:W15" si="2">J7</f>
        <v>0</v>
      </c>
      <c r="X7" s="666"/>
      <c r="Y7" s="3431" t="s">
        <v>1680</v>
      </c>
      <c r="Z7" s="343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31" t="s">
        <v>1683</v>
      </c>
      <c r="Q8" s="3432"/>
      <c r="R8" s="664" t="s">
        <v>14</v>
      </c>
      <c r="S8" s="665">
        <f t="shared" si="0"/>
        <v>100</v>
      </c>
      <c r="T8" s="664" t="s">
        <v>14</v>
      </c>
      <c r="U8" s="665">
        <f t="shared" si="1"/>
        <v>100</v>
      </c>
      <c r="V8" s="664" t="s">
        <v>14</v>
      </c>
      <c r="W8" s="665">
        <f t="shared" si="2"/>
        <v>100</v>
      </c>
      <c r="X8" s="666"/>
      <c r="Y8" s="3431" t="s">
        <v>1683</v>
      </c>
      <c r="Z8" s="343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5" t="s">
        <v>1691</v>
      </c>
      <c r="Q15" s="1263" t="str">
        <f t="shared" si="6"/>
        <v>商业繁华度</v>
      </c>
      <c r="R15" s="667" t="s">
        <v>14</v>
      </c>
      <c r="S15" s="668">
        <f t="shared" si="0"/>
        <v>100</v>
      </c>
      <c r="T15" s="667" t="s">
        <v>14</v>
      </c>
      <c r="U15" s="668">
        <f t="shared" si="1"/>
        <v>100</v>
      </c>
      <c r="V15" s="667" t="s">
        <v>14</v>
      </c>
      <c r="W15" s="668">
        <f t="shared" si="2"/>
        <v>100</v>
      </c>
      <c r="X15" s="1265"/>
      <c r="Y15" s="339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6"/>
      <c r="Q16" s="1263"/>
      <c r="R16" s="667"/>
      <c r="S16" s="668"/>
      <c r="T16" s="667"/>
      <c r="U16" s="668"/>
      <c r="V16" s="667"/>
      <c r="W16" s="668"/>
      <c r="X16" s="1265"/>
      <c r="Y16" s="339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6"/>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6"/>
      <c r="Q18" s="1263"/>
      <c r="R18" s="667"/>
      <c r="S18" s="668"/>
      <c r="T18" s="667"/>
      <c r="U18" s="668"/>
      <c r="V18" s="667"/>
      <c r="W18" s="668"/>
      <c r="X18" s="1265"/>
      <c r="Y18" s="3399"/>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6"/>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6"/>
      <c r="Q20" s="1263"/>
      <c r="R20" s="667"/>
      <c r="S20" s="668"/>
      <c r="T20" s="667"/>
      <c r="U20" s="668"/>
      <c r="V20" s="667"/>
      <c r="W20" s="668"/>
      <c r="X20" s="1265"/>
      <c r="Y20" s="339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6"/>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6"/>
      <c r="Q22" s="1263"/>
      <c r="R22" s="667"/>
      <c r="S22" s="668"/>
      <c r="T22" s="667"/>
      <c r="U22" s="668"/>
      <c r="V22" s="667"/>
      <c r="W22" s="668"/>
      <c r="X22" s="1265"/>
      <c r="Y22" s="3399"/>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6"/>
      <c r="Q23" s="1263" t="str">
        <f>B23</f>
        <v>自然及人文环境</v>
      </c>
      <c r="R23" s="667" t="s">
        <v>14</v>
      </c>
      <c r="S23" s="668">
        <f>F23</f>
        <v>100</v>
      </c>
      <c r="T23" s="667" t="s">
        <v>14</v>
      </c>
      <c r="U23" s="668">
        <f>H23</f>
        <v>100</v>
      </c>
      <c r="V23" s="667" t="s">
        <v>14</v>
      </c>
      <c r="W23" s="668">
        <f>J23</f>
        <v>100</v>
      </c>
      <c r="X23" s="1265"/>
      <c r="Y23" s="339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6"/>
      <c r="Q24" s="1263"/>
      <c r="R24" s="667"/>
      <c r="S24" s="668"/>
      <c r="T24" s="667"/>
      <c r="U24" s="668"/>
      <c r="V24" s="667"/>
      <c r="W24" s="668"/>
      <c r="X24" s="1265"/>
      <c r="Y24" s="339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6"/>
      <c r="Q25" s="1263" t="str">
        <f t="shared" ref="Q25:Q46" si="11">B25</f>
        <v>临街状况</v>
      </c>
      <c r="R25" s="667" t="s">
        <v>14</v>
      </c>
      <c r="S25" s="668">
        <f>F25</f>
        <v>100</v>
      </c>
      <c r="T25" s="667" t="s">
        <v>14</v>
      </c>
      <c r="U25" s="668">
        <f>H25</f>
        <v>100</v>
      </c>
      <c r="V25" s="667" t="s">
        <v>14</v>
      </c>
      <c r="W25" s="668">
        <f>J25</f>
        <v>100</v>
      </c>
      <c r="X25" s="1265"/>
      <c r="Y25" s="339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6"/>
      <c r="Q26" s="1263" t="str">
        <f t="shared" si="11"/>
        <v>平面位置/可视性</v>
      </c>
      <c r="R26" s="667" t="s">
        <v>14</v>
      </c>
      <c r="S26" s="668">
        <f>F26</f>
        <v>100</v>
      </c>
      <c r="T26" s="667" t="s">
        <v>14</v>
      </c>
      <c r="U26" s="668">
        <f>H26</f>
        <v>100</v>
      </c>
      <c r="V26" s="667" t="s">
        <v>14</v>
      </c>
      <c r="W26" s="668">
        <f>J26</f>
        <v>100</v>
      </c>
      <c r="X26" s="1265"/>
      <c r="Y26" s="339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6"/>
      <c r="Q27" s="530" t="str">
        <f t="shared" si="11"/>
        <v>人流量</v>
      </c>
      <c r="R27" s="664" t="s">
        <v>14</v>
      </c>
      <c r="S27" s="665">
        <f>F27</f>
        <v>100</v>
      </c>
      <c r="T27" s="664" t="s">
        <v>14</v>
      </c>
      <c r="U27" s="665">
        <f>H27</f>
        <v>100</v>
      </c>
      <c r="V27" s="664" t="s">
        <v>14</v>
      </c>
      <c r="W27" s="665">
        <f>J27</f>
        <v>100</v>
      </c>
      <c r="X27" s="666"/>
      <c r="Y27" s="339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6"/>
      <c r="Q29" s="1263">
        <f t="shared" si="11"/>
        <v>111</v>
      </c>
      <c r="R29" s="667" t="s">
        <v>14</v>
      </c>
      <c r="S29" s="668">
        <f t="shared" si="12"/>
        <v>100</v>
      </c>
      <c r="T29" s="667" t="s">
        <v>14</v>
      </c>
      <c r="U29" s="668">
        <f t="shared" si="13"/>
        <v>100</v>
      </c>
      <c r="V29" s="667" t="s">
        <v>14</v>
      </c>
      <c r="W29" s="668">
        <f t="shared" si="14"/>
        <v>100</v>
      </c>
      <c r="X29" s="1265"/>
      <c r="Y29" s="33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6"/>
      <c r="Q30" s="1263">
        <f t="shared" si="11"/>
        <v>111</v>
      </c>
      <c r="R30" s="667" t="s">
        <v>14</v>
      </c>
      <c r="S30" s="668">
        <f t="shared" si="12"/>
        <v>100</v>
      </c>
      <c r="T30" s="667" t="s">
        <v>14</v>
      </c>
      <c r="U30" s="668">
        <f t="shared" si="13"/>
        <v>100</v>
      </c>
      <c r="V30" s="667" t="s">
        <v>14</v>
      </c>
      <c r="W30" s="668">
        <f t="shared" si="14"/>
        <v>100</v>
      </c>
      <c r="X30" s="1265"/>
      <c r="Y30" s="339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6"/>
      <c r="Q31" s="1263">
        <f t="shared" si="11"/>
        <v>111</v>
      </c>
      <c r="R31" s="667" t="s">
        <v>14</v>
      </c>
      <c r="S31" s="668">
        <f t="shared" si="12"/>
        <v>100</v>
      </c>
      <c r="T31" s="667" t="s">
        <v>14</v>
      </c>
      <c r="U31" s="668">
        <f t="shared" si="13"/>
        <v>100</v>
      </c>
      <c r="V31" s="667" t="s">
        <v>14</v>
      </c>
      <c r="W31" s="668">
        <f t="shared" si="14"/>
        <v>100</v>
      </c>
      <c r="X31" s="1265"/>
      <c r="Y31" s="339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0" t="s">
        <v>1696</v>
      </c>
      <c r="Q32" s="1263" t="str">
        <f t="shared" si="11"/>
        <v>商业类型</v>
      </c>
      <c r="R32" s="667" t="s">
        <v>14</v>
      </c>
      <c r="S32" s="668">
        <f t="shared" si="12"/>
        <v>100</v>
      </c>
      <c r="T32" s="667" t="s">
        <v>14</v>
      </c>
      <c r="U32" s="668">
        <f t="shared" si="13"/>
        <v>100</v>
      </c>
      <c r="V32" s="667" t="s">
        <v>14</v>
      </c>
      <c r="W32" s="668">
        <f t="shared" si="14"/>
        <v>100</v>
      </c>
      <c r="X32" s="1265"/>
      <c r="Y32" s="340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1"/>
      <c r="Q33" s="531" t="str">
        <f t="shared" si="11"/>
        <v>项目建筑规模</v>
      </c>
      <c r="R33" s="669" t="s">
        <v>14</v>
      </c>
      <c r="S33" s="670" t="e">
        <f t="shared" si="12"/>
        <v>#N/A</v>
      </c>
      <c r="T33" s="669" t="s">
        <v>14</v>
      </c>
      <c r="U33" s="670" t="e">
        <f t="shared" si="13"/>
        <v>#N/A</v>
      </c>
      <c r="V33" s="669" t="s">
        <v>14</v>
      </c>
      <c r="W33" s="670" t="e">
        <f t="shared" si="14"/>
        <v>#N/A</v>
      </c>
      <c r="X33" s="671"/>
      <c r="Y33" s="340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1"/>
      <c r="Q34" s="1263" t="str">
        <f t="shared" si="11"/>
        <v>建筑结构</v>
      </c>
      <c r="R34" s="667" t="s">
        <v>14</v>
      </c>
      <c r="S34" s="668">
        <f t="shared" si="12"/>
        <v>100</v>
      </c>
      <c r="T34" s="667" t="s">
        <v>14</v>
      </c>
      <c r="U34" s="668">
        <f t="shared" si="13"/>
        <v>100</v>
      </c>
      <c r="V34" s="667" t="s">
        <v>14</v>
      </c>
      <c r="W34" s="668">
        <f t="shared" si="14"/>
        <v>100</v>
      </c>
      <c r="X34" s="1265"/>
      <c r="Y34" s="340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1"/>
      <c r="Q35" s="1263" t="str">
        <f t="shared" si="11"/>
        <v>公共部分装修</v>
      </c>
      <c r="R35" s="667" t="s">
        <v>14</v>
      </c>
      <c r="S35" s="668">
        <f t="shared" si="12"/>
        <v>100</v>
      </c>
      <c r="T35" s="667" t="s">
        <v>14</v>
      </c>
      <c r="U35" s="668">
        <f t="shared" si="13"/>
        <v>100</v>
      </c>
      <c r="V35" s="667" t="s">
        <v>14</v>
      </c>
      <c r="W35" s="668">
        <f t="shared" si="14"/>
        <v>100</v>
      </c>
      <c r="X35" s="1265"/>
      <c r="Y35" s="340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1"/>
      <c r="Q36" s="1263" t="str">
        <f t="shared" si="11"/>
        <v>成新度</v>
      </c>
      <c r="R36" s="667" t="s">
        <v>14</v>
      </c>
      <c r="S36" s="668" t="e">
        <f t="shared" si="12"/>
        <v>#N/A</v>
      </c>
      <c r="T36" s="667" t="s">
        <v>14</v>
      </c>
      <c r="U36" s="668" t="e">
        <f t="shared" si="13"/>
        <v>#N/A</v>
      </c>
      <c r="V36" s="667" t="s">
        <v>14</v>
      </c>
      <c r="W36" s="668" t="e">
        <f t="shared" si="14"/>
        <v>#N/A</v>
      </c>
      <c r="X36" s="1265"/>
      <c r="Y36" s="340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1"/>
      <c r="Q37" s="530" t="str">
        <f t="shared" si="11"/>
        <v>市政基础设施</v>
      </c>
      <c r="R37" s="664" t="s">
        <v>14</v>
      </c>
      <c r="S37" s="665">
        <f t="shared" si="12"/>
        <v>100</v>
      </c>
      <c r="T37" s="664" t="s">
        <v>14</v>
      </c>
      <c r="U37" s="665">
        <f t="shared" si="13"/>
        <v>100</v>
      </c>
      <c r="V37" s="664" t="s">
        <v>14</v>
      </c>
      <c r="W37" s="665">
        <f t="shared" si="14"/>
        <v>100</v>
      </c>
      <c r="X37" s="666"/>
      <c r="Y37" s="340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1" t="s">
        <v>1696</v>
      </c>
      <c r="Q38" s="1263" t="str">
        <f t="shared" si="11"/>
        <v>业态</v>
      </c>
      <c r="R38" s="667" t="s">
        <v>14</v>
      </c>
      <c r="S38" s="668">
        <f t="shared" si="12"/>
        <v>100</v>
      </c>
      <c r="T38" s="667" t="s">
        <v>14</v>
      </c>
      <c r="U38" s="668">
        <f t="shared" si="13"/>
        <v>100</v>
      </c>
      <c r="V38" s="667" t="s">
        <v>14</v>
      </c>
      <c r="W38" s="668">
        <f t="shared" si="14"/>
        <v>100</v>
      </c>
      <c r="X38" s="1265"/>
      <c r="Y38" s="340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1"/>
      <c r="Q39" s="1263" t="str">
        <f t="shared" si="11"/>
        <v>层高</v>
      </c>
      <c r="R39" s="667" t="s">
        <v>14</v>
      </c>
      <c r="S39" s="668">
        <f t="shared" si="12"/>
        <v>100</v>
      </c>
      <c r="T39" s="667" t="s">
        <v>14</v>
      </c>
      <c r="U39" s="668">
        <f t="shared" si="13"/>
        <v>100</v>
      </c>
      <c r="V39" s="667" t="s">
        <v>14</v>
      </c>
      <c r="W39" s="668">
        <f t="shared" si="14"/>
        <v>100</v>
      </c>
      <c r="X39" s="1265"/>
      <c r="Y39" s="340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1"/>
      <c r="Q40" s="1263" t="str">
        <f t="shared" si="11"/>
        <v>单套建筑面积</v>
      </c>
      <c r="R40" s="667" t="s">
        <v>14</v>
      </c>
      <c r="S40" s="668">
        <f t="shared" si="12"/>
        <v>100</v>
      </c>
      <c r="T40" s="667" t="s">
        <v>14</v>
      </c>
      <c r="U40" s="668">
        <f t="shared" si="13"/>
        <v>100</v>
      </c>
      <c r="V40" s="667" t="s">
        <v>14</v>
      </c>
      <c r="W40" s="668">
        <f t="shared" si="14"/>
        <v>100</v>
      </c>
      <c r="X40" s="1265"/>
      <c r="Y40" s="340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1"/>
      <c r="Q41" s="531" t="str">
        <f t="shared" si="11"/>
        <v>进深比</v>
      </c>
      <c r="R41" s="669" t="s">
        <v>14</v>
      </c>
      <c r="S41" s="670">
        <f t="shared" si="12"/>
        <v>100</v>
      </c>
      <c r="T41" s="669" t="s">
        <v>14</v>
      </c>
      <c r="U41" s="670">
        <f t="shared" si="13"/>
        <v>100</v>
      </c>
      <c r="V41" s="669" t="s">
        <v>14</v>
      </c>
      <c r="W41" s="670">
        <f t="shared" si="14"/>
        <v>100</v>
      </c>
      <c r="X41" s="671"/>
      <c r="Y41" s="340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1"/>
      <c r="Q42" s="1263" t="str">
        <f t="shared" si="11"/>
        <v>内部装修</v>
      </c>
      <c r="R42" s="667" t="s">
        <v>14</v>
      </c>
      <c r="S42" s="668">
        <f t="shared" si="12"/>
        <v>100</v>
      </c>
      <c r="T42" s="667" t="s">
        <v>14</v>
      </c>
      <c r="U42" s="668">
        <f t="shared" si="13"/>
        <v>100</v>
      </c>
      <c r="V42" s="667" t="s">
        <v>14</v>
      </c>
      <c r="W42" s="668">
        <f t="shared" si="14"/>
        <v>100</v>
      </c>
      <c r="X42" s="1265"/>
      <c r="Y42" s="3403"/>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1"/>
      <c r="Q43" s="1263" t="str">
        <f t="shared" si="11"/>
        <v>内部装修维护情况</v>
      </c>
      <c r="R43" s="667" t="s">
        <v>14</v>
      </c>
      <c r="S43" s="668">
        <f t="shared" si="12"/>
        <v>100</v>
      </c>
      <c r="T43" s="667" t="s">
        <v>14</v>
      </c>
      <c r="U43" s="668">
        <f t="shared" si="13"/>
        <v>100</v>
      </c>
      <c r="V43" s="667" t="s">
        <v>14</v>
      </c>
      <c r="W43" s="668">
        <f t="shared" si="14"/>
        <v>100</v>
      </c>
      <c r="X43" s="1265"/>
      <c r="Y43" s="340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1"/>
      <c r="Q44" s="530">
        <f t="shared" si="11"/>
        <v>111</v>
      </c>
      <c r="R44" s="664" t="s">
        <v>14</v>
      </c>
      <c r="S44" s="665">
        <f t="shared" si="12"/>
        <v>100</v>
      </c>
      <c r="T44" s="664" t="s">
        <v>14</v>
      </c>
      <c r="U44" s="665">
        <f t="shared" si="13"/>
        <v>100</v>
      </c>
      <c r="V44" s="664" t="s">
        <v>14</v>
      </c>
      <c r="W44" s="665">
        <f t="shared" si="14"/>
        <v>100</v>
      </c>
      <c r="X44" s="666"/>
      <c r="Y44" s="34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1"/>
      <c r="Q45" s="1263">
        <f t="shared" si="11"/>
        <v>111</v>
      </c>
      <c r="R45" s="667" t="s">
        <v>14</v>
      </c>
      <c r="S45" s="668">
        <f t="shared" si="12"/>
        <v>100</v>
      </c>
      <c r="T45" s="667" t="s">
        <v>14</v>
      </c>
      <c r="U45" s="668">
        <f t="shared" si="13"/>
        <v>100</v>
      </c>
      <c r="V45" s="667" t="s">
        <v>14</v>
      </c>
      <c r="W45" s="668">
        <f t="shared" si="14"/>
        <v>100</v>
      </c>
      <c r="X45" s="1265"/>
      <c r="Y45" s="340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2"/>
      <c r="Q46" s="1263">
        <f t="shared" si="11"/>
        <v>111</v>
      </c>
      <c r="R46" s="667" t="s">
        <v>14</v>
      </c>
      <c r="S46" s="668">
        <f t="shared" si="12"/>
        <v>100</v>
      </c>
      <c r="T46" s="667" t="s">
        <v>14</v>
      </c>
      <c r="U46" s="668">
        <f t="shared" si="13"/>
        <v>100</v>
      </c>
      <c r="V46" s="667" t="s">
        <v>14</v>
      </c>
      <c r="W46" s="668">
        <f t="shared" si="14"/>
        <v>100</v>
      </c>
      <c r="X46" s="1265"/>
      <c r="Y46" s="3404"/>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96" t="str">
        <f>A47</f>
        <v>成交单价（元/平方米）</v>
      </c>
      <c r="Q47" s="3396"/>
      <c r="R47" s="3397">
        <f>E47</f>
        <v>0</v>
      </c>
      <c r="S47" s="3397"/>
      <c r="T47" s="3397">
        <f>G47</f>
        <v>0</v>
      </c>
      <c r="U47" s="3397"/>
      <c r="V47" s="3397">
        <f>I47</f>
        <v>0</v>
      </c>
      <c r="W47" s="3397"/>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6" t="str">
        <f>A48</f>
        <v>比较价值（元/平方米）</v>
      </c>
      <c r="Q48" s="3396"/>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估价对象为北京市房地产，为所有。根据《国有土地使用证》[]，估价对象（分摊）出让国有建设用地使用权面积为6136平方米，建筑面积为887.8平方米。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估价对象为北京市房地产,属开发建设的，该项目尚在开发建设中。根据《国有土地使用证》[]，估价对象（分摊）出让国有建设用地使用权面积为6136平方米，规划建筑面积为887.8平方米。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2025年3月27日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887.8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1" t="s">
        <v>1770</v>
      </c>
      <c r="D4" s="3412"/>
      <c r="E4" s="3413" t="s">
        <v>1771</v>
      </c>
      <c r="F4" s="3414"/>
      <c r="G4" s="3411" t="s">
        <v>1772</v>
      </c>
      <c r="H4" s="3412"/>
      <c r="I4" s="3411" t="s">
        <v>1773</v>
      </c>
      <c r="J4" s="3412"/>
      <c r="K4" s="537" t="s">
        <v>1774</v>
      </c>
      <c r="L4" s="2487"/>
      <c r="M4" s="2488"/>
      <c r="N4" s="2488"/>
      <c r="O4" s="2488"/>
      <c r="P4" s="3444" t="s">
        <v>1775</v>
      </c>
      <c r="Q4" s="3445"/>
      <c r="R4" s="3448" t="s">
        <v>1771</v>
      </c>
      <c r="S4" s="3449"/>
      <c r="T4" s="3448" t="s">
        <v>1772</v>
      </c>
      <c r="U4" s="3449"/>
      <c r="V4" s="3450" t="s">
        <v>1773</v>
      </c>
      <c r="W4" s="3450"/>
      <c r="X4" s="1809"/>
      <c r="Y4" s="3448" t="s">
        <v>1775</v>
      </c>
      <c r="Z4" s="3449"/>
      <c r="AA4" s="3452" t="s">
        <v>1771</v>
      </c>
      <c r="AB4" s="3452" t="s">
        <v>1772</v>
      </c>
      <c r="AC4" s="3441" t="s">
        <v>1773</v>
      </c>
    </row>
    <row r="5" spans="1:29" ht="15">
      <c r="A5" s="348"/>
      <c r="B5" s="349"/>
      <c r="C5" s="3429" t="s">
        <v>1673</v>
      </c>
      <c r="D5" s="3430"/>
      <c r="E5" s="3436" t="s">
        <v>1674</v>
      </c>
      <c r="F5" s="3437"/>
      <c r="G5" s="3429" t="s">
        <v>1675</v>
      </c>
      <c r="H5" s="3430"/>
      <c r="I5" s="3429" t="s">
        <v>1676</v>
      </c>
      <c r="J5" s="3430"/>
      <c r="K5" s="537"/>
      <c r="L5" s="2487"/>
      <c r="M5" s="2488"/>
      <c r="N5" s="2488"/>
      <c r="O5" s="2488"/>
      <c r="P5" s="3446"/>
      <c r="Q5" s="3418"/>
      <c r="R5" s="3423"/>
      <c r="S5" s="3424"/>
      <c r="T5" s="3423"/>
      <c r="U5" s="3424"/>
      <c r="V5" s="3397"/>
      <c r="W5" s="3397"/>
      <c r="X5" s="1265"/>
      <c r="Y5" s="3423"/>
      <c r="Z5" s="3424"/>
      <c r="AA5" s="3409"/>
      <c r="AB5" s="3409"/>
      <c r="AC5" s="3442"/>
    </row>
    <row r="6" spans="1:29" ht="15.75" thickBot="1">
      <c r="A6" s="350"/>
      <c r="B6" s="351"/>
      <c r="C6" s="3427" t="s">
        <v>1677</v>
      </c>
      <c r="D6" s="3428"/>
      <c r="E6" s="3434" t="s">
        <v>1677</v>
      </c>
      <c r="F6" s="3435"/>
      <c r="G6" s="3427" t="s">
        <v>1677</v>
      </c>
      <c r="H6" s="3428"/>
      <c r="I6" s="3427" t="s">
        <v>1677</v>
      </c>
      <c r="J6" s="3428"/>
      <c r="K6" s="537" t="s">
        <v>1678</v>
      </c>
      <c r="L6" s="2487"/>
      <c r="M6" s="2488"/>
      <c r="N6" s="2488"/>
      <c r="O6" s="2488"/>
      <c r="P6" s="3447"/>
      <c r="Q6" s="3420"/>
      <c r="R6" s="3423"/>
      <c r="S6" s="3424"/>
      <c r="T6" s="3425"/>
      <c r="U6" s="3426"/>
      <c r="V6" s="3397"/>
      <c r="W6" s="3397"/>
      <c r="X6" s="1265"/>
      <c r="Y6" s="3425"/>
      <c r="Z6" s="3426"/>
      <c r="AA6" s="3410"/>
      <c r="AB6" s="3410"/>
      <c r="AC6" s="3443"/>
    </row>
    <row r="7" spans="1:29" s="102" customFormat="1" ht="15.75" thickBot="1">
      <c r="A7" s="352" t="s">
        <v>1679</v>
      </c>
      <c r="B7" s="353"/>
      <c r="C7" s="354">
        <f>'数据-取费表'!B2</f>
        <v>45743</v>
      </c>
      <c r="D7" s="355">
        <v>100</v>
      </c>
      <c r="E7" s="356"/>
      <c r="F7" s="357">
        <f>SUMIF(59:59,YEAR(E7)&amp;"-"&amp;MONTH(E7),60:60)</f>
        <v>0</v>
      </c>
      <c r="G7" s="356"/>
      <c r="H7" s="355">
        <f>SUMIF(59:59,YEAR(G7)&amp;"-"&amp;MONTH(G7),60:60)</f>
        <v>0</v>
      </c>
      <c r="I7" s="356"/>
      <c r="J7" s="355">
        <f>SUMIF(59:59,YEAR(I7)&amp;"-"&amp;MONTH(I7),60:60)</f>
        <v>0</v>
      </c>
      <c r="K7" s="38"/>
      <c r="L7" s="2489"/>
      <c r="M7" s="2440"/>
      <c r="N7" s="2440"/>
      <c r="O7" s="2440"/>
      <c r="P7" s="3451" t="s">
        <v>1680</v>
      </c>
      <c r="Q7" s="3433"/>
      <c r="R7" s="664" t="s">
        <v>14</v>
      </c>
      <c r="S7" s="665">
        <f t="shared" ref="S7:S15" si="0">F7</f>
        <v>0</v>
      </c>
      <c r="T7" s="664" t="s">
        <v>14</v>
      </c>
      <c r="U7" s="665">
        <f t="shared" ref="U7:U15" si="1">H7</f>
        <v>0</v>
      </c>
      <c r="V7" s="664" t="s">
        <v>14</v>
      </c>
      <c r="W7" s="665">
        <f t="shared" ref="W7:W15" si="2">J7</f>
        <v>0</v>
      </c>
      <c r="X7" s="666"/>
      <c r="Y7" s="3431" t="s">
        <v>1680</v>
      </c>
      <c r="Z7" s="343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51" t="s">
        <v>1683</v>
      </c>
      <c r="Q8" s="3432"/>
      <c r="R8" s="664" t="s">
        <v>14</v>
      </c>
      <c r="S8" s="665">
        <f t="shared" si="0"/>
        <v>100</v>
      </c>
      <c r="T8" s="664" t="s">
        <v>14</v>
      </c>
      <c r="U8" s="665">
        <f t="shared" si="1"/>
        <v>100</v>
      </c>
      <c r="V8" s="664" t="s">
        <v>14</v>
      </c>
      <c r="W8" s="665">
        <f t="shared" si="2"/>
        <v>100</v>
      </c>
      <c r="X8" s="666"/>
      <c r="Y8" s="3431" t="s">
        <v>1683</v>
      </c>
      <c r="Z8" s="343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7"/>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5" t="s">
        <v>1691</v>
      </c>
      <c r="Q15" s="1263" t="str">
        <f t="shared" si="6"/>
        <v>办公集聚程度</v>
      </c>
      <c r="R15" s="667" t="s">
        <v>14</v>
      </c>
      <c r="S15" s="668">
        <f t="shared" si="0"/>
        <v>100</v>
      </c>
      <c r="T15" s="667" t="s">
        <v>14</v>
      </c>
      <c r="U15" s="668">
        <f t="shared" si="1"/>
        <v>100</v>
      </c>
      <c r="V15" s="667" t="s">
        <v>14</v>
      </c>
      <c r="W15" s="668">
        <f t="shared" si="2"/>
        <v>100</v>
      </c>
      <c r="X15" s="1265"/>
      <c r="Y15" s="339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6"/>
      <c r="Q16" s="1263"/>
      <c r="R16" s="667"/>
      <c r="S16" s="668"/>
      <c r="T16" s="667"/>
      <c r="U16" s="668"/>
      <c r="V16" s="667"/>
      <c r="W16" s="668"/>
      <c r="X16" s="1265"/>
      <c r="Y16" s="339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6"/>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6"/>
      <c r="Q18" s="1263"/>
      <c r="R18" s="667"/>
      <c r="S18" s="668"/>
      <c r="T18" s="667"/>
      <c r="U18" s="668"/>
      <c r="V18" s="667"/>
      <c r="W18" s="668"/>
      <c r="X18" s="1265"/>
      <c r="Y18" s="339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6"/>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6"/>
      <c r="Q20" s="1263"/>
      <c r="R20" s="667"/>
      <c r="S20" s="668"/>
      <c r="T20" s="667"/>
      <c r="U20" s="668"/>
      <c r="V20" s="667"/>
      <c r="W20" s="668"/>
      <c r="X20" s="1265"/>
      <c r="Y20" s="339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6"/>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6"/>
      <c r="Q22" s="1263"/>
      <c r="R22" s="667"/>
      <c r="S22" s="668"/>
      <c r="T22" s="667"/>
      <c r="U22" s="668"/>
      <c r="V22" s="667"/>
      <c r="W22" s="668"/>
      <c r="X22" s="1265"/>
      <c r="Y22" s="339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6"/>
      <c r="Q23" s="1263" t="str">
        <f>B23</f>
        <v>环境质量</v>
      </c>
      <c r="R23" s="667" t="s">
        <v>14</v>
      </c>
      <c r="S23" s="668">
        <f>F23</f>
        <v>100</v>
      </c>
      <c r="T23" s="667" t="s">
        <v>14</v>
      </c>
      <c r="U23" s="668">
        <f>H23</f>
        <v>100</v>
      </c>
      <c r="V23" s="667" t="s">
        <v>14</v>
      </c>
      <c r="W23" s="668">
        <f>J23</f>
        <v>100</v>
      </c>
      <c r="X23" s="1265"/>
      <c r="Y23" s="339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6"/>
      <c r="Q24" s="1263"/>
      <c r="R24" s="667"/>
      <c r="S24" s="668"/>
      <c r="T24" s="667"/>
      <c r="U24" s="668"/>
      <c r="V24" s="667"/>
      <c r="W24" s="668"/>
      <c r="X24" s="1265"/>
      <c r="Y24" s="339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6"/>
      <c r="Q25" s="1263" t="str">
        <f>B25</f>
        <v>毗邻道路的类型与等级</v>
      </c>
      <c r="R25" s="667" t="s">
        <v>14</v>
      </c>
      <c r="S25" s="668">
        <f>F25</f>
        <v>100</v>
      </c>
      <c r="T25" s="667" t="s">
        <v>14</v>
      </c>
      <c r="U25" s="668">
        <f>H25</f>
        <v>100</v>
      </c>
      <c r="V25" s="667" t="s">
        <v>14</v>
      </c>
      <c r="W25" s="668">
        <f>J25</f>
        <v>100</v>
      </c>
      <c r="X25" s="1265"/>
      <c r="Y25" s="339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6"/>
      <c r="Q26" s="1263"/>
      <c r="R26" s="667"/>
      <c r="S26" s="668"/>
      <c r="T26" s="667"/>
      <c r="U26" s="668"/>
      <c r="V26" s="667"/>
      <c r="W26" s="668"/>
      <c r="X26" s="1265"/>
      <c r="Y26" s="339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6"/>
      <c r="Q27" s="1263" t="str">
        <f t="shared" ref="Q27:Q47" si="11">B27</f>
        <v>楼层</v>
      </c>
      <c r="R27" s="667" t="s">
        <v>14</v>
      </c>
      <c r="S27" s="668">
        <f>F27</f>
        <v>100</v>
      </c>
      <c r="T27" s="667" t="s">
        <v>14</v>
      </c>
      <c r="U27" s="668">
        <f>H27</f>
        <v>100</v>
      </c>
      <c r="V27" s="667" t="s">
        <v>14</v>
      </c>
      <c r="W27" s="668">
        <f>J27</f>
        <v>100</v>
      </c>
      <c r="X27" s="1265"/>
      <c r="Y27" s="339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6"/>
      <c r="Q28" s="530" t="str">
        <f t="shared" si="11"/>
        <v>朝向</v>
      </c>
      <c r="R28" s="664" t="s">
        <v>14</v>
      </c>
      <c r="S28" s="665">
        <f>F28</f>
        <v>100</v>
      </c>
      <c r="T28" s="664" t="s">
        <v>14</v>
      </c>
      <c r="U28" s="665">
        <f>H28</f>
        <v>100</v>
      </c>
      <c r="V28" s="664" t="s">
        <v>14</v>
      </c>
      <c r="W28" s="665">
        <f>J28</f>
        <v>100</v>
      </c>
      <c r="X28" s="666"/>
      <c r="Y28" s="33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6"/>
      <c r="Q29" s="1263">
        <f t="shared" si="11"/>
        <v>111</v>
      </c>
      <c r="R29" s="667" t="s">
        <v>14</v>
      </c>
      <c r="S29" s="668">
        <f t="shared" ref="S29:S47" si="12">F29</f>
        <v>100</v>
      </c>
      <c r="T29" s="667" t="s">
        <v>14</v>
      </c>
      <c r="U29" s="668">
        <f t="shared" ref="U29:U47" si="13">H29</f>
        <v>100</v>
      </c>
      <c r="V29" s="667" t="s">
        <v>14</v>
      </c>
      <c r="W29" s="668">
        <f t="shared" ref="W29:W47" si="14">J29</f>
        <v>100</v>
      </c>
      <c r="X29" s="1265"/>
      <c r="Y29" s="33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6"/>
      <c r="Q30" s="1263">
        <f t="shared" si="11"/>
        <v>111</v>
      </c>
      <c r="R30" s="667" t="s">
        <v>14</v>
      </c>
      <c r="S30" s="668">
        <f t="shared" si="12"/>
        <v>100</v>
      </c>
      <c r="T30" s="667" t="s">
        <v>14</v>
      </c>
      <c r="U30" s="668">
        <f t="shared" si="13"/>
        <v>100</v>
      </c>
      <c r="V30" s="667" t="s">
        <v>14</v>
      </c>
      <c r="W30" s="668">
        <f t="shared" si="14"/>
        <v>100</v>
      </c>
      <c r="X30" s="1265"/>
      <c r="Y30" s="33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6"/>
      <c r="Q31" s="1263">
        <f t="shared" si="11"/>
        <v>111</v>
      </c>
      <c r="R31" s="667" t="s">
        <v>14</v>
      </c>
      <c r="S31" s="668">
        <f t="shared" si="12"/>
        <v>100</v>
      </c>
      <c r="T31" s="667" t="s">
        <v>14</v>
      </c>
      <c r="U31" s="668">
        <f t="shared" si="13"/>
        <v>100</v>
      </c>
      <c r="V31" s="667" t="s">
        <v>14</v>
      </c>
      <c r="W31" s="668">
        <f t="shared" si="14"/>
        <v>100</v>
      </c>
      <c r="X31" s="1265"/>
      <c r="Y31" s="339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6"/>
      <c r="Q32" s="1263">
        <f t="shared" si="11"/>
        <v>111</v>
      </c>
      <c r="R32" s="667" t="s">
        <v>14</v>
      </c>
      <c r="S32" s="668">
        <f t="shared" si="12"/>
        <v>100</v>
      </c>
      <c r="T32" s="667" t="s">
        <v>14</v>
      </c>
      <c r="U32" s="668">
        <f t="shared" si="13"/>
        <v>100</v>
      </c>
      <c r="V32" s="667" t="s">
        <v>14</v>
      </c>
      <c r="W32" s="668">
        <f t="shared" si="14"/>
        <v>100</v>
      </c>
      <c r="X32" s="1265"/>
      <c r="Y32" s="339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0" t="s">
        <v>1696</v>
      </c>
      <c r="Q33" s="1263" t="str">
        <f t="shared" si="11"/>
        <v>建筑类型</v>
      </c>
      <c r="R33" s="667" t="s">
        <v>14</v>
      </c>
      <c r="S33" s="668">
        <f t="shared" si="12"/>
        <v>100</v>
      </c>
      <c r="T33" s="667" t="s">
        <v>14</v>
      </c>
      <c r="U33" s="668">
        <f t="shared" si="13"/>
        <v>100</v>
      </c>
      <c r="V33" s="667" t="s">
        <v>14</v>
      </c>
      <c r="W33" s="668">
        <f t="shared" si="14"/>
        <v>100</v>
      </c>
      <c r="X33" s="1265"/>
      <c r="Y33" s="340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1"/>
      <c r="Q34" s="531" t="str">
        <f t="shared" si="11"/>
        <v>项目建筑规模</v>
      </c>
      <c r="R34" s="669" t="s">
        <v>14</v>
      </c>
      <c r="S34" s="670" t="e">
        <f t="shared" si="12"/>
        <v>#N/A</v>
      </c>
      <c r="T34" s="669" t="s">
        <v>14</v>
      </c>
      <c r="U34" s="670" t="e">
        <f t="shared" si="13"/>
        <v>#N/A</v>
      </c>
      <c r="V34" s="669" t="s">
        <v>14</v>
      </c>
      <c r="W34" s="670" t="e">
        <f t="shared" si="14"/>
        <v>#N/A</v>
      </c>
      <c r="X34" s="671"/>
      <c r="Y34" s="340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1"/>
      <c r="Q35" s="1263" t="str">
        <f t="shared" si="11"/>
        <v>建筑结构</v>
      </c>
      <c r="R35" s="667" t="s">
        <v>14</v>
      </c>
      <c r="S35" s="668">
        <f t="shared" si="12"/>
        <v>100</v>
      </c>
      <c r="T35" s="667" t="s">
        <v>14</v>
      </c>
      <c r="U35" s="668">
        <f t="shared" si="13"/>
        <v>100</v>
      </c>
      <c r="V35" s="667" t="s">
        <v>14</v>
      </c>
      <c r="W35" s="668">
        <f t="shared" si="14"/>
        <v>100</v>
      </c>
      <c r="X35" s="1265"/>
      <c r="Y35" s="340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1"/>
      <c r="Q36" s="1263" t="str">
        <f t="shared" si="11"/>
        <v>公共部分装修</v>
      </c>
      <c r="R36" s="667" t="s">
        <v>14</v>
      </c>
      <c r="S36" s="668">
        <f t="shared" si="12"/>
        <v>100</v>
      </c>
      <c r="T36" s="667" t="s">
        <v>14</v>
      </c>
      <c r="U36" s="668">
        <f t="shared" si="13"/>
        <v>100</v>
      </c>
      <c r="V36" s="667" t="s">
        <v>14</v>
      </c>
      <c r="W36" s="668">
        <f t="shared" si="14"/>
        <v>100</v>
      </c>
      <c r="X36" s="1265"/>
      <c r="Y36" s="340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1"/>
      <c r="Q37" s="1263" t="str">
        <f t="shared" si="11"/>
        <v>成新度</v>
      </c>
      <c r="R37" s="667" t="s">
        <v>14</v>
      </c>
      <c r="S37" s="668" t="e">
        <f t="shared" si="12"/>
        <v>#N/A</v>
      </c>
      <c r="T37" s="667" t="s">
        <v>14</v>
      </c>
      <c r="U37" s="668" t="e">
        <f t="shared" si="13"/>
        <v>#N/A</v>
      </c>
      <c r="V37" s="667" t="s">
        <v>14</v>
      </c>
      <c r="W37" s="668" t="e">
        <f t="shared" si="14"/>
        <v>#N/A</v>
      </c>
      <c r="X37" s="1265"/>
      <c r="Y37" s="340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1"/>
      <c r="Q38" s="530" t="str">
        <f t="shared" si="11"/>
        <v>写字楼等级</v>
      </c>
      <c r="R38" s="664" t="s">
        <v>14</v>
      </c>
      <c r="S38" s="665">
        <f t="shared" si="12"/>
        <v>100</v>
      </c>
      <c r="T38" s="664" t="s">
        <v>14</v>
      </c>
      <c r="U38" s="665">
        <f t="shared" si="13"/>
        <v>100</v>
      </c>
      <c r="V38" s="664" t="s">
        <v>14</v>
      </c>
      <c r="W38" s="665">
        <f t="shared" si="14"/>
        <v>100</v>
      </c>
      <c r="X38" s="666"/>
      <c r="Y38" s="340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1" t="s">
        <v>1696</v>
      </c>
      <c r="Q39" s="1263" t="str">
        <f t="shared" si="11"/>
        <v>物业管理</v>
      </c>
      <c r="R39" s="667" t="s">
        <v>14</v>
      </c>
      <c r="S39" s="668">
        <f t="shared" si="12"/>
        <v>100</v>
      </c>
      <c r="T39" s="667" t="s">
        <v>14</v>
      </c>
      <c r="U39" s="668">
        <f t="shared" si="13"/>
        <v>100</v>
      </c>
      <c r="V39" s="667" t="s">
        <v>14</v>
      </c>
      <c r="W39" s="668">
        <f t="shared" si="14"/>
        <v>100</v>
      </c>
      <c r="X39" s="1265"/>
      <c r="Y39" s="340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1"/>
      <c r="Q40" s="1263" t="str">
        <f t="shared" si="11"/>
        <v>市政基础设施</v>
      </c>
      <c r="R40" s="667" t="s">
        <v>14</v>
      </c>
      <c r="S40" s="668">
        <f t="shared" si="12"/>
        <v>100</v>
      </c>
      <c r="T40" s="667" t="s">
        <v>14</v>
      </c>
      <c r="U40" s="668">
        <f t="shared" si="13"/>
        <v>100</v>
      </c>
      <c r="V40" s="667" t="s">
        <v>14</v>
      </c>
      <c r="W40" s="668">
        <f t="shared" si="14"/>
        <v>100</v>
      </c>
      <c r="X40" s="1265"/>
      <c r="Y40" s="340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1"/>
      <c r="Q41" s="1263" t="str">
        <f t="shared" si="11"/>
        <v>层高</v>
      </c>
      <c r="R41" s="667" t="s">
        <v>14</v>
      </c>
      <c r="S41" s="668">
        <f t="shared" si="12"/>
        <v>100</v>
      </c>
      <c r="T41" s="667" t="s">
        <v>14</v>
      </c>
      <c r="U41" s="668">
        <f t="shared" si="13"/>
        <v>100</v>
      </c>
      <c r="V41" s="667" t="s">
        <v>14</v>
      </c>
      <c r="W41" s="668">
        <f t="shared" si="14"/>
        <v>100</v>
      </c>
      <c r="X41" s="1265"/>
      <c r="Y41" s="340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1"/>
      <c r="Q42" s="531" t="str">
        <f t="shared" si="11"/>
        <v>单套建筑面积</v>
      </c>
      <c r="R42" s="669" t="s">
        <v>14</v>
      </c>
      <c r="S42" s="670">
        <f t="shared" si="12"/>
        <v>100</v>
      </c>
      <c r="T42" s="669" t="s">
        <v>14</v>
      </c>
      <c r="U42" s="670">
        <f t="shared" si="13"/>
        <v>100</v>
      </c>
      <c r="V42" s="669" t="s">
        <v>14</v>
      </c>
      <c r="W42" s="670">
        <f t="shared" si="14"/>
        <v>100</v>
      </c>
      <c r="X42" s="671"/>
      <c r="Y42" s="340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1"/>
      <c r="Q43" s="1263" t="str">
        <f t="shared" si="11"/>
        <v>内部装修</v>
      </c>
      <c r="R43" s="667" t="s">
        <v>14</v>
      </c>
      <c r="S43" s="668">
        <f t="shared" si="12"/>
        <v>100</v>
      </c>
      <c r="T43" s="667" t="s">
        <v>14</v>
      </c>
      <c r="U43" s="668">
        <f t="shared" si="13"/>
        <v>100</v>
      </c>
      <c r="V43" s="667" t="s">
        <v>14</v>
      </c>
      <c r="W43" s="668">
        <f t="shared" si="14"/>
        <v>100</v>
      </c>
      <c r="X43" s="1265"/>
      <c r="Y43" s="3403"/>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1"/>
      <c r="Q44" s="1263" t="str">
        <f t="shared" si="11"/>
        <v>内部装修维护情况</v>
      </c>
      <c r="R44" s="667" t="s">
        <v>14</v>
      </c>
      <c r="S44" s="668">
        <f t="shared" si="12"/>
        <v>100</v>
      </c>
      <c r="T44" s="667" t="s">
        <v>14</v>
      </c>
      <c r="U44" s="668">
        <f t="shared" si="13"/>
        <v>100</v>
      </c>
      <c r="V44" s="667" t="s">
        <v>14</v>
      </c>
      <c r="W44" s="668">
        <f t="shared" si="14"/>
        <v>100</v>
      </c>
      <c r="X44" s="1265"/>
      <c r="Y44" s="34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1"/>
      <c r="Q45" s="530">
        <f t="shared" si="11"/>
        <v>111</v>
      </c>
      <c r="R45" s="664" t="s">
        <v>14</v>
      </c>
      <c r="S45" s="665">
        <f t="shared" si="12"/>
        <v>100</v>
      </c>
      <c r="T45" s="664" t="s">
        <v>14</v>
      </c>
      <c r="U45" s="665">
        <f t="shared" si="13"/>
        <v>100</v>
      </c>
      <c r="V45" s="664" t="s">
        <v>14</v>
      </c>
      <c r="W45" s="665">
        <f t="shared" si="14"/>
        <v>100</v>
      </c>
      <c r="X45" s="666"/>
      <c r="Y45" s="34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1"/>
      <c r="Q46" s="1263">
        <f t="shared" si="11"/>
        <v>111</v>
      </c>
      <c r="R46" s="667" t="s">
        <v>14</v>
      </c>
      <c r="S46" s="668">
        <f t="shared" si="12"/>
        <v>100</v>
      </c>
      <c r="T46" s="667" t="s">
        <v>14</v>
      </c>
      <c r="U46" s="668">
        <f t="shared" si="13"/>
        <v>100</v>
      </c>
      <c r="V46" s="667" t="s">
        <v>14</v>
      </c>
      <c r="W46" s="668">
        <f t="shared" si="14"/>
        <v>100</v>
      </c>
      <c r="X46" s="1265"/>
      <c r="Y46" s="340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2"/>
      <c r="Q47" s="1263">
        <f t="shared" si="11"/>
        <v>111</v>
      </c>
      <c r="R47" s="667" t="s">
        <v>14</v>
      </c>
      <c r="S47" s="668">
        <f t="shared" si="12"/>
        <v>100</v>
      </c>
      <c r="T47" s="667" t="s">
        <v>14</v>
      </c>
      <c r="U47" s="668">
        <f t="shared" si="13"/>
        <v>100</v>
      </c>
      <c r="V47" s="667" t="s">
        <v>14</v>
      </c>
      <c r="W47" s="668">
        <f t="shared" si="14"/>
        <v>100</v>
      </c>
      <c r="X47" s="1265"/>
      <c r="Y47" s="3404"/>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7" t="str">
        <f>A48</f>
        <v>成交单价（元/平方米）</v>
      </c>
      <c r="Q48" s="3396"/>
      <c r="R48" s="3397">
        <f>E48</f>
        <v>0</v>
      </c>
      <c r="S48" s="3397"/>
      <c r="T48" s="3397">
        <f>G48</f>
        <v>0</v>
      </c>
      <c r="U48" s="3397"/>
      <c r="V48" s="3397">
        <f>I48</f>
        <v>0</v>
      </c>
      <c r="W48" s="3397"/>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7" t="str">
        <f>A49</f>
        <v>比较价值（元/平方米）</v>
      </c>
      <c r="Q49" s="3396"/>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8" t="str">
        <f>A50</f>
        <v>估价对象XX用房的比较价值（楼面单价，元/平方米）</v>
      </c>
      <c r="Q50" s="3439"/>
      <c r="R50" s="3440" t="e">
        <f>IF(F1="售价",ROUND(IF(D49="简单平均",AVERAGE(R49:V49),R49*F49+T49*H49+V49*J49),0),ROUND(IF(D49="简单平均",AVERAGE(R49:V49),R49*F49+T49*H49+V49*J49),1))</f>
        <v>#DIV/0!</v>
      </c>
      <c r="S50" s="3440"/>
      <c r="T50" s="3440"/>
      <c r="U50" s="3440"/>
      <c r="V50" s="3440"/>
      <c r="W50" s="344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887.8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860"/>
      <c r="M4" s="861"/>
      <c r="N4" s="861"/>
      <c r="O4" s="861"/>
      <c r="P4" s="3415" t="s">
        <v>1775</v>
      </c>
      <c r="Q4" s="3416"/>
      <c r="R4" s="3421" t="s">
        <v>1771</v>
      </c>
      <c r="S4" s="3422"/>
      <c r="T4" s="3421" t="s">
        <v>1772</v>
      </c>
      <c r="U4" s="3422"/>
      <c r="V4" s="3397" t="s">
        <v>1773</v>
      </c>
      <c r="W4" s="3397"/>
      <c r="X4" s="1265"/>
      <c r="Y4" s="3421" t="s">
        <v>1775</v>
      </c>
      <c r="Z4" s="3422"/>
      <c r="AA4" s="3408" t="s">
        <v>1771</v>
      </c>
      <c r="AB4" s="3409" t="s">
        <v>1772</v>
      </c>
      <c r="AC4" s="3408" t="s">
        <v>1773</v>
      </c>
    </row>
    <row r="5" spans="1:29" ht="15">
      <c r="A5" s="348"/>
      <c r="B5" s="349"/>
      <c r="C5" s="3429" t="s">
        <v>1673</v>
      </c>
      <c r="D5" s="3430"/>
      <c r="E5" s="3436" t="s">
        <v>1674</v>
      </c>
      <c r="F5" s="3437"/>
      <c r="G5" s="3429" t="s">
        <v>1675</v>
      </c>
      <c r="H5" s="3430"/>
      <c r="I5" s="3429" t="s">
        <v>1676</v>
      </c>
      <c r="J5" s="3430"/>
      <c r="K5" s="537"/>
      <c r="L5" s="860"/>
      <c r="M5" s="861"/>
      <c r="N5" s="861"/>
      <c r="O5" s="861"/>
      <c r="P5" s="3417"/>
      <c r="Q5" s="3418"/>
      <c r="R5" s="3423"/>
      <c r="S5" s="3424"/>
      <c r="T5" s="3423"/>
      <c r="U5" s="3424"/>
      <c r="V5" s="3397"/>
      <c r="W5" s="3397"/>
      <c r="X5" s="1265"/>
      <c r="Y5" s="3423"/>
      <c r="Z5" s="3424"/>
      <c r="AA5" s="3409"/>
      <c r="AB5" s="3409"/>
      <c r="AC5" s="3409"/>
    </row>
    <row r="6" spans="1:29" ht="15.75" thickBot="1">
      <c r="A6" s="350"/>
      <c r="B6" s="351"/>
      <c r="C6" s="3427" t="s">
        <v>1677</v>
      </c>
      <c r="D6" s="3428"/>
      <c r="E6" s="3434" t="s">
        <v>1677</v>
      </c>
      <c r="F6" s="3435"/>
      <c r="G6" s="3427" t="s">
        <v>1677</v>
      </c>
      <c r="H6" s="3428"/>
      <c r="I6" s="3427" t="s">
        <v>1677</v>
      </c>
      <c r="J6" s="3428"/>
      <c r="K6" s="537" t="s">
        <v>1678</v>
      </c>
      <c r="L6" s="860"/>
      <c r="M6" s="861"/>
      <c r="N6" s="861"/>
      <c r="O6" s="861"/>
      <c r="P6" s="3419"/>
      <c r="Q6" s="3420"/>
      <c r="R6" s="3423"/>
      <c r="S6" s="3424"/>
      <c r="T6" s="3425"/>
      <c r="U6" s="3426"/>
      <c r="V6" s="3397"/>
      <c r="W6" s="3397"/>
      <c r="X6" s="1265"/>
      <c r="Y6" s="3425"/>
      <c r="Z6" s="3426"/>
      <c r="AA6" s="3410"/>
      <c r="AB6" s="3410"/>
      <c r="AC6" s="3410"/>
    </row>
    <row r="7" spans="1:29" s="102" customFormat="1" ht="15.75" thickBot="1">
      <c r="A7" s="352" t="s">
        <v>1679</v>
      </c>
      <c r="B7" s="353"/>
      <c r="C7" s="354">
        <f>'数据-取费表'!B2</f>
        <v>45743</v>
      </c>
      <c r="D7" s="355">
        <v>100</v>
      </c>
      <c r="E7" s="356"/>
      <c r="F7" s="357">
        <f>SUMIF(52:52,YEAR(E7)&amp;"-"&amp;MONTH(E7),53:53)</f>
        <v>0</v>
      </c>
      <c r="G7" s="356"/>
      <c r="H7" s="355">
        <f>SUMIF(52:52,YEAR(G7)&amp;"-"&amp;MONTH(G7),53:53)</f>
        <v>0</v>
      </c>
      <c r="I7" s="356"/>
      <c r="J7" s="355">
        <f>SUMIF(52:52,YEAR(I7)&amp;"-"&amp;MONTH(I7),53:53)</f>
        <v>0</v>
      </c>
      <c r="K7" s="38"/>
      <c r="L7" s="862"/>
      <c r="M7" s="863"/>
      <c r="N7" s="863"/>
      <c r="O7" s="863"/>
      <c r="P7" s="3431" t="s">
        <v>1680</v>
      </c>
      <c r="Q7" s="3433"/>
      <c r="R7" s="664" t="s">
        <v>14</v>
      </c>
      <c r="S7" s="665">
        <f t="shared" ref="S7:S15" si="0">F7</f>
        <v>0</v>
      </c>
      <c r="T7" s="664" t="s">
        <v>14</v>
      </c>
      <c r="U7" s="665">
        <f t="shared" ref="U7:U15" si="1">H7</f>
        <v>0</v>
      </c>
      <c r="V7" s="664" t="s">
        <v>14</v>
      </c>
      <c r="W7" s="665">
        <f t="shared" ref="W7:W15" si="2">J7</f>
        <v>0</v>
      </c>
      <c r="X7" s="666"/>
      <c r="Y7" s="3431" t="s">
        <v>1680</v>
      </c>
      <c r="Z7" s="343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1" t="s">
        <v>1683</v>
      </c>
      <c r="Q8" s="3432"/>
      <c r="R8" s="664" t="s">
        <v>14</v>
      </c>
      <c r="S8" s="665">
        <f t="shared" si="0"/>
        <v>100</v>
      </c>
      <c r="T8" s="664" t="s">
        <v>14</v>
      </c>
      <c r="U8" s="665">
        <f t="shared" si="1"/>
        <v>100</v>
      </c>
      <c r="V8" s="664" t="s">
        <v>14</v>
      </c>
      <c r="W8" s="665">
        <f t="shared" si="2"/>
        <v>100</v>
      </c>
      <c r="X8" s="666"/>
      <c r="Y8" s="3431" t="s">
        <v>1683</v>
      </c>
      <c r="Z8" s="343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6"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6"/>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6"/>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6"/>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6"/>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6"/>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8" t="s">
        <v>1691</v>
      </c>
      <c r="Q15" s="1263" t="str">
        <f t="shared" si="6"/>
        <v>产业集聚程度</v>
      </c>
      <c r="R15" s="667" t="s">
        <v>14</v>
      </c>
      <c r="S15" s="668">
        <f t="shared" si="0"/>
        <v>100</v>
      </c>
      <c r="T15" s="667" t="s">
        <v>14</v>
      </c>
      <c r="U15" s="668">
        <f t="shared" si="1"/>
        <v>100</v>
      </c>
      <c r="V15" s="667" t="s">
        <v>14</v>
      </c>
      <c r="W15" s="668">
        <f t="shared" si="2"/>
        <v>100</v>
      </c>
      <c r="X15" s="1265"/>
      <c r="Y15" s="339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9"/>
      <c r="Q16" s="1263"/>
      <c r="R16" s="667"/>
      <c r="S16" s="668"/>
      <c r="T16" s="667"/>
      <c r="U16" s="668"/>
      <c r="V16" s="667"/>
      <c r="W16" s="668"/>
      <c r="X16" s="1265"/>
      <c r="Y16" s="339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9"/>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9"/>
      <c r="Q18" s="1263"/>
      <c r="R18" s="667"/>
      <c r="S18" s="668"/>
      <c r="T18" s="667"/>
      <c r="U18" s="668"/>
      <c r="V18" s="667"/>
      <c r="W18" s="668"/>
      <c r="X18" s="1265"/>
      <c r="Y18" s="339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9"/>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9"/>
      <c r="Q20" s="1263"/>
      <c r="R20" s="667"/>
      <c r="S20" s="668"/>
      <c r="T20" s="667"/>
      <c r="U20" s="668"/>
      <c r="V20" s="667"/>
      <c r="W20" s="668"/>
      <c r="X20" s="1265"/>
      <c r="Y20" s="339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9"/>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9"/>
      <c r="Q22" s="1263"/>
      <c r="R22" s="667"/>
      <c r="S22" s="668"/>
      <c r="T22" s="667"/>
      <c r="U22" s="668"/>
      <c r="V22" s="667"/>
      <c r="W22" s="668"/>
      <c r="X22" s="1265"/>
      <c r="Y22" s="339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9"/>
      <c r="Q23" s="1263" t="str">
        <f>B23</f>
        <v>环境质量</v>
      </c>
      <c r="R23" s="667" t="s">
        <v>14</v>
      </c>
      <c r="S23" s="668">
        <f>F23</f>
        <v>100</v>
      </c>
      <c r="T23" s="667" t="s">
        <v>14</v>
      </c>
      <c r="U23" s="668">
        <f>H23</f>
        <v>100</v>
      </c>
      <c r="V23" s="667" t="s">
        <v>14</v>
      </c>
      <c r="W23" s="668">
        <f>J23</f>
        <v>100</v>
      </c>
      <c r="X23" s="1265"/>
      <c r="Y23" s="33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9"/>
      <c r="Q24" s="1263"/>
      <c r="R24" s="667"/>
      <c r="S24" s="668"/>
      <c r="T24" s="667"/>
      <c r="U24" s="668"/>
      <c r="V24" s="667"/>
      <c r="W24" s="668"/>
      <c r="X24" s="1265"/>
      <c r="Y24" s="33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9"/>
      <c r="Q25" s="1263">
        <f>B25</f>
        <v>111</v>
      </c>
      <c r="R25" s="667" t="s">
        <v>14</v>
      </c>
      <c r="S25" s="668">
        <f>F25</f>
        <v>100</v>
      </c>
      <c r="T25" s="667" t="s">
        <v>14</v>
      </c>
      <c r="U25" s="668">
        <f>H25</f>
        <v>100</v>
      </c>
      <c r="V25" s="667" t="s">
        <v>14</v>
      </c>
      <c r="W25" s="668">
        <f>J25</f>
        <v>100</v>
      </c>
      <c r="X25" s="1265"/>
      <c r="Y25" s="33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9"/>
      <c r="Q26" s="1263">
        <f t="shared" ref="Q26:Q40" si="11">B26</f>
        <v>111</v>
      </c>
      <c r="R26" s="667" t="s">
        <v>14</v>
      </c>
      <c r="S26" s="668">
        <f>F26</f>
        <v>100</v>
      </c>
      <c r="T26" s="667" t="s">
        <v>14</v>
      </c>
      <c r="U26" s="668">
        <f>H26</f>
        <v>100</v>
      </c>
      <c r="V26" s="667" t="s">
        <v>14</v>
      </c>
      <c r="W26" s="668">
        <f>J26</f>
        <v>100</v>
      </c>
      <c r="X26" s="1265"/>
      <c r="Y26" s="33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9"/>
      <c r="Q27" s="530">
        <f t="shared" si="11"/>
        <v>111</v>
      </c>
      <c r="R27" s="664" t="s">
        <v>14</v>
      </c>
      <c r="S27" s="665">
        <f>F27</f>
        <v>100</v>
      </c>
      <c r="T27" s="664" t="s">
        <v>14</v>
      </c>
      <c r="U27" s="665">
        <f>H27</f>
        <v>100</v>
      </c>
      <c r="V27" s="664" t="s">
        <v>14</v>
      </c>
      <c r="W27" s="665">
        <f>J27</f>
        <v>100</v>
      </c>
      <c r="X27" s="666"/>
      <c r="Y27" s="339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9"/>
      <c r="Q28" s="1263">
        <f t="shared" si="11"/>
        <v>111</v>
      </c>
      <c r="R28" s="667" t="s">
        <v>14</v>
      </c>
      <c r="S28" s="668">
        <f t="shared" ref="S28:S40" si="12">F28</f>
        <v>100</v>
      </c>
      <c r="T28" s="667" t="s">
        <v>14</v>
      </c>
      <c r="U28" s="668">
        <f t="shared" ref="U28:U40" si="13">H28</f>
        <v>100</v>
      </c>
      <c r="V28" s="667" t="s">
        <v>14</v>
      </c>
      <c r="W28" s="668">
        <f t="shared" ref="W28:W40" si="14">J28</f>
        <v>100</v>
      </c>
      <c r="X28" s="1265"/>
      <c r="Y28" s="339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3" t="s">
        <v>1696</v>
      </c>
      <c r="Q29" s="1263" t="str">
        <f t="shared" si="11"/>
        <v>建筑类型</v>
      </c>
      <c r="R29" s="667" t="s">
        <v>14</v>
      </c>
      <c r="S29" s="668">
        <f t="shared" si="12"/>
        <v>100</v>
      </c>
      <c r="T29" s="667" t="s">
        <v>14</v>
      </c>
      <c r="U29" s="668">
        <f t="shared" si="13"/>
        <v>100</v>
      </c>
      <c r="V29" s="667" t="s">
        <v>14</v>
      </c>
      <c r="W29" s="668">
        <f t="shared" si="14"/>
        <v>100</v>
      </c>
      <c r="X29" s="1265"/>
      <c r="Y29" s="340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3"/>
      <c r="Q30" s="531" t="str">
        <f t="shared" si="11"/>
        <v>项目建筑规模</v>
      </c>
      <c r="R30" s="669" t="s">
        <v>14</v>
      </c>
      <c r="S30" s="670" t="e">
        <f t="shared" si="12"/>
        <v>#N/A</v>
      </c>
      <c r="T30" s="669" t="s">
        <v>14</v>
      </c>
      <c r="U30" s="670" t="e">
        <f t="shared" si="13"/>
        <v>#N/A</v>
      </c>
      <c r="V30" s="669" t="s">
        <v>14</v>
      </c>
      <c r="W30" s="670" t="e">
        <f t="shared" si="14"/>
        <v>#N/A</v>
      </c>
      <c r="X30" s="671"/>
      <c r="Y30" s="340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3"/>
      <c r="Q31" s="1263" t="str">
        <f t="shared" si="11"/>
        <v>建筑结构</v>
      </c>
      <c r="R31" s="667" t="s">
        <v>14</v>
      </c>
      <c r="S31" s="668">
        <f t="shared" si="12"/>
        <v>100</v>
      </c>
      <c r="T31" s="667" t="s">
        <v>14</v>
      </c>
      <c r="U31" s="668">
        <f t="shared" si="13"/>
        <v>100</v>
      </c>
      <c r="V31" s="667" t="s">
        <v>14</v>
      </c>
      <c r="W31" s="668">
        <f t="shared" si="14"/>
        <v>100</v>
      </c>
      <c r="X31" s="1265"/>
      <c r="Y31" s="340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3"/>
      <c r="Q32" s="1263" t="str">
        <f t="shared" si="11"/>
        <v>公共部分装修</v>
      </c>
      <c r="R32" s="667" t="s">
        <v>14</v>
      </c>
      <c r="S32" s="668">
        <f t="shared" si="12"/>
        <v>100</v>
      </c>
      <c r="T32" s="667" t="s">
        <v>14</v>
      </c>
      <c r="U32" s="668">
        <f t="shared" si="13"/>
        <v>100</v>
      </c>
      <c r="V32" s="667" t="s">
        <v>14</v>
      </c>
      <c r="W32" s="668">
        <f t="shared" si="14"/>
        <v>100</v>
      </c>
      <c r="X32" s="1265"/>
      <c r="Y32" s="340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3"/>
      <c r="Q33" s="1263" t="str">
        <f t="shared" si="11"/>
        <v>成新度</v>
      </c>
      <c r="R33" s="667" t="s">
        <v>14</v>
      </c>
      <c r="S33" s="668" t="e">
        <f t="shared" si="12"/>
        <v>#N/A</v>
      </c>
      <c r="T33" s="667" t="s">
        <v>14</v>
      </c>
      <c r="U33" s="668" t="e">
        <f t="shared" si="13"/>
        <v>#N/A</v>
      </c>
      <c r="V33" s="667" t="s">
        <v>14</v>
      </c>
      <c r="W33" s="668" t="e">
        <f t="shared" si="14"/>
        <v>#N/A</v>
      </c>
      <c r="X33" s="1265"/>
      <c r="Y33" s="340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3"/>
      <c r="Q34" s="530" t="str">
        <f t="shared" si="11"/>
        <v>物业管理</v>
      </c>
      <c r="R34" s="664" t="s">
        <v>14</v>
      </c>
      <c r="S34" s="665">
        <f t="shared" si="12"/>
        <v>100</v>
      </c>
      <c r="T34" s="664" t="s">
        <v>14</v>
      </c>
      <c r="U34" s="665">
        <f t="shared" si="13"/>
        <v>100</v>
      </c>
      <c r="V34" s="664" t="s">
        <v>14</v>
      </c>
      <c r="W34" s="665">
        <f t="shared" si="14"/>
        <v>100</v>
      </c>
      <c r="X34" s="666"/>
      <c r="Y34" s="340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3" t="s">
        <v>1696</v>
      </c>
      <c r="Q35" s="1263" t="str">
        <f t="shared" si="11"/>
        <v>市政基础设施</v>
      </c>
      <c r="R35" s="667" t="s">
        <v>14</v>
      </c>
      <c r="S35" s="668">
        <f t="shared" si="12"/>
        <v>100</v>
      </c>
      <c r="T35" s="667" t="s">
        <v>14</v>
      </c>
      <c r="U35" s="668">
        <f t="shared" si="13"/>
        <v>100</v>
      </c>
      <c r="V35" s="667" t="s">
        <v>14</v>
      </c>
      <c r="W35" s="668">
        <f t="shared" si="14"/>
        <v>100</v>
      </c>
      <c r="X35" s="1265"/>
      <c r="Y35" s="340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3"/>
      <c r="Q36" s="1263" t="str">
        <f t="shared" si="11"/>
        <v>内部装修</v>
      </c>
      <c r="R36" s="667" t="s">
        <v>14</v>
      </c>
      <c r="S36" s="668">
        <f t="shared" si="12"/>
        <v>100</v>
      </c>
      <c r="T36" s="667" t="s">
        <v>14</v>
      </c>
      <c r="U36" s="668">
        <f t="shared" si="13"/>
        <v>100</v>
      </c>
      <c r="V36" s="667" t="s">
        <v>14</v>
      </c>
      <c r="W36" s="668">
        <f t="shared" si="14"/>
        <v>100</v>
      </c>
      <c r="X36" s="1265"/>
      <c r="Y36" s="340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3"/>
      <c r="Q37" s="1263" t="str">
        <f t="shared" si="11"/>
        <v>内部装修状况</v>
      </c>
      <c r="R37" s="667" t="s">
        <v>14</v>
      </c>
      <c r="S37" s="668">
        <f t="shared" si="12"/>
        <v>100</v>
      </c>
      <c r="T37" s="667" t="s">
        <v>14</v>
      </c>
      <c r="U37" s="668">
        <f t="shared" si="13"/>
        <v>100</v>
      </c>
      <c r="V37" s="667" t="s">
        <v>14</v>
      </c>
      <c r="W37" s="668">
        <f t="shared" si="14"/>
        <v>100</v>
      </c>
      <c r="X37" s="1265"/>
      <c r="Y37" s="34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3"/>
      <c r="Q38" s="531">
        <f t="shared" si="11"/>
        <v>111</v>
      </c>
      <c r="R38" s="669" t="s">
        <v>14</v>
      </c>
      <c r="S38" s="670">
        <f t="shared" si="12"/>
        <v>100</v>
      </c>
      <c r="T38" s="669" t="s">
        <v>14</v>
      </c>
      <c r="U38" s="670">
        <f t="shared" si="13"/>
        <v>100</v>
      </c>
      <c r="V38" s="669" t="s">
        <v>14</v>
      </c>
      <c r="W38" s="670">
        <f t="shared" si="14"/>
        <v>100</v>
      </c>
      <c r="X38" s="671"/>
      <c r="Y38" s="34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3"/>
      <c r="Q39" s="1263">
        <f t="shared" si="11"/>
        <v>111</v>
      </c>
      <c r="R39" s="667" t="s">
        <v>14</v>
      </c>
      <c r="S39" s="668">
        <f t="shared" si="12"/>
        <v>100</v>
      </c>
      <c r="T39" s="667" t="s">
        <v>14</v>
      </c>
      <c r="U39" s="668">
        <f t="shared" si="13"/>
        <v>100</v>
      </c>
      <c r="V39" s="667" t="s">
        <v>14</v>
      </c>
      <c r="W39" s="668">
        <f t="shared" si="14"/>
        <v>100</v>
      </c>
      <c r="X39" s="1265"/>
      <c r="Y39" s="340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4"/>
      <c r="Q40" s="1263">
        <f t="shared" si="11"/>
        <v>111</v>
      </c>
      <c r="R40" s="667" t="s">
        <v>14</v>
      </c>
      <c r="S40" s="668">
        <f t="shared" si="12"/>
        <v>100</v>
      </c>
      <c r="T40" s="667" t="s">
        <v>14</v>
      </c>
      <c r="U40" s="668">
        <f t="shared" si="13"/>
        <v>100</v>
      </c>
      <c r="V40" s="667" t="s">
        <v>14</v>
      </c>
      <c r="W40" s="668">
        <f t="shared" si="14"/>
        <v>100</v>
      </c>
      <c r="X40" s="1265"/>
      <c r="Y40" s="340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6" t="str">
        <f>A41</f>
        <v>成交单价（元/平方米）</v>
      </c>
      <c r="Q41" s="3396"/>
      <c r="R41" s="3397">
        <f>E41</f>
        <v>0</v>
      </c>
      <c r="S41" s="3397"/>
      <c r="T41" s="3397">
        <f>G41</f>
        <v>0</v>
      </c>
      <c r="U41" s="3397"/>
      <c r="V41" s="3397">
        <f>I41</f>
        <v>0</v>
      </c>
      <c r="W41" s="339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6" t="str">
        <f>A42</f>
        <v>比较价值（元/平方米）</v>
      </c>
      <c r="Q42" s="3396"/>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3" t="str">
        <f>A43</f>
        <v>估价对象XX用房的比较价值（楼面单价，元/平方米）</v>
      </c>
      <c r="Q43" s="3394"/>
      <c r="R43" s="3395" t="e">
        <f>IF(F1="售价",ROUND(IF(D42="简单平均",AVERAGE(R42:V42),R42*F42+T42*H42+V42*J42),0),ROUND(IF(D42="简单平均",AVERAGE(R42:V42),R42*F42+T42*H42+V42*J42),1))</f>
        <v>#DIV/0!</v>
      </c>
      <c r="S43" s="3395"/>
      <c r="T43" s="3395"/>
      <c r="U43" s="3395"/>
      <c r="V43" s="3395"/>
      <c r="W43" s="339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7"/>
      <c r="M4" s="2488"/>
      <c r="N4" s="2488"/>
      <c r="O4" s="2488"/>
      <c r="P4" s="3415" t="s">
        <v>1775</v>
      </c>
      <c r="Q4" s="3416"/>
      <c r="R4" s="3421" t="s">
        <v>1771</v>
      </c>
      <c r="S4" s="3422"/>
      <c r="T4" s="3421" t="s">
        <v>1772</v>
      </c>
      <c r="U4" s="3422"/>
      <c r="V4" s="3397" t="s">
        <v>1773</v>
      </c>
      <c r="W4" s="3397"/>
      <c r="X4" s="1265"/>
      <c r="Y4" s="3421" t="s">
        <v>1775</v>
      </c>
      <c r="Z4" s="3422"/>
      <c r="AA4" s="3408" t="s">
        <v>1771</v>
      </c>
      <c r="AB4" s="3409" t="s">
        <v>1772</v>
      </c>
      <c r="AC4" s="3408" t="s">
        <v>1773</v>
      </c>
    </row>
    <row r="5" spans="1:29" ht="15">
      <c r="A5" s="348"/>
      <c r="B5" s="349"/>
      <c r="C5" s="3429" t="s">
        <v>1673</v>
      </c>
      <c r="D5" s="3430"/>
      <c r="E5" s="3436" t="s">
        <v>1674</v>
      </c>
      <c r="F5" s="3437"/>
      <c r="G5" s="3429" t="s">
        <v>1675</v>
      </c>
      <c r="H5" s="3430"/>
      <c r="I5" s="3429" t="s">
        <v>1676</v>
      </c>
      <c r="J5" s="3430"/>
      <c r="K5" s="537"/>
      <c r="L5" s="2487"/>
      <c r="M5" s="2488"/>
      <c r="N5" s="2488"/>
      <c r="O5" s="2488"/>
      <c r="P5" s="3417"/>
      <c r="Q5" s="3418"/>
      <c r="R5" s="3423"/>
      <c r="S5" s="3424"/>
      <c r="T5" s="3423"/>
      <c r="U5" s="3424"/>
      <c r="V5" s="3397"/>
      <c r="W5" s="3397"/>
      <c r="X5" s="1265"/>
      <c r="Y5" s="3423"/>
      <c r="Z5" s="3424"/>
      <c r="AA5" s="3409"/>
      <c r="AB5" s="3409"/>
      <c r="AC5" s="3409"/>
    </row>
    <row r="6" spans="1:29" ht="15.75" thickBot="1">
      <c r="A6" s="350"/>
      <c r="B6" s="351"/>
      <c r="C6" s="3427" t="s">
        <v>1677</v>
      </c>
      <c r="D6" s="3428"/>
      <c r="E6" s="3434" t="s">
        <v>1677</v>
      </c>
      <c r="F6" s="3435"/>
      <c r="G6" s="3427" t="s">
        <v>1677</v>
      </c>
      <c r="H6" s="3428"/>
      <c r="I6" s="3427" t="s">
        <v>1677</v>
      </c>
      <c r="J6" s="3428"/>
      <c r="K6" s="537" t="s">
        <v>1678</v>
      </c>
      <c r="L6" s="2487"/>
      <c r="M6" s="2488"/>
      <c r="N6" s="2488"/>
      <c r="O6" s="2488"/>
      <c r="P6" s="3419"/>
      <c r="Q6" s="3420"/>
      <c r="R6" s="3423"/>
      <c r="S6" s="3424"/>
      <c r="T6" s="3425"/>
      <c r="U6" s="3426"/>
      <c r="V6" s="3397"/>
      <c r="W6" s="3397"/>
      <c r="X6" s="1265"/>
      <c r="Y6" s="3425"/>
      <c r="Z6" s="3426"/>
      <c r="AA6" s="3410"/>
      <c r="AB6" s="3410"/>
      <c r="AC6" s="3410"/>
    </row>
    <row r="7" spans="1:29" s="102" customFormat="1" ht="15.75" thickBot="1">
      <c r="A7" s="352" t="s">
        <v>1679</v>
      </c>
      <c r="B7" s="353"/>
      <c r="C7" s="354">
        <f>'数据-取费表'!B2</f>
        <v>45743</v>
      </c>
      <c r="D7" s="355">
        <v>100</v>
      </c>
      <c r="E7" s="356"/>
      <c r="F7" s="357">
        <f>SUMIF(48:48,YEAR(E7)&amp;"-"&amp;MONTH(E7),49:49)</f>
        <v>0</v>
      </c>
      <c r="G7" s="356"/>
      <c r="H7" s="355">
        <f>SUMIF(48:48,YEAR(G7)&amp;"-"&amp;MONTH(G7),49:49)</f>
        <v>0</v>
      </c>
      <c r="I7" s="356"/>
      <c r="J7" s="355">
        <f>SUMIF(48:48,YEAR(I7)&amp;"-"&amp;MONTH(I7),49:49)</f>
        <v>0</v>
      </c>
      <c r="K7" s="38"/>
      <c r="L7" s="2489"/>
      <c r="M7" s="2440"/>
      <c r="N7" s="2440"/>
      <c r="O7" s="2440"/>
      <c r="P7" s="3431" t="s">
        <v>1680</v>
      </c>
      <c r="Q7" s="3433"/>
      <c r="R7" s="664" t="s">
        <v>14</v>
      </c>
      <c r="S7" s="665">
        <f t="shared" ref="S7:S14" si="0">F7</f>
        <v>0</v>
      </c>
      <c r="T7" s="664" t="s">
        <v>14</v>
      </c>
      <c r="U7" s="665">
        <f t="shared" ref="U7:U14" si="1">H7</f>
        <v>0</v>
      </c>
      <c r="V7" s="664" t="s">
        <v>14</v>
      </c>
      <c r="W7" s="665">
        <f t="shared" ref="W7:W14" si="2">J7</f>
        <v>0</v>
      </c>
      <c r="X7" s="666"/>
      <c r="Y7" s="3431" t="s">
        <v>1680</v>
      </c>
      <c r="Z7" s="343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31" t="s">
        <v>1683</v>
      </c>
      <c r="Q8" s="3432"/>
      <c r="R8" s="664" t="s">
        <v>14</v>
      </c>
      <c r="S8" s="665">
        <f t="shared" si="0"/>
        <v>100</v>
      </c>
      <c r="T8" s="664" t="s">
        <v>14</v>
      </c>
      <c r="U8" s="665">
        <f t="shared" si="1"/>
        <v>100</v>
      </c>
      <c r="V8" s="664" t="s">
        <v>14</v>
      </c>
      <c r="W8" s="665">
        <f t="shared" si="2"/>
        <v>100</v>
      </c>
      <c r="X8" s="666"/>
      <c r="Y8" s="3431" t="s">
        <v>1683</v>
      </c>
      <c r="Z8" s="343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6"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6"/>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6"/>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6"/>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6"/>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8" t="s">
        <v>1691</v>
      </c>
      <c r="Q14" s="1263" t="str">
        <f t="shared" si="6"/>
        <v>交通便捷度</v>
      </c>
      <c r="R14" s="667" t="s">
        <v>14</v>
      </c>
      <c r="S14" s="668">
        <f t="shared" si="0"/>
        <v>100</v>
      </c>
      <c r="T14" s="667" t="s">
        <v>14</v>
      </c>
      <c r="U14" s="668">
        <f t="shared" si="1"/>
        <v>100</v>
      </c>
      <c r="V14" s="667" t="s">
        <v>14</v>
      </c>
      <c r="W14" s="668">
        <f t="shared" si="2"/>
        <v>100</v>
      </c>
      <c r="X14" s="1265"/>
      <c r="Y14" s="339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9"/>
      <c r="Q15" s="1263"/>
      <c r="R15" s="667"/>
      <c r="S15" s="668"/>
      <c r="T15" s="667"/>
      <c r="U15" s="668"/>
      <c r="V15" s="667"/>
      <c r="W15" s="668"/>
      <c r="X15" s="1265"/>
      <c r="Y15" s="3399"/>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9"/>
      <c r="Q16" s="1263" t="str">
        <f>B16</f>
        <v>公共配套设施</v>
      </c>
      <c r="R16" s="667" t="s">
        <v>14</v>
      </c>
      <c r="S16" s="668">
        <f>F16</f>
        <v>100</v>
      </c>
      <c r="T16" s="667" t="s">
        <v>14</v>
      </c>
      <c r="U16" s="668">
        <f>H16</f>
        <v>100</v>
      </c>
      <c r="V16" s="667" t="s">
        <v>14</v>
      </c>
      <c r="W16" s="668">
        <f>J16</f>
        <v>100</v>
      </c>
      <c r="X16" s="1265"/>
      <c r="Y16" s="33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9"/>
      <c r="Q17" s="1263"/>
      <c r="R17" s="667"/>
      <c r="S17" s="668"/>
      <c r="T17" s="667"/>
      <c r="U17" s="668"/>
      <c r="V17" s="667"/>
      <c r="W17" s="668"/>
      <c r="X17" s="1265"/>
      <c r="Y17" s="339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9"/>
      <c r="Q18" s="1263" t="str">
        <f>B18</f>
        <v>基础设施水平</v>
      </c>
      <c r="R18" s="667" t="s">
        <v>14</v>
      </c>
      <c r="S18" s="668">
        <f>F18</f>
        <v>100</v>
      </c>
      <c r="T18" s="667" t="s">
        <v>14</v>
      </c>
      <c r="U18" s="668">
        <f>H18</f>
        <v>100</v>
      </c>
      <c r="V18" s="667" t="s">
        <v>14</v>
      </c>
      <c r="W18" s="668">
        <f>J18</f>
        <v>100</v>
      </c>
      <c r="X18" s="1265"/>
      <c r="Y18" s="33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9"/>
      <c r="Q19" s="1263"/>
      <c r="R19" s="667"/>
      <c r="S19" s="668"/>
      <c r="T19" s="667"/>
      <c r="U19" s="668"/>
      <c r="V19" s="667"/>
      <c r="W19" s="668"/>
      <c r="X19" s="1265"/>
      <c r="Y19" s="3399"/>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9"/>
      <c r="Q20" s="1263" t="str">
        <f>B20</f>
        <v>自然及人文环境</v>
      </c>
      <c r="R20" s="667" t="s">
        <v>14</v>
      </c>
      <c r="S20" s="668">
        <f>F20</f>
        <v>100</v>
      </c>
      <c r="T20" s="667" t="s">
        <v>14</v>
      </c>
      <c r="U20" s="668">
        <f>H20</f>
        <v>100</v>
      </c>
      <c r="V20" s="667" t="s">
        <v>14</v>
      </c>
      <c r="W20" s="668">
        <f>J20</f>
        <v>100</v>
      </c>
      <c r="X20" s="1265"/>
      <c r="Y20" s="33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9"/>
      <c r="Q21" s="1263"/>
      <c r="R21" s="667"/>
      <c r="S21" s="668"/>
      <c r="T21" s="667"/>
      <c r="U21" s="668"/>
      <c r="V21" s="667"/>
      <c r="W21" s="668"/>
      <c r="X21" s="1265"/>
      <c r="Y21" s="339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9"/>
      <c r="Q22" s="1263" t="str">
        <f>B22</f>
        <v>楼层</v>
      </c>
      <c r="R22" s="667" t="s">
        <v>14</v>
      </c>
      <c r="S22" s="668">
        <f>F22</f>
        <v>100</v>
      </c>
      <c r="T22" s="667" t="s">
        <v>14</v>
      </c>
      <c r="U22" s="668">
        <f>H22</f>
        <v>100</v>
      </c>
      <c r="V22" s="667" t="s">
        <v>14</v>
      </c>
      <c r="W22" s="668">
        <f>J22</f>
        <v>100</v>
      </c>
      <c r="X22" s="1265"/>
      <c r="Y22" s="33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9"/>
      <c r="Q23" s="1263">
        <f>B23</f>
        <v>111</v>
      </c>
      <c r="R23" s="667" t="s">
        <v>14</v>
      </c>
      <c r="S23" s="668">
        <f>F23</f>
        <v>100</v>
      </c>
      <c r="T23" s="667" t="s">
        <v>14</v>
      </c>
      <c r="U23" s="668">
        <f>H23</f>
        <v>100</v>
      </c>
      <c r="V23" s="667" t="s">
        <v>14</v>
      </c>
      <c r="W23" s="668">
        <f>J23</f>
        <v>100</v>
      </c>
      <c r="X23" s="1265"/>
      <c r="Y23" s="33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9"/>
      <c r="Q24" s="1263">
        <f t="shared" ref="Q24:Q36" si="11">B24</f>
        <v>111</v>
      </c>
      <c r="R24" s="667" t="s">
        <v>14</v>
      </c>
      <c r="S24" s="668">
        <f>F24</f>
        <v>100</v>
      </c>
      <c r="T24" s="667" t="s">
        <v>14</v>
      </c>
      <c r="U24" s="668">
        <f>H24</f>
        <v>100</v>
      </c>
      <c r="V24" s="667" t="s">
        <v>14</v>
      </c>
      <c r="W24" s="668">
        <f>J24</f>
        <v>100</v>
      </c>
      <c r="X24" s="1265"/>
      <c r="Y24" s="339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9"/>
      <c r="Q25" s="530">
        <f t="shared" si="11"/>
        <v>111</v>
      </c>
      <c r="R25" s="664" t="s">
        <v>14</v>
      </c>
      <c r="S25" s="665">
        <f>F25</f>
        <v>100</v>
      </c>
      <c r="T25" s="664" t="s">
        <v>14</v>
      </c>
      <c r="U25" s="665">
        <f>H25</f>
        <v>100</v>
      </c>
      <c r="V25" s="664" t="s">
        <v>14</v>
      </c>
      <c r="W25" s="665">
        <f>J25</f>
        <v>100</v>
      </c>
      <c r="X25" s="666"/>
      <c r="Y25" s="339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3"/>
      <c r="Q27" s="531" t="str">
        <f t="shared" si="11"/>
        <v>项目停车位配比</v>
      </c>
      <c r="R27" s="669" t="s">
        <v>14</v>
      </c>
      <c r="S27" s="670">
        <f t="shared" si="12"/>
        <v>100</v>
      </c>
      <c r="T27" s="669" t="s">
        <v>14</v>
      </c>
      <c r="U27" s="670">
        <f t="shared" si="13"/>
        <v>100</v>
      </c>
      <c r="V27" s="669" t="s">
        <v>14</v>
      </c>
      <c r="W27" s="670">
        <f t="shared" si="14"/>
        <v>100</v>
      </c>
      <c r="X27" s="671"/>
      <c r="Y27" s="340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3"/>
      <c r="Q28" s="1263" t="str">
        <f t="shared" si="11"/>
        <v>公共部分装修</v>
      </c>
      <c r="R28" s="667" t="s">
        <v>14</v>
      </c>
      <c r="S28" s="668">
        <f t="shared" si="12"/>
        <v>100</v>
      </c>
      <c r="T28" s="667" t="s">
        <v>14</v>
      </c>
      <c r="U28" s="668">
        <f t="shared" si="13"/>
        <v>100</v>
      </c>
      <c r="V28" s="667" t="s">
        <v>14</v>
      </c>
      <c r="W28" s="668">
        <f t="shared" si="14"/>
        <v>100</v>
      </c>
      <c r="X28" s="1265"/>
      <c r="Y28" s="340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3"/>
      <c r="Q29" s="1263" t="str">
        <f t="shared" si="11"/>
        <v>成新率</v>
      </c>
      <c r="R29" s="667" t="s">
        <v>14</v>
      </c>
      <c r="S29" s="668" t="e">
        <f t="shared" si="12"/>
        <v>#N/A</v>
      </c>
      <c r="T29" s="667" t="s">
        <v>14</v>
      </c>
      <c r="U29" s="668" t="e">
        <f t="shared" si="13"/>
        <v>#N/A</v>
      </c>
      <c r="V29" s="667" t="s">
        <v>14</v>
      </c>
      <c r="W29" s="668" t="e">
        <f t="shared" si="14"/>
        <v>#N/A</v>
      </c>
      <c r="X29" s="1265"/>
      <c r="Y29" s="340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3"/>
      <c r="Q30" s="1263" t="str">
        <f t="shared" si="11"/>
        <v>物业等级</v>
      </c>
      <c r="R30" s="667" t="s">
        <v>14</v>
      </c>
      <c r="S30" s="668">
        <f t="shared" si="12"/>
        <v>100</v>
      </c>
      <c r="T30" s="667" t="s">
        <v>14</v>
      </c>
      <c r="U30" s="668">
        <f t="shared" si="13"/>
        <v>100</v>
      </c>
      <c r="V30" s="667" t="s">
        <v>14</v>
      </c>
      <c r="W30" s="668">
        <f t="shared" si="14"/>
        <v>100</v>
      </c>
      <c r="X30" s="1265"/>
      <c r="Y30" s="340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3"/>
      <c r="Q31" s="530" t="str">
        <f t="shared" si="11"/>
        <v>停车位面积</v>
      </c>
      <c r="R31" s="664" t="s">
        <v>14</v>
      </c>
      <c r="S31" s="665" t="e">
        <f t="shared" si="12"/>
        <v>#N/A</v>
      </c>
      <c r="T31" s="664" t="s">
        <v>14</v>
      </c>
      <c r="U31" s="665" t="e">
        <f t="shared" si="13"/>
        <v>#N/A</v>
      </c>
      <c r="V31" s="664" t="s">
        <v>14</v>
      </c>
      <c r="W31" s="665" t="e">
        <f t="shared" si="14"/>
        <v>#N/A</v>
      </c>
      <c r="X31" s="666"/>
      <c r="Y31" s="340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3" t="s">
        <v>1696</v>
      </c>
      <c r="Q32" s="1263" t="str">
        <f t="shared" si="11"/>
        <v>车位类型</v>
      </c>
      <c r="R32" s="667" t="s">
        <v>14</v>
      </c>
      <c r="S32" s="668">
        <f t="shared" si="12"/>
        <v>100</v>
      </c>
      <c r="T32" s="667" t="s">
        <v>14</v>
      </c>
      <c r="U32" s="668">
        <f t="shared" si="13"/>
        <v>100</v>
      </c>
      <c r="V32" s="667" t="s">
        <v>14</v>
      </c>
      <c r="W32" s="668">
        <f t="shared" si="14"/>
        <v>100</v>
      </c>
      <c r="X32" s="1265"/>
      <c r="Y32" s="340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3"/>
      <c r="Q33" s="1263" t="str">
        <f t="shared" si="11"/>
        <v>是否直接入户</v>
      </c>
      <c r="R33" s="667" t="s">
        <v>14</v>
      </c>
      <c r="S33" s="668">
        <f t="shared" si="12"/>
        <v>100</v>
      </c>
      <c r="T33" s="667" t="s">
        <v>14</v>
      </c>
      <c r="U33" s="668">
        <f t="shared" si="13"/>
        <v>100</v>
      </c>
      <c r="V33" s="667" t="s">
        <v>14</v>
      </c>
      <c r="W33" s="668">
        <f t="shared" si="14"/>
        <v>100</v>
      </c>
      <c r="X33" s="1265"/>
      <c r="Y33" s="34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3"/>
      <c r="Q34" s="1263">
        <f t="shared" si="11"/>
        <v>111</v>
      </c>
      <c r="R34" s="667" t="s">
        <v>14</v>
      </c>
      <c r="S34" s="668">
        <f t="shared" si="12"/>
        <v>100</v>
      </c>
      <c r="T34" s="667" t="s">
        <v>14</v>
      </c>
      <c r="U34" s="668">
        <f t="shared" si="13"/>
        <v>100</v>
      </c>
      <c r="V34" s="667" t="s">
        <v>14</v>
      </c>
      <c r="W34" s="668">
        <f t="shared" si="14"/>
        <v>100</v>
      </c>
      <c r="X34" s="1265"/>
      <c r="Y34" s="34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3"/>
      <c r="Q35" s="531">
        <f t="shared" si="11"/>
        <v>111</v>
      </c>
      <c r="R35" s="669" t="s">
        <v>14</v>
      </c>
      <c r="S35" s="670">
        <f t="shared" si="12"/>
        <v>100</v>
      </c>
      <c r="T35" s="669" t="s">
        <v>14</v>
      </c>
      <c r="U35" s="670">
        <f t="shared" si="13"/>
        <v>100</v>
      </c>
      <c r="V35" s="669" t="s">
        <v>14</v>
      </c>
      <c r="W35" s="670">
        <f t="shared" si="14"/>
        <v>100</v>
      </c>
      <c r="X35" s="671"/>
      <c r="Y35" s="340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3"/>
      <c r="Q36" s="1263">
        <f t="shared" si="11"/>
        <v>111</v>
      </c>
      <c r="R36" s="667" t="s">
        <v>14</v>
      </c>
      <c r="S36" s="668">
        <f t="shared" si="12"/>
        <v>100</v>
      </c>
      <c r="T36" s="667" t="s">
        <v>14</v>
      </c>
      <c r="U36" s="668">
        <f t="shared" si="13"/>
        <v>100</v>
      </c>
      <c r="V36" s="667" t="s">
        <v>14</v>
      </c>
      <c r="W36" s="668">
        <f t="shared" si="14"/>
        <v>100</v>
      </c>
      <c r="X36" s="1265"/>
      <c r="Y36" s="3403"/>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396" t="str">
        <f>A37</f>
        <v>成交单价</v>
      </c>
      <c r="Q37" s="3396"/>
      <c r="R37" s="3397">
        <f>E37</f>
        <v>0</v>
      </c>
      <c r="S37" s="3397"/>
      <c r="T37" s="3397">
        <f>G37</f>
        <v>0</v>
      </c>
      <c r="U37" s="3397"/>
      <c r="V37" s="3397">
        <f>I37</f>
        <v>0</v>
      </c>
      <c r="W37" s="339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6" t="str">
        <f>A38</f>
        <v>比较价值（元/平方米）</v>
      </c>
      <c r="Q38" s="3396"/>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93" t="str">
        <f>A39</f>
        <v>估价对象XX用房的比较价值（楼面单价，元/平方米）</v>
      </c>
      <c r="Q39" s="3394"/>
      <c r="R39" s="3454" t="e">
        <f>IF(F1="售价",ROUND(IF(D38="简单平均",AVERAGE(R38:W38),R38*F38+T38*H38+V38*J38),0),ROUND(IF(D38="简单平均",AVERAGE(R38:V38),R38*F38+T38*H38+V38*J38),1))</f>
        <v>#DIV/0!</v>
      </c>
      <c r="S39" s="3454"/>
      <c r="T39" s="3454"/>
      <c r="U39" s="3454"/>
      <c r="V39" s="3454"/>
      <c r="W39" s="34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7"/>
      <c r="M4" s="2488"/>
      <c r="N4" s="2488"/>
      <c r="O4" s="2488"/>
      <c r="P4" s="3415" t="s">
        <v>1775</v>
      </c>
      <c r="Q4" s="3416"/>
      <c r="R4" s="3421" t="s">
        <v>1771</v>
      </c>
      <c r="S4" s="3422"/>
      <c r="T4" s="3421" t="s">
        <v>1772</v>
      </c>
      <c r="U4" s="3422"/>
      <c r="V4" s="3397" t="s">
        <v>1773</v>
      </c>
      <c r="W4" s="3397"/>
      <c r="X4" s="1265"/>
      <c r="Y4" s="3421" t="s">
        <v>1775</v>
      </c>
      <c r="Z4" s="3422"/>
      <c r="AA4" s="3408" t="s">
        <v>1771</v>
      </c>
      <c r="AB4" s="3409" t="s">
        <v>1772</v>
      </c>
      <c r="AC4" s="3408" t="s">
        <v>1773</v>
      </c>
    </row>
    <row r="5" spans="1:29" ht="15">
      <c r="A5" s="348"/>
      <c r="B5" s="349"/>
      <c r="C5" s="3429" t="s">
        <v>1673</v>
      </c>
      <c r="D5" s="3430"/>
      <c r="E5" s="3436" t="s">
        <v>1674</v>
      </c>
      <c r="F5" s="3437"/>
      <c r="G5" s="3429" t="s">
        <v>1675</v>
      </c>
      <c r="H5" s="3430"/>
      <c r="I5" s="3429" t="s">
        <v>1676</v>
      </c>
      <c r="J5" s="3430"/>
      <c r="K5" s="537"/>
      <c r="L5" s="2487"/>
      <c r="M5" s="2488"/>
      <c r="N5" s="2488"/>
      <c r="O5" s="2488"/>
      <c r="P5" s="3417"/>
      <c r="Q5" s="3418"/>
      <c r="R5" s="3423"/>
      <c r="S5" s="3424"/>
      <c r="T5" s="3423"/>
      <c r="U5" s="3424"/>
      <c r="V5" s="3397"/>
      <c r="W5" s="3397"/>
      <c r="X5" s="1265"/>
      <c r="Y5" s="3423"/>
      <c r="Z5" s="3424"/>
      <c r="AA5" s="3409"/>
      <c r="AB5" s="3409"/>
      <c r="AC5" s="3409"/>
    </row>
    <row r="6" spans="1:29" ht="15.75" thickBot="1">
      <c r="A6" s="350"/>
      <c r="B6" s="351"/>
      <c r="C6" s="3427" t="s">
        <v>1677</v>
      </c>
      <c r="D6" s="3428"/>
      <c r="E6" s="3434" t="s">
        <v>1677</v>
      </c>
      <c r="F6" s="3435"/>
      <c r="G6" s="3427" t="s">
        <v>1677</v>
      </c>
      <c r="H6" s="3428"/>
      <c r="I6" s="3427" t="s">
        <v>1677</v>
      </c>
      <c r="J6" s="3428"/>
      <c r="K6" s="537" t="s">
        <v>1678</v>
      </c>
      <c r="L6" s="2487"/>
      <c r="M6" s="2488"/>
      <c r="N6" s="2488"/>
      <c r="O6" s="2488"/>
      <c r="P6" s="3419"/>
      <c r="Q6" s="3420"/>
      <c r="R6" s="3423"/>
      <c r="S6" s="3424"/>
      <c r="T6" s="3425"/>
      <c r="U6" s="3426"/>
      <c r="V6" s="3397"/>
      <c r="W6" s="3397"/>
      <c r="X6" s="1265"/>
      <c r="Y6" s="3425"/>
      <c r="Z6" s="3426"/>
      <c r="AA6" s="3410"/>
      <c r="AB6" s="3410"/>
      <c r="AC6" s="3410"/>
    </row>
    <row r="7" spans="1:29" s="102" customFormat="1" ht="15.75" thickBot="1">
      <c r="A7" s="352" t="s">
        <v>1679</v>
      </c>
      <c r="B7" s="353"/>
      <c r="C7" s="354">
        <f>'数据-取费表'!B2</f>
        <v>45743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31" t="s">
        <v>1680</v>
      </c>
      <c r="Q7" s="3433"/>
      <c r="R7" s="664" t="s">
        <v>14</v>
      </c>
      <c r="S7" s="665">
        <f t="shared" ref="S7:S14" si="0">F7</f>
        <v>0</v>
      </c>
      <c r="T7" s="664" t="s">
        <v>14</v>
      </c>
      <c r="U7" s="665">
        <f t="shared" ref="U7:U14" si="1">H7</f>
        <v>0</v>
      </c>
      <c r="V7" s="664" t="s">
        <v>14</v>
      </c>
      <c r="W7" s="665">
        <f t="shared" ref="W7:W14" si="2">J7</f>
        <v>0</v>
      </c>
      <c r="X7" s="666"/>
      <c r="Y7" s="3431" t="s">
        <v>1680</v>
      </c>
      <c r="Z7" s="343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31" t="s">
        <v>1683</v>
      </c>
      <c r="Q8" s="3432"/>
      <c r="R8" s="664" t="s">
        <v>14</v>
      </c>
      <c r="S8" s="665">
        <f t="shared" si="0"/>
        <v>100</v>
      </c>
      <c r="T8" s="664" t="s">
        <v>14</v>
      </c>
      <c r="U8" s="665">
        <f t="shared" si="1"/>
        <v>100</v>
      </c>
      <c r="V8" s="664" t="s">
        <v>14</v>
      </c>
      <c r="W8" s="665">
        <f t="shared" si="2"/>
        <v>100</v>
      </c>
      <c r="X8" s="666"/>
      <c r="Y8" s="3431" t="s">
        <v>1683</v>
      </c>
      <c r="Z8" s="343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6"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6"/>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6"/>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6"/>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6"/>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8" t="s">
        <v>1691</v>
      </c>
      <c r="Q14" s="1263" t="str">
        <f t="shared" si="6"/>
        <v>交通便捷度</v>
      </c>
      <c r="R14" s="667" t="s">
        <v>14</v>
      </c>
      <c r="S14" s="668">
        <f t="shared" si="0"/>
        <v>100</v>
      </c>
      <c r="T14" s="667" t="s">
        <v>14</v>
      </c>
      <c r="U14" s="668">
        <f t="shared" si="1"/>
        <v>100</v>
      </c>
      <c r="V14" s="667" t="s">
        <v>14</v>
      </c>
      <c r="W14" s="668">
        <f t="shared" si="2"/>
        <v>100</v>
      </c>
      <c r="X14" s="1265"/>
      <c r="Y14" s="339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9"/>
      <c r="Q15" s="1263"/>
      <c r="R15" s="667"/>
      <c r="S15" s="668"/>
      <c r="T15" s="667"/>
      <c r="U15" s="668"/>
      <c r="V15" s="667"/>
      <c r="W15" s="668"/>
      <c r="X15" s="1265"/>
      <c r="Y15" s="3399"/>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9"/>
      <c r="Q16" s="1263" t="str">
        <f>B16</f>
        <v>公共配套设施</v>
      </c>
      <c r="R16" s="667" t="s">
        <v>14</v>
      </c>
      <c r="S16" s="668">
        <f>F16</f>
        <v>100</v>
      </c>
      <c r="T16" s="667" t="s">
        <v>14</v>
      </c>
      <c r="U16" s="668">
        <f>H16</f>
        <v>100</v>
      </c>
      <c r="V16" s="667" t="s">
        <v>14</v>
      </c>
      <c r="W16" s="668">
        <f>J16</f>
        <v>100</v>
      </c>
      <c r="X16" s="1265"/>
      <c r="Y16" s="33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9"/>
      <c r="Q17" s="1263"/>
      <c r="R17" s="667"/>
      <c r="S17" s="668"/>
      <c r="T17" s="667"/>
      <c r="U17" s="668"/>
      <c r="V17" s="667"/>
      <c r="W17" s="668"/>
      <c r="X17" s="1265"/>
      <c r="Y17" s="339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9"/>
      <c r="Q18" s="1263" t="str">
        <f>B18</f>
        <v>基础设施水平</v>
      </c>
      <c r="R18" s="667" t="s">
        <v>14</v>
      </c>
      <c r="S18" s="668">
        <f>F18</f>
        <v>100</v>
      </c>
      <c r="T18" s="667" t="s">
        <v>14</v>
      </c>
      <c r="U18" s="668">
        <f>H18</f>
        <v>100</v>
      </c>
      <c r="V18" s="667" t="s">
        <v>14</v>
      </c>
      <c r="W18" s="668">
        <f>J18</f>
        <v>100</v>
      </c>
      <c r="X18" s="1265"/>
      <c r="Y18" s="33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9"/>
      <c r="Q19" s="1263"/>
      <c r="R19" s="667"/>
      <c r="S19" s="668"/>
      <c r="T19" s="667"/>
      <c r="U19" s="668"/>
      <c r="V19" s="667"/>
      <c r="W19" s="668"/>
      <c r="X19" s="1265"/>
      <c r="Y19" s="3399"/>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9"/>
      <c r="Q20" s="1263" t="str">
        <f>B20</f>
        <v>自然及人文环境</v>
      </c>
      <c r="R20" s="667" t="s">
        <v>14</v>
      </c>
      <c r="S20" s="668">
        <f>F20</f>
        <v>100</v>
      </c>
      <c r="T20" s="667" t="s">
        <v>14</v>
      </c>
      <c r="U20" s="668">
        <f>H20</f>
        <v>100</v>
      </c>
      <c r="V20" s="667" t="s">
        <v>14</v>
      </c>
      <c r="W20" s="668">
        <f>J20</f>
        <v>100</v>
      </c>
      <c r="X20" s="1265"/>
      <c r="Y20" s="33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9"/>
      <c r="Q21" s="1263"/>
      <c r="R21" s="667"/>
      <c r="S21" s="668"/>
      <c r="T21" s="667"/>
      <c r="U21" s="668"/>
      <c r="V21" s="667"/>
      <c r="W21" s="668"/>
      <c r="X21" s="1265"/>
      <c r="Y21" s="339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9"/>
      <c r="Q22" s="1263" t="str">
        <f>B22</f>
        <v>楼层</v>
      </c>
      <c r="R22" s="667" t="s">
        <v>14</v>
      </c>
      <c r="S22" s="668">
        <f>F22</f>
        <v>100</v>
      </c>
      <c r="T22" s="667" t="s">
        <v>14</v>
      </c>
      <c r="U22" s="668">
        <f>H22</f>
        <v>100</v>
      </c>
      <c r="V22" s="667" t="s">
        <v>14</v>
      </c>
      <c r="W22" s="668">
        <f>J22</f>
        <v>100</v>
      </c>
      <c r="X22" s="1265"/>
      <c r="Y22" s="33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9"/>
      <c r="Q23" s="1263">
        <f>B23</f>
        <v>111</v>
      </c>
      <c r="R23" s="667" t="s">
        <v>14</v>
      </c>
      <c r="S23" s="668">
        <f>F23</f>
        <v>100</v>
      </c>
      <c r="T23" s="667" t="s">
        <v>14</v>
      </c>
      <c r="U23" s="668">
        <f>H23</f>
        <v>100</v>
      </c>
      <c r="V23" s="667" t="s">
        <v>14</v>
      </c>
      <c r="W23" s="668">
        <f>J23</f>
        <v>100</v>
      </c>
      <c r="X23" s="1265"/>
      <c r="Y23" s="33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9"/>
      <c r="Q24" s="1263">
        <f t="shared" ref="Q24:Q34" si="11">B24</f>
        <v>111</v>
      </c>
      <c r="R24" s="667" t="s">
        <v>14</v>
      </c>
      <c r="S24" s="668">
        <f>F24</f>
        <v>100</v>
      </c>
      <c r="T24" s="667" t="s">
        <v>14</v>
      </c>
      <c r="U24" s="668">
        <f>H24</f>
        <v>100</v>
      </c>
      <c r="V24" s="667" t="s">
        <v>14</v>
      </c>
      <c r="W24" s="668">
        <f>J24</f>
        <v>100</v>
      </c>
      <c r="X24" s="1265"/>
      <c r="Y24" s="339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9"/>
      <c r="Q25" s="530">
        <f t="shared" si="11"/>
        <v>111</v>
      </c>
      <c r="R25" s="664" t="s">
        <v>14</v>
      </c>
      <c r="S25" s="665">
        <f>F25</f>
        <v>100</v>
      </c>
      <c r="T25" s="664" t="s">
        <v>14</v>
      </c>
      <c r="U25" s="665">
        <f>H25</f>
        <v>100</v>
      </c>
      <c r="V25" s="664" t="s">
        <v>14</v>
      </c>
      <c r="W25" s="665">
        <f>J25</f>
        <v>100</v>
      </c>
      <c r="X25" s="666"/>
      <c r="Y25" s="339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3"/>
      <c r="Q27" s="531" t="str">
        <f t="shared" si="11"/>
        <v>成新率</v>
      </c>
      <c r="R27" s="669" t="s">
        <v>14</v>
      </c>
      <c r="S27" s="670" t="e">
        <f t="shared" si="12"/>
        <v>#N/A</v>
      </c>
      <c r="T27" s="669" t="s">
        <v>14</v>
      </c>
      <c r="U27" s="670" t="e">
        <f t="shared" si="13"/>
        <v>#N/A</v>
      </c>
      <c r="V27" s="669" t="s">
        <v>14</v>
      </c>
      <c r="W27" s="670" t="e">
        <f t="shared" si="14"/>
        <v>#N/A</v>
      </c>
      <c r="X27" s="671"/>
      <c r="Y27" s="340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3"/>
      <c r="Q28" s="1263" t="str">
        <f t="shared" si="11"/>
        <v>物业等级</v>
      </c>
      <c r="R28" s="667" t="s">
        <v>14</v>
      </c>
      <c r="S28" s="668">
        <f t="shared" si="12"/>
        <v>100</v>
      </c>
      <c r="T28" s="667" t="s">
        <v>14</v>
      </c>
      <c r="U28" s="668">
        <f t="shared" si="13"/>
        <v>100</v>
      </c>
      <c r="V28" s="667" t="s">
        <v>14</v>
      </c>
      <c r="W28" s="668">
        <f t="shared" si="14"/>
        <v>100</v>
      </c>
      <c r="X28" s="1265"/>
      <c r="Y28" s="340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3"/>
      <c r="Q29" s="1263" t="str">
        <f t="shared" si="11"/>
        <v>有无电梯</v>
      </c>
      <c r="R29" s="667" t="s">
        <v>14</v>
      </c>
      <c r="S29" s="668">
        <f t="shared" si="12"/>
        <v>100</v>
      </c>
      <c r="T29" s="667" t="s">
        <v>14</v>
      </c>
      <c r="U29" s="668">
        <f t="shared" si="13"/>
        <v>100</v>
      </c>
      <c r="V29" s="667" t="s">
        <v>14</v>
      </c>
      <c r="W29" s="668">
        <f t="shared" si="14"/>
        <v>100</v>
      </c>
      <c r="X29" s="1265"/>
      <c r="Y29" s="340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3"/>
      <c r="Q30" s="1263" t="str">
        <f t="shared" si="11"/>
        <v>建筑面积</v>
      </c>
      <c r="R30" s="667" t="s">
        <v>14</v>
      </c>
      <c r="S30" s="668" t="e">
        <f t="shared" si="12"/>
        <v>#N/A</v>
      </c>
      <c r="T30" s="667" t="s">
        <v>14</v>
      </c>
      <c r="U30" s="668" t="e">
        <f t="shared" si="13"/>
        <v>#N/A</v>
      </c>
      <c r="V30" s="667" t="s">
        <v>14</v>
      </c>
      <c r="W30" s="668" t="e">
        <f t="shared" si="14"/>
        <v>#N/A</v>
      </c>
      <c r="X30" s="1265"/>
      <c r="Y30" s="340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3"/>
      <c r="Q31" s="530" t="str">
        <f t="shared" si="11"/>
        <v>是否封闭</v>
      </c>
      <c r="R31" s="664" t="s">
        <v>14</v>
      </c>
      <c r="S31" s="665">
        <f t="shared" si="12"/>
        <v>100</v>
      </c>
      <c r="T31" s="664" t="s">
        <v>14</v>
      </c>
      <c r="U31" s="665">
        <f t="shared" si="13"/>
        <v>100</v>
      </c>
      <c r="V31" s="664" t="s">
        <v>14</v>
      </c>
      <c r="W31" s="665">
        <f t="shared" si="14"/>
        <v>100</v>
      </c>
      <c r="X31" s="666"/>
      <c r="Y31" s="34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3" t="s">
        <v>1696</v>
      </c>
      <c r="Q32" s="1263">
        <f t="shared" si="11"/>
        <v>111</v>
      </c>
      <c r="R32" s="667" t="s">
        <v>14</v>
      </c>
      <c r="S32" s="668">
        <f t="shared" si="12"/>
        <v>100</v>
      </c>
      <c r="T32" s="667" t="s">
        <v>14</v>
      </c>
      <c r="U32" s="668">
        <f t="shared" si="13"/>
        <v>100</v>
      </c>
      <c r="V32" s="667" t="s">
        <v>14</v>
      </c>
      <c r="W32" s="668">
        <f t="shared" si="14"/>
        <v>100</v>
      </c>
      <c r="X32" s="1265"/>
      <c r="Y32" s="340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3"/>
      <c r="Q33" s="1263">
        <f t="shared" si="11"/>
        <v>111</v>
      </c>
      <c r="R33" s="667" t="s">
        <v>14</v>
      </c>
      <c r="S33" s="668">
        <f t="shared" si="12"/>
        <v>100</v>
      </c>
      <c r="T33" s="667" t="s">
        <v>14</v>
      </c>
      <c r="U33" s="668">
        <f t="shared" si="13"/>
        <v>100</v>
      </c>
      <c r="V33" s="667" t="s">
        <v>14</v>
      </c>
      <c r="W33" s="668">
        <f t="shared" si="14"/>
        <v>100</v>
      </c>
      <c r="X33" s="1265"/>
      <c r="Y33" s="340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3"/>
      <c r="Q34" s="1263">
        <f t="shared" si="11"/>
        <v>111</v>
      </c>
      <c r="R34" s="667" t="s">
        <v>14</v>
      </c>
      <c r="S34" s="668">
        <f t="shared" si="12"/>
        <v>100</v>
      </c>
      <c r="T34" s="667" t="s">
        <v>14</v>
      </c>
      <c r="U34" s="668">
        <f t="shared" si="13"/>
        <v>100</v>
      </c>
      <c r="V34" s="667" t="s">
        <v>14</v>
      </c>
      <c r="W34" s="668">
        <f t="shared" si="14"/>
        <v>100</v>
      </c>
      <c r="X34" s="1265"/>
      <c r="Y34" s="340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6" t="str">
        <f>A35</f>
        <v>成交单价（元/平方米）</v>
      </c>
      <c r="Q35" s="3396"/>
      <c r="R35" s="3397">
        <f>E35</f>
        <v>0</v>
      </c>
      <c r="S35" s="3397"/>
      <c r="T35" s="3397">
        <f>G35</f>
        <v>0</v>
      </c>
      <c r="U35" s="3397"/>
      <c r="V35" s="3397">
        <f>I35</f>
        <v>0</v>
      </c>
      <c r="W35" s="339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6" t="str">
        <f>A36</f>
        <v>比较价值（元/平方米）</v>
      </c>
      <c r="Q36" s="3396"/>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93" t="str">
        <f>A37</f>
        <v>估价对象XX用房的比较价值（楼面单价，元/平方米）</v>
      </c>
      <c r="Q37" s="3394"/>
      <c r="R37" s="3454" t="e">
        <f>IF(F1="售价",ROUND(IF(D36="简单平均",AVERAGE(R36:W36),R36*F36+T36*H36+V36*J36),0),ROUND(IF(D36="简单平均",AVERAGE(R36:V36),R36*F36+T36*H36+V36*J36),1))</f>
        <v>#DIV/0!</v>
      </c>
      <c r="S37" s="3454"/>
      <c r="T37" s="3454"/>
      <c r="U37" s="3454"/>
      <c r="V37" s="3454"/>
      <c r="W37" s="34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7"/>
      <c r="M4" s="2488"/>
      <c r="N4" s="2488"/>
      <c r="O4" s="2488"/>
      <c r="P4" s="3415" t="s">
        <v>1775</v>
      </c>
      <c r="Q4" s="3416"/>
      <c r="R4" s="3421" t="s">
        <v>1771</v>
      </c>
      <c r="S4" s="3422"/>
      <c r="T4" s="3421" t="s">
        <v>1772</v>
      </c>
      <c r="U4" s="3422"/>
      <c r="V4" s="3397" t="s">
        <v>1773</v>
      </c>
      <c r="W4" s="3397"/>
      <c r="X4" s="1265"/>
      <c r="Y4" s="3421" t="s">
        <v>1775</v>
      </c>
      <c r="Z4" s="3422"/>
      <c r="AA4" s="3408" t="s">
        <v>1771</v>
      </c>
      <c r="AB4" s="3409" t="s">
        <v>1772</v>
      </c>
      <c r="AC4" s="3408" t="s">
        <v>1773</v>
      </c>
    </row>
    <row r="5" spans="1:29" ht="15">
      <c r="A5" s="348"/>
      <c r="B5" s="349"/>
      <c r="C5" s="3429" t="s">
        <v>1673</v>
      </c>
      <c r="D5" s="3430"/>
      <c r="E5" s="3436" t="s">
        <v>1674</v>
      </c>
      <c r="F5" s="3437"/>
      <c r="G5" s="3429" t="s">
        <v>1675</v>
      </c>
      <c r="H5" s="3430"/>
      <c r="I5" s="3429" t="s">
        <v>1676</v>
      </c>
      <c r="J5" s="3430"/>
      <c r="K5" s="537"/>
      <c r="L5" s="2487"/>
      <c r="M5" s="2488"/>
      <c r="N5" s="2488"/>
      <c r="O5" s="2488"/>
      <c r="P5" s="3417"/>
      <c r="Q5" s="3418"/>
      <c r="R5" s="3423"/>
      <c r="S5" s="3424"/>
      <c r="T5" s="3423"/>
      <c r="U5" s="3424"/>
      <c r="V5" s="3397"/>
      <c r="W5" s="3397"/>
      <c r="X5" s="1265"/>
      <c r="Y5" s="3423"/>
      <c r="Z5" s="3424"/>
      <c r="AA5" s="3409"/>
      <c r="AB5" s="3409"/>
      <c r="AC5" s="3409"/>
    </row>
    <row r="6" spans="1:29" ht="15.75" thickBot="1">
      <c r="A6" s="350"/>
      <c r="B6" s="351"/>
      <c r="C6" s="3427" t="s">
        <v>1677</v>
      </c>
      <c r="D6" s="3428"/>
      <c r="E6" s="3434" t="s">
        <v>1677</v>
      </c>
      <c r="F6" s="3435"/>
      <c r="G6" s="3427" t="s">
        <v>1677</v>
      </c>
      <c r="H6" s="3428"/>
      <c r="I6" s="3427" t="s">
        <v>1677</v>
      </c>
      <c r="J6" s="3428"/>
      <c r="K6" s="537" t="s">
        <v>1678</v>
      </c>
      <c r="L6" s="2487"/>
      <c r="M6" s="2488"/>
      <c r="N6" s="2488"/>
      <c r="O6" s="2488"/>
      <c r="P6" s="3419"/>
      <c r="Q6" s="3420"/>
      <c r="R6" s="3423"/>
      <c r="S6" s="3424"/>
      <c r="T6" s="3425"/>
      <c r="U6" s="3426"/>
      <c r="V6" s="3397"/>
      <c r="W6" s="3397"/>
      <c r="X6" s="1265"/>
      <c r="Y6" s="3425"/>
      <c r="Z6" s="3426"/>
      <c r="AA6" s="3410"/>
      <c r="AB6" s="3410"/>
      <c r="AC6" s="3410"/>
    </row>
    <row r="7" spans="1:29" s="102" customFormat="1" ht="15.75" thickBot="1">
      <c r="A7" s="352" t="s">
        <v>1679</v>
      </c>
      <c r="B7" s="353"/>
      <c r="C7" s="354">
        <f>'数据-取费表'!B2</f>
        <v>45743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31" t="s">
        <v>1680</v>
      </c>
      <c r="Q7" s="3433"/>
      <c r="R7" s="664" t="s">
        <v>14</v>
      </c>
      <c r="S7" s="665">
        <f t="shared" ref="S7:S15" si="0">F7</f>
        <v>0</v>
      </c>
      <c r="T7" s="664" t="s">
        <v>14</v>
      </c>
      <c r="U7" s="665">
        <f t="shared" ref="U7:U15" si="1">H7</f>
        <v>0</v>
      </c>
      <c r="V7" s="664" t="s">
        <v>14</v>
      </c>
      <c r="W7" s="665">
        <f t="shared" ref="W7:W15" si="2">J7</f>
        <v>0</v>
      </c>
      <c r="X7" s="666"/>
      <c r="Y7" s="3431" t="s">
        <v>1680</v>
      </c>
      <c r="Z7" s="343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31" t="s">
        <v>1683</v>
      </c>
      <c r="Q8" s="3432"/>
      <c r="R8" s="664" t="s">
        <v>14</v>
      </c>
      <c r="S8" s="665">
        <f t="shared" si="0"/>
        <v>0</v>
      </c>
      <c r="T8" s="664" t="s">
        <v>14</v>
      </c>
      <c r="U8" s="665">
        <f t="shared" si="1"/>
        <v>0</v>
      </c>
      <c r="V8" s="664" t="s">
        <v>14</v>
      </c>
      <c r="W8" s="665">
        <f t="shared" si="2"/>
        <v>0</v>
      </c>
      <c r="X8" s="666"/>
      <c r="Y8" s="3431" t="s">
        <v>1683</v>
      </c>
      <c r="Z8" s="343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6"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164</v>
      </c>
      <c r="G10" s="402"/>
      <c r="H10" s="119">
        <f>ROUND(100/'数据-取费表'!G16,0)</f>
        <v>164</v>
      </c>
      <c r="I10" s="402"/>
      <c r="J10" s="119">
        <f>ROUND(100/'数据-取费表'!G16,0)</f>
        <v>164</v>
      </c>
      <c r="K10" s="592"/>
      <c r="L10" s="2490"/>
      <c r="M10" s="2491"/>
      <c r="N10" s="2491"/>
      <c r="O10" s="2542"/>
      <c r="P10" s="3396"/>
      <c r="Q10" s="530" t="str">
        <f t="shared" si="6"/>
        <v>土地使用年限（年）</v>
      </c>
      <c r="R10" s="664" t="s">
        <v>14</v>
      </c>
      <c r="S10" s="665">
        <f t="shared" si="0"/>
        <v>164</v>
      </c>
      <c r="T10" s="664" t="s">
        <v>14</v>
      </c>
      <c r="U10" s="665">
        <f t="shared" si="1"/>
        <v>164</v>
      </c>
      <c r="V10" s="664" t="s">
        <v>14</v>
      </c>
      <c r="W10" s="665">
        <f t="shared" si="2"/>
        <v>164</v>
      </c>
      <c r="X10" s="666"/>
      <c r="Y10" s="3252"/>
      <c r="Z10" s="50" t="str">
        <f t="shared" si="7"/>
        <v>土地使用年限（年）</v>
      </c>
      <c r="AA10" s="50">
        <f t="shared" si="3"/>
        <v>0.6097560975609756</v>
      </c>
      <c r="AB10" s="50">
        <f t="shared" si="4"/>
        <v>0.6097560975609756</v>
      </c>
      <c r="AC10" s="50">
        <f t="shared" si="5"/>
        <v>0.6097560975609756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6"/>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6"/>
      <c r="Q12" s="530" t="str">
        <f t="shared" si="6"/>
        <v>配建</v>
      </c>
      <c r="R12" s="664" t="s">
        <v>14</v>
      </c>
      <c r="S12" s="665">
        <f t="shared" si="0"/>
        <v>100</v>
      </c>
      <c r="T12" s="664" t="s">
        <v>14</v>
      </c>
      <c r="U12" s="665">
        <f t="shared" si="1"/>
        <v>100</v>
      </c>
      <c r="V12" s="664" t="s">
        <v>14</v>
      </c>
      <c r="W12" s="665">
        <f t="shared" si="2"/>
        <v>100</v>
      </c>
      <c r="X12" s="666"/>
      <c r="Y12" s="325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6"/>
      <c r="Q13" s="530">
        <f t="shared" si="6"/>
        <v>111</v>
      </c>
      <c r="R13" s="664" t="s">
        <v>14</v>
      </c>
      <c r="S13" s="665">
        <f t="shared" si="0"/>
        <v>100</v>
      </c>
      <c r="T13" s="664" t="s">
        <v>14</v>
      </c>
      <c r="U13" s="665">
        <f t="shared" si="1"/>
        <v>100</v>
      </c>
      <c r="V13" s="664" t="s">
        <v>14</v>
      </c>
      <c r="W13" s="665">
        <f t="shared" si="2"/>
        <v>100</v>
      </c>
      <c r="X13" s="666"/>
      <c r="Y13" s="325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6"/>
      <c r="Q14" s="530">
        <f t="shared" si="6"/>
        <v>111</v>
      </c>
      <c r="R14" s="664" t="s">
        <v>14</v>
      </c>
      <c r="S14" s="665">
        <f t="shared" si="0"/>
        <v>100</v>
      </c>
      <c r="T14" s="664" t="s">
        <v>14</v>
      </c>
      <c r="U14" s="665">
        <f t="shared" si="1"/>
        <v>100</v>
      </c>
      <c r="V14" s="664" t="s">
        <v>14</v>
      </c>
      <c r="W14" s="665">
        <f t="shared" si="2"/>
        <v>100</v>
      </c>
      <c r="X14" s="666"/>
      <c r="Y14" s="325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8" t="s">
        <v>1691</v>
      </c>
      <c r="Q15" s="1263" t="str">
        <f t="shared" si="6"/>
        <v>居住社区成熟度</v>
      </c>
      <c r="R15" s="667" t="s">
        <v>14</v>
      </c>
      <c r="S15" s="668">
        <f t="shared" si="0"/>
        <v>100</v>
      </c>
      <c r="T15" s="667" t="s">
        <v>14</v>
      </c>
      <c r="U15" s="668">
        <f t="shared" si="1"/>
        <v>100</v>
      </c>
      <c r="V15" s="667" t="s">
        <v>14</v>
      </c>
      <c r="W15" s="668">
        <f t="shared" si="2"/>
        <v>100</v>
      </c>
      <c r="X15" s="1265"/>
      <c r="Y15" s="339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9"/>
      <c r="Q16" s="1263"/>
      <c r="R16" s="667"/>
      <c r="S16" s="668"/>
      <c r="T16" s="667"/>
      <c r="U16" s="668"/>
      <c r="V16" s="667"/>
      <c r="W16" s="668"/>
      <c r="X16" s="1265"/>
      <c r="Y16" s="3399"/>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9"/>
      <c r="Q17" s="1263" t="str">
        <f>B17</f>
        <v>商业繁华度</v>
      </c>
      <c r="R17" s="667" t="s">
        <v>14</v>
      </c>
      <c r="S17" s="668">
        <f>F17</f>
        <v>100</v>
      </c>
      <c r="T17" s="667" t="s">
        <v>14</v>
      </c>
      <c r="U17" s="668">
        <f>H17</f>
        <v>100</v>
      </c>
      <c r="V17" s="667" t="s">
        <v>14</v>
      </c>
      <c r="W17" s="668">
        <f>J17</f>
        <v>100</v>
      </c>
      <c r="X17" s="1265"/>
      <c r="Y17" s="33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9"/>
      <c r="Q18" s="1263"/>
      <c r="R18" s="667"/>
      <c r="S18" s="668"/>
      <c r="T18" s="667"/>
      <c r="U18" s="668"/>
      <c r="V18" s="667"/>
      <c r="W18" s="668"/>
      <c r="X18" s="1265"/>
      <c r="Y18" s="3399"/>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9"/>
      <c r="Q19" s="1263" t="str">
        <f>B19</f>
        <v>办公集聚程度</v>
      </c>
      <c r="R19" s="667" t="s">
        <v>14</v>
      </c>
      <c r="S19" s="668">
        <f>F19</f>
        <v>100</v>
      </c>
      <c r="T19" s="667" t="s">
        <v>14</v>
      </c>
      <c r="U19" s="668">
        <f>H19</f>
        <v>100</v>
      </c>
      <c r="V19" s="667" t="s">
        <v>14</v>
      </c>
      <c r="W19" s="668">
        <f>J19</f>
        <v>100</v>
      </c>
      <c r="X19" s="1265"/>
      <c r="Y19" s="33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9"/>
      <c r="Q20" s="1263"/>
      <c r="R20" s="667"/>
      <c r="S20" s="668"/>
      <c r="T20" s="667"/>
      <c r="U20" s="668"/>
      <c r="V20" s="667"/>
      <c r="W20" s="668"/>
      <c r="X20" s="1265"/>
      <c r="Y20" s="3399"/>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9"/>
      <c r="Q21" s="1263" t="str">
        <f>B21</f>
        <v>交通便捷度</v>
      </c>
      <c r="R21" s="667" t="s">
        <v>14</v>
      </c>
      <c r="S21" s="668">
        <f>F21</f>
        <v>100</v>
      </c>
      <c r="T21" s="667" t="s">
        <v>14</v>
      </c>
      <c r="U21" s="668">
        <f>H21</f>
        <v>100</v>
      </c>
      <c r="V21" s="667" t="s">
        <v>14</v>
      </c>
      <c r="W21" s="668">
        <f>J21</f>
        <v>100</v>
      </c>
      <c r="X21" s="1265"/>
      <c r="Y21" s="33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9"/>
      <c r="Q22" s="1263"/>
      <c r="R22" s="667"/>
      <c r="S22" s="668"/>
      <c r="T22" s="667"/>
      <c r="U22" s="668"/>
      <c r="V22" s="667"/>
      <c r="W22" s="668"/>
      <c r="X22" s="1265"/>
      <c r="Y22" s="339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9"/>
      <c r="Q23" s="1263" t="str">
        <f t="shared" ref="Q23:Q37" si="8">B23</f>
        <v>区域土地利用方向</v>
      </c>
      <c r="R23" s="667" t="s">
        <v>14</v>
      </c>
      <c r="S23" s="668">
        <f>F23</f>
        <v>100</v>
      </c>
      <c r="T23" s="667" t="s">
        <v>14</v>
      </c>
      <c r="U23" s="668">
        <f>H23</f>
        <v>100</v>
      </c>
      <c r="V23" s="667" t="s">
        <v>14</v>
      </c>
      <c r="W23" s="668">
        <f>J23</f>
        <v>100</v>
      </c>
      <c r="X23" s="1265"/>
      <c r="Y23" s="33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9"/>
      <c r="Q24" s="1263"/>
      <c r="R24" s="667"/>
      <c r="S24" s="668"/>
      <c r="T24" s="667"/>
      <c r="U24" s="668"/>
      <c r="V24" s="667"/>
      <c r="W24" s="668"/>
      <c r="X24" s="1265"/>
      <c r="Y24" s="3399"/>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9"/>
      <c r="Q25" s="1263" t="str">
        <f t="shared" si="8"/>
        <v>自然及人文环境状况</v>
      </c>
      <c r="R25" s="667" t="s">
        <v>14</v>
      </c>
      <c r="S25" s="668">
        <f>F25</f>
        <v>100</v>
      </c>
      <c r="T25" s="667" t="s">
        <v>14</v>
      </c>
      <c r="U25" s="668">
        <f>H25</f>
        <v>100</v>
      </c>
      <c r="V25" s="667" t="s">
        <v>14</v>
      </c>
      <c r="W25" s="668">
        <f>J25</f>
        <v>100</v>
      </c>
      <c r="X25" s="1265"/>
      <c r="Y25" s="33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9"/>
      <c r="Q26" s="1263"/>
      <c r="R26" s="667"/>
      <c r="S26" s="668"/>
      <c r="T26" s="667"/>
      <c r="U26" s="668"/>
      <c r="V26" s="667"/>
      <c r="W26" s="668"/>
      <c r="X26" s="1265"/>
      <c r="Y26" s="3399"/>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9"/>
      <c r="Q27" s="530" t="str">
        <f t="shared" si="8"/>
        <v>公共配套设施</v>
      </c>
      <c r="R27" s="664" t="s">
        <v>14</v>
      </c>
      <c r="S27" s="665">
        <f>F27</f>
        <v>100</v>
      </c>
      <c r="T27" s="664" t="s">
        <v>14</v>
      </c>
      <c r="U27" s="665">
        <f>H27</f>
        <v>100</v>
      </c>
      <c r="V27" s="664" t="s">
        <v>14</v>
      </c>
      <c r="W27" s="665">
        <f>J27</f>
        <v>100</v>
      </c>
      <c r="X27" s="666"/>
      <c r="Y27" s="33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9"/>
      <c r="Q28" s="530"/>
      <c r="R28" s="664"/>
      <c r="S28" s="665"/>
      <c r="T28" s="664"/>
      <c r="U28" s="665"/>
      <c r="V28" s="664"/>
      <c r="W28" s="665"/>
      <c r="X28" s="666"/>
      <c r="Y28" s="339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9"/>
      <c r="Q29" s="530" t="str">
        <f t="shared" ref="Q29" si="9">B29</f>
        <v>基础设施水平</v>
      </c>
      <c r="R29" s="664" t="s">
        <v>14</v>
      </c>
      <c r="S29" s="665">
        <f>F29</f>
        <v>100</v>
      </c>
      <c r="T29" s="664" t="s">
        <v>14</v>
      </c>
      <c r="U29" s="665">
        <f>H29</f>
        <v>100</v>
      </c>
      <c r="V29" s="664" t="s">
        <v>14</v>
      </c>
      <c r="W29" s="665">
        <f>J29</f>
        <v>100</v>
      </c>
      <c r="X29" s="666"/>
      <c r="Y29" s="33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9"/>
      <c r="Q30" s="530"/>
      <c r="R30" s="664"/>
      <c r="S30" s="665"/>
      <c r="T30" s="664"/>
      <c r="U30" s="665"/>
      <c r="V30" s="664"/>
      <c r="W30" s="665"/>
      <c r="X30" s="666"/>
      <c r="Y30" s="339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9"/>
      <c r="Q32" s="1263" t="str">
        <f t="shared" si="8"/>
        <v>毗邻道路的类型与等级</v>
      </c>
      <c r="R32" s="667" t="s">
        <v>14</v>
      </c>
      <c r="S32" s="668">
        <f t="shared" si="10"/>
        <v>100</v>
      </c>
      <c r="T32" s="667" t="s">
        <v>14</v>
      </c>
      <c r="U32" s="668">
        <f t="shared" si="11"/>
        <v>100</v>
      </c>
      <c r="V32" s="667" t="s">
        <v>14</v>
      </c>
      <c r="W32" s="668">
        <f t="shared" si="12"/>
        <v>100</v>
      </c>
      <c r="X32" s="1265"/>
      <c r="Y32" s="33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9"/>
      <c r="Q33" s="1263"/>
      <c r="R33" s="667"/>
      <c r="S33" s="668"/>
      <c r="T33" s="667"/>
      <c r="U33" s="668"/>
      <c r="V33" s="667"/>
      <c r="W33" s="668"/>
      <c r="X33" s="1265"/>
      <c r="Y33" s="339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9"/>
      <c r="Q34" s="1263" t="str">
        <f t="shared" si="8"/>
        <v>土地级别</v>
      </c>
      <c r="R34" s="667" t="s">
        <v>14</v>
      </c>
      <c r="S34" s="668">
        <f t="shared" si="10"/>
        <v>100</v>
      </c>
      <c r="T34" s="667" t="s">
        <v>14</v>
      </c>
      <c r="U34" s="668">
        <f t="shared" si="11"/>
        <v>100</v>
      </c>
      <c r="V34" s="667" t="s">
        <v>14</v>
      </c>
      <c r="W34" s="668">
        <f t="shared" si="12"/>
        <v>100</v>
      </c>
      <c r="X34" s="1265"/>
      <c r="Y34" s="33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9"/>
      <c r="Q35" s="1263">
        <f t="shared" si="8"/>
        <v>111</v>
      </c>
      <c r="R35" s="667" t="s">
        <v>14</v>
      </c>
      <c r="S35" s="668">
        <f t="shared" si="10"/>
        <v>100</v>
      </c>
      <c r="T35" s="667" t="s">
        <v>14</v>
      </c>
      <c r="U35" s="668">
        <f t="shared" si="11"/>
        <v>100</v>
      </c>
      <c r="V35" s="667" t="s">
        <v>14</v>
      </c>
      <c r="W35" s="668">
        <f t="shared" si="12"/>
        <v>100</v>
      </c>
      <c r="X35" s="1265"/>
      <c r="Y35" s="33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3" t="s">
        <v>1696</v>
      </c>
      <c r="Q36" s="1263">
        <f t="shared" si="8"/>
        <v>111</v>
      </c>
      <c r="R36" s="667" t="s">
        <v>14</v>
      </c>
      <c r="S36" s="668">
        <f t="shared" si="10"/>
        <v>100</v>
      </c>
      <c r="T36" s="667" t="s">
        <v>14</v>
      </c>
      <c r="U36" s="668">
        <f t="shared" si="11"/>
        <v>100</v>
      </c>
      <c r="V36" s="667" t="s">
        <v>14</v>
      </c>
      <c r="W36" s="668">
        <f t="shared" si="12"/>
        <v>100</v>
      </c>
      <c r="X36" s="1265"/>
      <c r="Y36" s="340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3"/>
      <c r="Q37" s="1263">
        <f t="shared" si="8"/>
        <v>111</v>
      </c>
      <c r="R37" s="669" t="s">
        <v>14</v>
      </c>
      <c r="S37" s="670">
        <f t="shared" si="10"/>
        <v>100</v>
      </c>
      <c r="T37" s="669" t="s">
        <v>14</v>
      </c>
      <c r="U37" s="670">
        <f t="shared" si="11"/>
        <v>100</v>
      </c>
      <c r="V37" s="669" t="s">
        <v>14</v>
      </c>
      <c r="W37" s="670">
        <f t="shared" si="12"/>
        <v>100</v>
      </c>
      <c r="X37" s="671"/>
      <c r="Y37" s="340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3"/>
      <c r="Q38" s="1263" t="str">
        <f>B38</f>
        <v>宗地面积</v>
      </c>
      <c r="R38" s="667" t="s">
        <v>14</v>
      </c>
      <c r="S38" s="668" t="e">
        <f t="shared" si="10"/>
        <v>#N/A</v>
      </c>
      <c r="T38" s="667" t="s">
        <v>14</v>
      </c>
      <c r="U38" s="668" t="e">
        <f t="shared" si="11"/>
        <v>#N/A</v>
      </c>
      <c r="V38" s="667" t="s">
        <v>14</v>
      </c>
      <c r="W38" s="668" t="e">
        <f t="shared" si="12"/>
        <v>#N/A</v>
      </c>
      <c r="X38" s="1265"/>
      <c r="Y38" s="340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3"/>
      <c r="Q39" s="1263" t="str">
        <f t="shared" ref="Q39:Q45" si="14">B39</f>
        <v>宗地形状</v>
      </c>
      <c r="R39" s="667" t="s">
        <v>14</v>
      </c>
      <c r="S39" s="668">
        <f t="shared" si="10"/>
        <v>100</v>
      </c>
      <c r="T39" s="667" t="s">
        <v>14</v>
      </c>
      <c r="U39" s="668">
        <f t="shared" si="11"/>
        <v>100</v>
      </c>
      <c r="V39" s="667" t="s">
        <v>14</v>
      </c>
      <c r="W39" s="668">
        <f t="shared" si="12"/>
        <v>100</v>
      </c>
      <c r="X39" s="1265"/>
      <c r="Y39" s="340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3"/>
      <c r="Q40" s="1263" t="str">
        <f t="shared" si="14"/>
        <v>临街宽度及深度</v>
      </c>
      <c r="R40" s="667" t="s">
        <v>14</v>
      </c>
      <c r="S40" s="668">
        <f t="shared" si="10"/>
        <v>100</v>
      </c>
      <c r="T40" s="667" t="s">
        <v>14</v>
      </c>
      <c r="U40" s="668">
        <f t="shared" si="11"/>
        <v>100</v>
      </c>
      <c r="V40" s="667" t="s">
        <v>14</v>
      </c>
      <c r="W40" s="668">
        <f t="shared" si="12"/>
        <v>100</v>
      </c>
      <c r="X40" s="1265"/>
      <c r="Y40" s="340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3"/>
      <c r="Q41" s="1263" t="str">
        <f t="shared" si="14"/>
        <v>宗地开发程度</v>
      </c>
      <c r="R41" s="664" t="s">
        <v>14</v>
      </c>
      <c r="S41" s="665">
        <f t="shared" si="10"/>
        <v>100</v>
      </c>
      <c r="T41" s="664" t="s">
        <v>14</v>
      </c>
      <c r="U41" s="665">
        <f t="shared" si="11"/>
        <v>100</v>
      </c>
      <c r="V41" s="664" t="s">
        <v>14</v>
      </c>
      <c r="W41" s="665">
        <f t="shared" si="12"/>
        <v>100</v>
      </c>
      <c r="X41" s="666"/>
      <c r="Y41" s="340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3" t="s">
        <v>1696</v>
      </c>
      <c r="Q42" s="1263" t="str">
        <f t="shared" si="14"/>
        <v>工程地质条件</v>
      </c>
      <c r="R42" s="667" t="s">
        <v>14</v>
      </c>
      <c r="S42" s="668">
        <f t="shared" si="10"/>
        <v>100</v>
      </c>
      <c r="T42" s="667" t="s">
        <v>14</v>
      </c>
      <c r="U42" s="668">
        <f t="shared" si="11"/>
        <v>100</v>
      </c>
      <c r="V42" s="667" t="s">
        <v>14</v>
      </c>
      <c r="W42" s="668">
        <f t="shared" si="12"/>
        <v>100</v>
      </c>
      <c r="X42" s="1265"/>
      <c r="Y42" s="340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3"/>
      <c r="Q43" s="1263">
        <f t="shared" si="14"/>
        <v>111</v>
      </c>
      <c r="R43" s="667" t="s">
        <v>14</v>
      </c>
      <c r="S43" s="668">
        <f t="shared" si="10"/>
        <v>100</v>
      </c>
      <c r="T43" s="667" t="s">
        <v>14</v>
      </c>
      <c r="U43" s="668">
        <f t="shared" si="11"/>
        <v>100</v>
      </c>
      <c r="V43" s="667" t="s">
        <v>14</v>
      </c>
      <c r="W43" s="668">
        <f t="shared" si="12"/>
        <v>100</v>
      </c>
      <c r="X43" s="1265"/>
      <c r="Y43" s="34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3"/>
      <c r="Q44" s="1263">
        <f t="shared" si="14"/>
        <v>111</v>
      </c>
      <c r="R44" s="667" t="s">
        <v>14</v>
      </c>
      <c r="S44" s="668">
        <f t="shared" si="10"/>
        <v>100</v>
      </c>
      <c r="T44" s="667" t="s">
        <v>14</v>
      </c>
      <c r="U44" s="668">
        <f t="shared" si="11"/>
        <v>100</v>
      </c>
      <c r="V44" s="667" t="s">
        <v>14</v>
      </c>
      <c r="W44" s="668">
        <f t="shared" si="12"/>
        <v>100</v>
      </c>
      <c r="X44" s="1265"/>
      <c r="Y44" s="340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3"/>
      <c r="Q45" s="1263">
        <f t="shared" si="14"/>
        <v>111</v>
      </c>
      <c r="R45" s="669" t="s">
        <v>14</v>
      </c>
      <c r="S45" s="670">
        <f t="shared" si="10"/>
        <v>100</v>
      </c>
      <c r="T45" s="669" t="s">
        <v>14</v>
      </c>
      <c r="U45" s="670">
        <f t="shared" si="11"/>
        <v>100</v>
      </c>
      <c r="V45" s="669" t="s">
        <v>14</v>
      </c>
      <c r="W45" s="670">
        <f t="shared" si="12"/>
        <v>100</v>
      </c>
      <c r="X45" s="671"/>
      <c r="Y45" s="340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6" t="str">
        <f>A46</f>
        <v>成交单价</v>
      </c>
      <c r="Q46" s="3396"/>
      <c r="R46" s="3397">
        <f>E46</f>
        <v>0</v>
      </c>
      <c r="S46" s="3397"/>
      <c r="T46" s="3397">
        <f>G46</f>
        <v>0</v>
      </c>
      <c r="U46" s="3397"/>
      <c r="V46" s="3397">
        <f>I46</f>
        <v>0</v>
      </c>
      <c r="W46" s="339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6" t="str">
        <f>A47</f>
        <v>比较价值（元/平方米）</v>
      </c>
      <c r="Q47" s="3396"/>
      <c r="R47" s="3455" t="e">
        <f>ROUND(PRODUCT(R46,AA7:AA45),0)</f>
        <v>#DIV/0!</v>
      </c>
      <c r="S47" s="3455"/>
      <c r="T47" s="3455" t="e">
        <f>ROUND(PRODUCT(T46,AB7:AB45),0)</f>
        <v>#DIV/0!</v>
      </c>
      <c r="U47" s="3455"/>
      <c r="V47" s="3455" t="e">
        <f>ROUND(PRODUCT(V46,AC7:AC45),0)</f>
        <v>#DIV/0!</v>
      </c>
      <c r="W47" s="345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93" t="str">
        <f>A48</f>
        <v>估价对象XX用房的比较价值（楼面单价，元/平方米）</v>
      </c>
      <c r="Q48" s="3394"/>
      <c r="R48" s="3456" t="e">
        <f>ROUND(IF(D47="简单平均",AVERAGE(R47:W47),R47*F47+T47*H47+V47*J47),0)</f>
        <v>#DIV/0!</v>
      </c>
      <c r="S48" s="3456"/>
      <c r="T48" s="3456"/>
      <c r="U48" s="3456"/>
      <c r="V48" s="3456"/>
      <c r="W48" s="34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1" t="s">
        <v>1887</v>
      </c>
      <c r="H55" s="345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887.8</v>
      </c>
      <c r="F56" s="833" t="e">
        <f t="shared" ref="F56:F64" si="15">ROUND(B56*E56/10000,0)</f>
        <v>#DIV/0!</v>
      </c>
      <c r="G56" s="3407"/>
      <c r="H56" s="339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0.5</v>
      </c>
      <c r="D57" s="891">
        <v>0.25</v>
      </c>
      <c r="E57" s="614"/>
      <c r="F57" s="833" t="e">
        <f t="shared" si="15"/>
        <v>#DIV/0!</v>
      </c>
      <c r="G57" s="2751" t="s">
        <v>1892</v>
      </c>
      <c r="H57" s="834" t="str">
        <f>项目基本情况!B37</f>
        <v>十级</v>
      </c>
      <c r="I57" s="838">
        <f>SUMIF(修正!A57:A68,H57,修正!B57:B68)</f>
        <v>0.5</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0.2</v>
      </c>
      <c r="D58" s="891">
        <v>0.25</v>
      </c>
      <c r="E58" s="614"/>
      <c r="F58" s="833" t="e">
        <f t="shared" si="15"/>
        <v>#DIV/0!</v>
      </c>
      <c r="G58" s="2752"/>
      <c r="H58" s="834" t="str">
        <f>项目基本情况!B37</f>
        <v>十级</v>
      </c>
      <c r="I58" s="838">
        <f>SUMIF(修正!A57:A68,H58,修正!C57:C68)</f>
        <v>0.2</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v>
      </c>
      <c r="D59" s="891">
        <v>0.25</v>
      </c>
      <c r="E59" s="614"/>
      <c r="F59" s="833" t="e">
        <f t="shared" si="15"/>
        <v>#DIV/0!</v>
      </c>
      <c r="G59" s="2752"/>
      <c r="H59" s="834" t="str">
        <f>项目基本情况!B37</f>
        <v>十级</v>
      </c>
      <c r="I59" s="838">
        <f>SUMIF(修正!A57:A68,H59,修正!D57:D68)</f>
        <v>0.2</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十级</v>
      </c>
      <c r="I63" s="838">
        <f>SUMIF(修正!A57:A68,H63,修正!G57:G68)</f>
        <v>0.1</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887.8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7"/>
      <c r="M4" s="2488"/>
      <c r="N4" s="2488"/>
      <c r="O4" s="2488"/>
      <c r="P4" s="3415" t="s">
        <v>1775</v>
      </c>
      <c r="Q4" s="3416"/>
      <c r="R4" s="3421" t="s">
        <v>1771</v>
      </c>
      <c r="S4" s="3422"/>
      <c r="T4" s="3421" t="s">
        <v>1772</v>
      </c>
      <c r="U4" s="3422"/>
      <c r="V4" s="3397" t="s">
        <v>1773</v>
      </c>
      <c r="W4" s="3397"/>
      <c r="X4" s="1265"/>
      <c r="Y4" s="3421" t="s">
        <v>1775</v>
      </c>
      <c r="Z4" s="3422"/>
      <c r="AA4" s="3408" t="s">
        <v>1771</v>
      </c>
      <c r="AB4" s="3409" t="s">
        <v>1772</v>
      </c>
      <c r="AC4" s="3408" t="s">
        <v>1773</v>
      </c>
    </row>
    <row r="5" spans="1:29" ht="15">
      <c r="A5" s="348"/>
      <c r="B5" s="349"/>
      <c r="C5" s="3429" t="s">
        <v>1673</v>
      </c>
      <c r="D5" s="3430"/>
      <c r="E5" s="3436" t="s">
        <v>1674</v>
      </c>
      <c r="F5" s="3437"/>
      <c r="G5" s="3429" t="s">
        <v>1675</v>
      </c>
      <c r="H5" s="3430"/>
      <c r="I5" s="3429" t="s">
        <v>1676</v>
      </c>
      <c r="J5" s="3430"/>
      <c r="K5" s="537"/>
      <c r="L5" s="2487"/>
      <c r="M5" s="2488"/>
      <c r="N5" s="2488"/>
      <c r="O5" s="2488"/>
      <c r="P5" s="3417"/>
      <c r="Q5" s="3418"/>
      <c r="R5" s="3423"/>
      <c r="S5" s="3424"/>
      <c r="T5" s="3423"/>
      <c r="U5" s="3424"/>
      <c r="V5" s="3397"/>
      <c r="W5" s="3397"/>
      <c r="X5" s="1265"/>
      <c r="Y5" s="3423"/>
      <c r="Z5" s="3424"/>
      <c r="AA5" s="3409"/>
      <c r="AB5" s="3409"/>
      <c r="AC5" s="3409"/>
    </row>
    <row r="6" spans="1:29" ht="15.75" thickBot="1">
      <c r="A6" s="350"/>
      <c r="B6" s="351"/>
      <c r="C6" s="3458" t="s">
        <v>1919</v>
      </c>
      <c r="D6" s="3459"/>
      <c r="E6" s="3460" t="s">
        <v>1919</v>
      </c>
      <c r="F6" s="3461"/>
      <c r="G6" s="3458" t="s">
        <v>1919</v>
      </c>
      <c r="H6" s="3459"/>
      <c r="I6" s="3458" t="s">
        <v>1919</v>
      </c>
      <c r="J6" s="3459"/>
      <c r="K6" s="537" t="s">
        <v>1678</v>
      </c>
      <c r="L6" s="2487"/>
      <c r="M6" s="2488"/>
      <c r="N6" s="2488"/>
      <c r="O6" s="2488"/>
      <c r="P6" s="3419"/>
      <c r="Q6" s="3420"/>
      <c r="R6" s="3423"/>
      <c r="S6" s="3424"/>
      <c r="T6" s="3425"/>
      <c r="U6" s="3426"/>
      <c r="V6" s="3397"/>
      <c r="W6" s="3397"/>
      <c r="X6" s="1265"/>
      <c r="Y6" s="3425"/>
      <c r="Z6" s="3426"/>
      <c r="AA6" s="3410"/>
      <c r="AB6" s="3410"/>
      <c r="AC6" s="3410"/>
    </row>
    <row r="7" spans="1:29" s="102" customFormat="1" ht="15.75" thickBot="1">
      <c r="A7" s="352" t="s">
        <v>1679</v>
      </c>
      <c r="B7" s="353"/>
      <c r="C7" s="354">
        <f>'数据-取费表'!B2</f>
        <v>45743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31" t="s">
        <v>1680</v>
      </c>
      <c r="Q7" s="3433"/>
      <c r="R7" s="664" t="s">
        <v>14</v>
      </c>
      <c r="S7" s="665">
        <f t="shared" ref="S7:S15" si="0">F7</f>
        <v>0</v>
      </c>
      <c r="T7" s="664" t="s">
        <v>14</v>
      </c>
      <c r="U7" s="665">
        <f t="shared" ref="U7:U15" si="1">H7</f>
        <v>0</v>
      </c>
      <c r="V7" s="664" t="s">
        <v>14</v>
      </c>
      <c r="W7" s="665">
        <f t="shared" ref="W7:W15" si="2">J7</f>
        <v>0</v>
      </c>
      <c r="X7" s="666"/>
      <c r="Y7" s="3431" t="s">
        <v>1680</v>
      </c>
      <c r="Z7" s="343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31" t="s">
        <v>1683</v>
      </c>
      <c r="Q8" s="3432"/>
      <c r="R8" s="664" t="s">
        <v>14</v>
      </c>
      <c r="S8" s="665">
        <f t="shared" si="0"/>
        <v>0</v>
      </c>
      <c r="T8" s="664" t="s">
        <v>14</v>
      </c>
      <c r="U8" s="665">
        <f t="shared" si="1"/>
        <v>0</v>
      </c>
      <c r="V8" s="664" t="s">
        <v>14</v>
      </c>
      <c r="W8" s="665">
        <f t="shared" si="2"/>
        <v>0</v>
      </c>
      <c r="X8" s="666"/>
      <c r="Y8" s="3431" t="s">
        <v>1683</v>
      </c>
      <c r="Z8" s="343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6"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164</v>
      </c>
      <c r="G10" s="371"/>
      <c r="H10" s="119">
        <f>ROUND(100/'数据-取费表'!G16,0)</f>
        <v>164</v>
      </c>
      <c r="I10" s="371"/>
      <c r="J10" s="119">
        <f>ROUND(100/'数据-取费表'!G16,0)</f>
        <v>164</v>
      </c>
      <c r="K10" s="592"/>
      <c r="L10" s="2490"/>
      <c r="M10" s="2491"/>
      <c r="N10" s="2491"/>
      <c r="O10" s="2542"/>
      <c r="P10" s="3396"/>
      <c r="Q10" s="530" t="str">
        <f t="shared" si="6"/>
        <v>土地使用年限（年）</v>
      </c>
      <c r="R10" s="664" t="s">
        <v>14</v>
      </c>
      <c r="S10" s="665">
        <f t="shared" si="0"/>
        <v>164</v>
      </c>
      <c r="T10" s="664" t="s">
        <v>14</v>
      </c>
      <c r="U10" s="665">
        <f t="shared" si="1"/>
        <v>164</v>
      </c>
      <c r="V10" s="664" t="s">
        <v>14</v>
      </c>
      <c r="W10" s="665">
        <f t="shared" si="2"/>
        <v>164</v>
      </c>
      <c r="X10" s="666"/>
      <c r="Y10" s="3252"/>
      <c r="Z10" s="50" t="str">
        <f t="shared" si="7"/>
        <v>土地使用年限（年）</v>
      </c>
      <c r="AA10" s="50">
        <f t="shared" si="3"/>
        <v>0.6097560975609756</v>
      </c>
      <c r="AB10" s="50">
        <f t="shared" si="4"/>
        <v>0.6097560975609756</v>
      </c>
      <c r="AC10" s="50">
        <f t="shared" si="5"/>
        <v>0.6097560975609756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6"/>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6"/>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6"/>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6"/>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8" t="s">
        <v>1691</v>
      </c>
      <c r="Q15" s="1263" t="str">
        <f t="shared" si="6"/>
        <v>产业集聚程度</v>
      </c>
      <c r="R15" s="667" t="s">
        <v>14</v>
      </c>
      <c r="S15" s="668">
        <f t="shared" si="0"/>
        <v>100</v>
      </c>
      <c r="T15" s="667" t="s">
        <v>14</v>
      </c>
      <c r="U15" s="668">
        <f t="shared" si="1"/>
        <v>100</v>
      </c>
      <c r="V15" s="667" t="s">
        <v>14</v>
      </c>
      <c r="W15" s="668">
        <f t="shared" si="2"/>
        <v>100</v>
      </c>
      <c r="X15" s="1265"/>
      <c r="Y15" s="339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9"/>
      <c r="Q16" s="1263"/>
      <c r="R16" s="667"/>
      <c r="S16" s="668"/>
      <c r="T16" s="667"/>
      <c r="U16" s="668"/>
      <c r="V16" s="667"/>
      <c r="W16" s="668"/>
      <c r="X16" s="1265"/>
      <c r="Y16" s="339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9"/>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9"/>
      <c r="Q18" s="1263"/>
      <c r="R18" s="667"/>
      <c r="S18" s="668"/>
      <c r="T18" s="667"/>
      <c r="U18" s="668"/>
      <c r="V18" s="667"/>
      <c r="W18" s="668"/>
      <c r="X18" s="1265"/>
      <c r="Y18" s="339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9"/>
      <c r="Q19" s="1263" t="str">
        <f t="shared" ref="Q19:Q33" si="8">B19</f>
        <v>区域土地利用方向</v>
      </c>
      <c r="R19" s="667" t="s">
        <v>14</v>
      </c>
      <c r="S19" s="668">
        <f>F19</f>
        <v>100</v>
      </c>
      <c r="T19" s="667" t="s">
        <v>14</v>
      </c>
      <c r="U19" s="668">
        <f>H19</f>
        <v>100</v>
      </c>
      <c r="V19" s="667" t="s">
        <v>14</v>
      </c>
      <c r="W19" s="668">
        <f>J19</f>
        <v>100</v>
      </c>
      <c r="X19" s="1265"/>
      <c r="Y19" s="33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9"/>
      <c r="Q20" s="1263"/>
      <c r="R20" s="667"/>
      <c r="S20" s="668"/>
      <c r="T20" s="667"/>
      <c r="U20" s="668"/>
      <c r="V20" s="667"/>
      <c r="W20" s="668"/>
      <c r="X20" s="1265"/>
      <c r="Y20" s="339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9"/>
      <c r="Q21" s="1263" t="str">
        <f t="shared" si="8"/>
        <v>环境状况</v>
      </c>
      <c r="R21" s="667" t="s">
        <v>14</v>
      </c>
      <c r="S21" s="668">
        <f>F21</f>
        <v>100</v>
      </c>
      <c r="T21" s="667" t="s">
        <v>14</v>
      </c>
      <c r="U21" s="668">
        <f>H21</f>
        <v>100</v>
      </c>
      <c r="V21" s="667" t="s">
        <v>14</v>
      </c>
      <c r="W21" s="668">
        <f>J21</f>
        <v>100</v>
      </c>
      <c r="X21" s="1265"/>
      <c r="Y21" s="33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9"/>
      <c r="Q22" s="1263"/>
      <c r="R22" s="667"/>
      <c r="S22" s="668"/>
      <c r="T22" s="667"/>
      <c r="U22" s="668"/>
      <c r="V22" s="667"/>
      <c r="W22" s="668"/>
      <c r="X22" s="1265"/>
      <c r="Y22" s="339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9"/>
      <c r="Q23" s="530" t="str">
        <f t="shared" si="8"/>
        <v>公共配套设施</v>
      </c>
      <c r="R23" s="664" t="s">
        <v>14</v>
      </c>
      <c r="S23" s="665">
        <f>F23</f>
        <v>100</v>
      </c>
      <c r="T23" s="664" t="s">
        <v>14</v>
      </c>
      <c r="U23" s="665">
        <f>H23</f>
        <v>100</v>
      </c>
      <c r="V23" s="664" t="s">
        <v>14</v>
      </c>
      <c r="W23" s="665">
        <f>J23</f>
        <v>100</v>
      </c>
      <c r="X23" s="666"/>
      <c r="Y23" s="33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9"/>
      <c r="Q24" s="530"/>
      <c r="R24" s="664"/>
      <c r="S24" s="665"/>
      <c r="T24" s="664"/>
      <c r="U24" s="665"/>
      <c r="V24" s="664"/>
      <c r="W24" s="665"/>
      <c r="X24" s="666"/>
      <c r="Y24" s="339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9"/>
      <c r="Q25" s="530" t="str">
        <f t="shared" ref="Q25" si="9">B25</f>
        <v>基础设施水平</v>
      </c>
      <c r="R25" s="664" t="s">
        <v>14</v>
      </c>
      <c r="S25" s="665">
        <f>F25</f>
        <v>100</v>
      </c>
      <c r="T25" s="664" t="s">
        <v>14</v>
      </c>
      <c r="U25" s="665">
        <f>H25</f>
        <v>100</v>
      </c>
      <c r="V25" s="664" t="s">
        <v>14</v>
      </c>
      <c r="W25" s="665">
        <f>J25</f>
        <v>100</v>
      </c>
      <c r="X25" s="666"/>
      <c r="Y25" s="33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9"/>
      <c r="Q26" s="530"/>
      <c r="R26" s="664"/>
      <c r="S26" s="665"/>
      <c r="T26" s="664"/>
      <c r="U26" s="665"/>
      <c r="V26" s="664"/>
      <c r="W26" s="665"/>
      <c r="X26" s="666"/>
      <c r="Y26" s="339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9"/>
      <c r="Q28" s="1263" t="str">
        <f t="shared" si="8"/>
        <v>毗邻道路的类型与等级</v>
      </c>
      <c r="R28" s="667" t="s">
        <v>14</v>
      </c>
      <c r="S28" s="668">
        <f t="shared" si="10"/>
        <v>100</v>
      </c>
      <c r="T28" s="667" t="s">
        <v>14</v>
      </c>
      <c r="U28" s="668">
        <f t="shared" si="11"/>
        <v>100</v>
      </c>
      <c r="V28" s="667" t="s">
        <v>14</v>
      </c>
      <c r="W28" s="668">
        <f t="shared" si="12"/>
        <v>100</v>
      </c>
      <c r="X28" s="1265"/>
      <c r="Y28" s="33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9"/>
      <c r="Q29" s="1263"/>
      <c r="R29" s="667"/>
      <c r="S29" s="668"/>
      <c r="T29" s="667"/>
      <c r="U29" s="668"/>
      <c r="V29" s="667"/>
      <c r="W29" s="668"/>
      <c r="X29" s="1265"/>
      <c r="Y29" s="339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9"/>
      <c r="Q30" s="1263" t="str">
        <f t="shared" si="8"/>
        <v>土地级别</v>
      </c>
      <c r="R30" s="667" t="s">
        <v>14</v>
      </c>
      <c r="S30" s="668">
        <f t="shared" si="10"/>
        <v>100</v>
      </c>
      <c r="T30" s="667" t="s">
        <v>14</v>
      </c>
      <c r="U30" s="668">
        <f t="shared" si="11"/>
        <v>100</v>
      </c>
      <c r="V30" s="667" t="s">
        <v>14</v>
      </c>
      <c r="W30" s="668">
        <f t="shared" si="12"/>
        <v>100</v>
      </c>
      <c r="X30" s="1265"/>
      <c r="Y30" s="33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9"/>
      <c r="Q31" s="1263">
        <f t="shared" si="8"/>
        <v>111</v>
      </c>
      <c r="R31" s="667" t="s">
        <v>14</v>
      </c>
      <c r="S31" s="668">
        <f t="shared" si="10"/>
        <v>100</v>
      </c>
      <c r="T31" s="667" t="s">
        <v>14</v>
      </c>
      <c r="U31" s="668">
        <f t="shared" si="11"/>
        <v>100</v>
      </c>
      <c r="V31" s="667" t="s">
        <v>14</v>
      </c>
      <c r="W31" s="668">
        <f t="shared" si="12"/>
        <v>100</v>
      </c>
      <c r="X31" s="1265"/>
      <c r="Y31" s="33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3" t="s">
        <v>1696</v>
      </c>
      <c r="Q32" s="1263">
        <f t="shared" si="8"/>
        <v>111</v>
      </c>
      <c r="R32" s="667" t="s">
        <v>14</v>
      </c>
      <c r="S32" s="668">
        <f t="shared" si="10"/>
        <v>100</v>
      </c>
      <c r="T32" s="667" t="s">
        <v>14</v>
      </c>
      <c r="U32" s="668">
        <f t="shared" si="11"/>
        <v>100</v>
      </c>
      <c r="V32" s="667" t="s">
        <v>14</v>
      </c>
      <c r="W32" s="668">
        <f t="shared" si="12"/>
        <v>100</v>
      </c>
      <c r="X32" s="1265"/>
      <c r="Y32" s="340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3"/>
      <c r="Q33" s="1263">
        <f t="shared" si="8"/>
        <v>111</v>
      </c>
      <c r="R33" s="669" t="s">
        <v>14</v>
      </c>
      <c r="S33" s="670">
        <f t="shared" si="10"/>
        <v>100</v>
      </c>
      <c r="T33" s="669" t="s">
        <v>14</v>
      </c>
      <c r="U33" s="670">
        <f t="shared" si="11"/>
        <v>100</v>
      </c>
      <c r="V33" s="669" t="s">
        <v>14</v>
      </c>
      <c r="W33" s="670">
        <f t="shared" si="12"/>
        <v>100</v>
      </c>
      <c r="X33" s="671"/>
      <c r="Y33" s="340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3"/>
      <c r="Q34" s="1263" t="str">
        <f>B34</f>
        <v>宗地面积</v>
      </c>
      <c r="R34" s="667" t="s">
        <v>14</v>
      </c>
      <c r="S34" s="668" t="e">
        <f t="shared" si="10"/>
        <v>#N/A</v>
      </c>
      <c r="T34" s="667" t="s">
        <v>14</v>
      </c>
      <c r="U34" s="668" t="e">
        <f t="shared" si="11"/>
        <v>#N/A</v>
      </c>
      <c r="V34" s="667" t="s">
        <v>14</v>
      </c>
      <c r="W34" s="668" t="e">
        <f t="shared" si="12"/>
        <v>#N/A</v>
      </c>
      <c r="X34" s="1265"/>
      <c r="Y34" s="340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3"/>
      <c r="Q35" s="1263" t="str">
        <f t="shared" ref="Q35:Q40" si="14">B35</f>
        <v>宗地形状</v>
      </c>
      <c r="R35" s="667" t="s">
        <v>14</v>
      </c>
      <c r="S35" s="668">
        <f t="shared" si="10"/>
        <v>100</v>
      </c>
      <c r="T35" s="667" t="s">
        <v>14</v>
      </c>
      <c r="U35" s="668">
        <f t="shared" si="11"/>
        <v>100</v>
      </c>
      <c r="V35" s="667" t="s">
        <v>14</v>
      </c>
      <c r="W35" s="668">
        <f t="shared" si="12"/>
        <v>100</v>
      </c>
      <c r="X35" s="1265"/>
      <c r="Y35" s="340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3"/>
      <c r="Q36" s="1263" t="str">
        <f t="shared" si="14"/>
        <v>宗地开发程度</v>
      </c>
      <c r="R36" s="664" t="s">
        <v>14</v>
      </c>
      <c r="S36" s="665">
        <f t="shared" si="10"/>
        <v>100</v>
      </c>
      <c r="T36" s="664" t="s">
        <v>14</v>
      </c>
      <c r="U36" s="665">
        <f t="shared" si="11"/>
        <v>100</v>
      </c>
      <c r="V36" s="664" t="s">
        <v>14</v>
      </c>
      <c r="W36" s="665">
        <f t="shared" si="12"/>
        <v>100</v>
      </c>
      <c r="X36" s="666"/>
      <c r="Y36" s="340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3" t="s">
        <v>1696</v>
      </c>
      <c r="Q37" s="1263" t="str">
        <f t="shared" si="14"/>
        <v>工程地质条件</v>
      </c>
      <c r="R37" s="667" t="s">
        <v>14</v>
      </c>
      <c r="S37" s="668">
        <f t="shared" si="10"/>
        <v>100</v>
      </c>
      <c r="T37" s="667" t="s">
        <v>14</v>
      </c>
      <c r="U37" s="668">
        <f t="shared" si="11"/>
        <v>100</v>
      </c>
      <c r="V37" s="667" t="s">
        <v>14</v>
      </c>
      <c r="W37" s="668">
        <f t="shared" si="12"/>
        <v>100</v>
      </c>
      <c r="X37" s="1265"/>
      <c r="Y37" s="340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3"/>
      <c r="Q38" s="1263">
        <f t="shared" si="14"/>
        <v>111</v>
      </c>
      <c r="R38" s="667" t="s">
        <v>14</v>
      </c>
      <c r="S38" s="668">
        <f t="shared" si="10"/>
        <v>100</v>
      </c>
      <c r="T38" s="667" t="s">
        <v>14</v>
      </c>
      <c r="U38" s="668">
        <f t="shared" si="11"/>
        <v>100</v>
      </c>
      <c r="V38" s="667" t="s">
        <v>14</v>
      </c>
      <c r="W38" s="668">
        <f t="shared" si="12"/>
        <v>100</v>
      </c>
      <c r="X38" s="1265"/>
      <c r="Y38" s="34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3"/>
      <c r="Q39" s="1263">
        <f t="shared" si="14"/>
        <v>111</v>
      </c>
      <c r="R39" s="667" t="s">
        <v>14</v>
      </c>
      <c r="S39" s="668">
        <f t="shared" si="10"/>
        <v>100</v>
      </c>
      <c r="T39" s="667" t="s">
        <v>14</v>
      </c>
      <c r="U39" s="668">
        <f t="shared" si="11"/>
        <v>100</v>
      </c>
      <c r="V39" s="667" t="s">
        <v>14</v>
      </c>
      <c r="W39" s="668">
        <f t="shared" si="12"/>
        <v>100</v>
      </c>
      <c r="X39" s="1265"/>
      <c r="Y39" s="340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3"/>
      <c r="Q40" s="1263">
        <f t="shared" si="14"/>
        <v>111</v>
      </c>
      <c r="R40" s="669" t="s">
        <v>14</v>
      </c>
      <c r="S40" s="670">
        <f t="shared" si="10"/>
        <v>100</v>
      </c>
      <c r="T40" s="669" t="s">
        <v>14</v>
      </c>
      <c r="U40" s="670">
        <f t="shared" si="11"/>
        <v>100</v>
      </c>
      <c r="V40" s="669" t="s">
        <v>14</v>
      </c>
      <c r="W40" s="670">
        <f t="shared" si="12"/>
        <v>100</v>
      </c>
      <c r="X40" s="671"/>
      <c r="Y40" s="340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6" t="str">
        <f>A41</f>
        <v>成交单价</v>
      </c>
      <c r="Q41" s="3396"/>
      <c r="R41" s="3397">
        <f>E41</f>
        <v>0</v>
      </c>
      <c r="S41" s="3397"/>
      <c r="T41" s="3397">
        <f>G41</f>
        <v>0</v>
      </c>
      <c r="U41" s="3397"/>
      <c r="V41" s="3397">
        <f>I41</f>
        <v>0</v>
      </c>
      <c r="W41" s="339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6" t="str">
        <f>A42</f>
        <v>比较价值（元/平方米）</v>
      </c>
      <c r="Q42" s="3396"/>
      <c r="R42" s="3455" t="e">
        <f>ROUND(PRODUCT(R41,AA7:AA40),0)</f>
        <v>#DIV/0!</v>
      </c>
      <c r="S42" s="3455"/>
      <c r="T42" s="3455" t="e">
        <f>ROUND(PRODUCT(T41,AB7:AB40),0)</f>
        <v>#DIV/0!</v>
      </c>
      <c r="U42" s="3455"/>
      <c r="V42" s="3455" t="e">
        <f>ROUND(PRODUCT(V41,AC7:AC40),0)</f>
        <v>#DIV/0!</v>
      </c>
      <c r="W42" s="345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93" t="str">
        <f>A43</f>
        <v>估价对象XX用房的比较价值（楼面单价，元/平方米）</v>
      </c>
      <c r="Q43" s="3394"/>
      <c r="R43" s="3456" t="e">
        <f>ROUND(IF(D42="简单平均",AVERAGE(R42:W42),R42*F42+T42*H42+V42*J42),0)</f>
        <v>#DIV/0!</v>
      </c>
      <c r="S43" s="3456"/>
      <c r="T43" s="3456"/>
      <c r="U43" s="3456"/>
      <c r="V43" s="3456"/>
      <c r="W43" s="34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1" t="s">
        <v>1887</v>
      </c>
      <c r="H50" s="345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887.8</v>
      </c>
      <c r="F51" s="611" t="e">
        <f t="shared" ref="F51:F60" si="15">ROUND(B51*E51/10000,0)</f>
        <v>#DIV/0!</v>
      </c>
      <c r="G51" s="3407"/>
      <c r="H51" s="339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0.5</v>
      </c>
      <c r="D52" s="891">
        <v>0.25</v>
      </c>
      <c r="E52" s="614"/>
      <c r="F52" s="611" t="e">
        <f t="shared" si="15"/>
        <v>#DIV/0!</v>
      </c>
      <c r="G52" s="2751" t="s">
        <v>1892</v>
      </c>
      <c r="H52" s="834" t="str">
        <f>项目基本情况!B37</f>
        <v>十级</v>
      </c>
      <c r="I52" s="727">
        <f>SUMIF(修正!A57:A68,H52,修正!B57:B68)</f>
        <v>0.5</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0.2</v>
      </c>
      <c r="D53" s="891">
        <v>0.25</v>
      </c>
      <c r="E53" s="614"/>
      <c r="F53" s="611" t="e">
        <f t="shared" si="15"/>
        <v>#DIV/0!</v>
      </c>
      <c r="G53" s="2752"/>
      <c r="H53" s="834" t="str">
        <f>项目基本情况!B37</f>
        <v>十级</v>
      </c>
      <c r="I53" s="727">
        <f>SUMIF(修正!A57:A68,H53,修正!C57:C68)</f>
        <v>0.2</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v>
      </c>
      <c r="D54" s="891">
        <v>0.25</v>
      </c>
      <c r="E54" s="614"/>
      <c r="F54" s="611" t="e">
        <f t="shared" si="15"/>
        <v>#DIV/0!</v>
      </c>
      <c r="G54" s="2752"/>
      <c r="H54" s="834" t="str">
        <f>项目基本情况!B37</f>
        <v>十级</v>
      </c>
      <c r="I54" s="727">
        <f>SUMIF(修正!A57:A68,H54,修正!D57:D68)</f>
        <v>0.2</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十级</v>
      </c>
      <c r="I59" s="727">
        <f>SUMIF(修正!A57:A68,H59,修正!G57:G68)</f>
        <v>0.1</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6136</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5" t="s">
        <v>2084</v>
      </c>
      <c r="D1" s="3466"/>
      <c r="E1" s="3466"/>
      <c r="F1" s="3466"/>
      <c r="G1" s="3466"/>
      <c r="H1" s="3466"/>
      <c r="I1" s="3466"/>
      <c r="J1" s="3466"/>
      <c r="K1" s="3466"/>
      <c r="L1" s="3466"/>
      <c r="M1" s="3466"/>
      <c r="N1" s="3466"/>
      <c r="O1" s="3466"/>
      <c r="P1" s="3466"/>
      <c r="Q1" s="3466"/>
      <c r="R1" s="3466"/>
      <c r="S1" s="346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2" t="s">
        <v>27</v>
      </c>
      <c r="D22" s="3463"/>
      <c r="E22" s="3463"/>
      <c r="F22" s="3463"/>
      <c r="G22" s="3463"/>
      <c r="H22" s="3463"/>
      <c r="I22" s="3463"/>
      <c r="J22" s="3463"/>
      <c r="K22" s="3463"/>
      <c r="L22" s="3463"/>
      <c r="M22" s="3463"/>
      <c r="N22" s="3463"/>
      <c r="O22" s="3463"/>
      <c r="P22" s="3463"/>
      <c r="Q22" s="346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1402</v>
      </c>
      <c r="C2" s="1984" t="s">
        <v>2074</v>
      </c>
      <c r="D2" s="1984" t="s">
        <v>2075</v>
      </c>
      <c r="E2" s="2398">
        <f ca="1">SUMIF(E6:E13,"&lt;&gt;#ref!",E6:E13)</f>
        <v>6136</v>
      </c>
      <c r="F2" s="2545"/>
      <c r="G2" s="2545"/>
      <c r="H2" s="2545"/>
      <c r="I2" s="2545"/>
      <c r="J2" s="2545"/>
      <c r="K2" s="2545"/>
      <c r="L2" s="2545"/>
      <c r="M2" s="2545"/>
      <c r="N2" s="2545"/>
      <c r="O2" s="2545"/>
      <c r="P2" s="2545"/>
    </row>
    <row r="3" spans="1:16" ht="15.75">
      <c r="A3" s="1984" t="s">
        <v>2076</v>
      </c>
      <c r="B3" s="2388">
        <f ca="1">ROUND(B2*10000/E2,0)</f>
        <v>2285</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1402</v>
      </c>
      <c r="C6" s="1984" t="s">
        <v>2074</v>
      </c>
      <c r="D6" s="2545"/>
      <c r="E6" s="2398">
        <f ca="1">SUMIF(INDIRECT("'"&amp;A6&amp;"'"&amp;"!C:C"),"建筑面积",INDIRECT("'"&amp;A6&amp;"'"&amp;"!D:D"))</f>
        <v>6136</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34"/>
  <sheetViews>
    <sheetView workbookViewId="0">
      <selection activeCell="C21" sqref="C21"/>
    </sheetView>
  </sheetViews>
  <sheetFormatPr defaultRowHeight="13.5"/>
  <cols>
    <col min="1" max="1" width="60" style="3156" customWidth="1"/>
    <col min="2" max="2" width="5" style="3156" customWidth="1"/>
    <col min="3" max="4" width="17" style="3156" customWidth="1"/>
    <col min="5" max="16384" width="9" style="3156"/>
  </cols>
  <sheetData>
    <row r="1" spans="1:6" ht="20.25">
      <c r="A1" s="3468" t="s">
        <v>3451</v>
      </c>
      <c r="B1" s="3469"/>
      <c r="C1" s="3469"/>
      <c r="D1" s="3469"/>
    </row>
    <row r="2" spans="1:6">
      <c r="A2" s="3157" t="s">
        <v>3452</v>
      </c>
      <c r="B2" s="3470" t="s">
        <v>3453</v>
      </c>
      <c r="C2" s="3469"/>
      <c r="D2" s="3158" t="s">
        <v>3454</v>
      </c>
    </row>
    <row r="3" spans="1:6">
      <c r="A3" s="3159" t="s">
        <v>3455</v>
      </c>
      <c r="B3" s="3159" t="s">
        <v>3456</v>
      </c>
      <c r="C3" s="3159" t="s">
        <v>3457</v>
      </c>
      <c r="D3" s="3159" t="s">
        <v>3458</v>
      </c>
    </row>
    <row r="4" spans="1:6">
      <c r="A4" s="3160" t="s">
        <v>3459</v>
      </c>
      <c r="B4" s="3161" t="s">
        <v>3460</v>
      </c>
      <c r="C4" s="3162">
        <v>5498521.2699999996</v>
      </c>
      <c r="D4" s="3162">
        <v>656373.5</v>
      </c>
    </row>
    <row r="5" spans="1:6">
      <c r="A5" s="3160" t="s">
        <v>3461</v>
      </c>
      <c r="B5" s="3161" t="s">
        <v>3462</v>
      </c>
      <c r="C5" s="3162">
        <v>1831712.1</v>
      </c>
      <c r="D5" s="3162">
        <v>443007.06</v>
      </c>
    </row>
    <row r="6" spans="1:6">
      <c r="A6" s="3160" t="s">
        <v>3463</v>
      </c>
      <c r="B6" s="3161" t="s">
        <v>3464</v>
      </c>
      <c r="C6" s="3162">
        <v>3227.98</v>
      </c>
      <c r="D6" s="3160"/>
      <c r="F6" s="3156">
        <f>C5/C4</f>
        <v>0.3331281284649828</v>
      </c>
    </row>
    <row r="7" spans="1:6">
      <c r="A7" s="3160" t="s">
        <v>3465</v>
      </c>
      <c r="B7" s="3161" t="s">
        <v>3466</v>
      </c>
      <c r="C7" s="3160"/>
      <c r="D7" s="3160"/>
    </row>
    <row r="8" spans="1:6">
      <c r="A8" s="3160" t="s">
        <v>3467</v>
      </c>
      <c r="B8" s="3161" t="s">
        <v>3468</v>
      </c>
      <c r="C8" s="3162">
        <v>75.97</v>
      </c>
      <c r="D8" s="3160"/>
    </row>
    <row r="9" spans="1:6">
      <c r="A9" s="3160" t="s">
        <v>3469</v>
      </c>
      <c r="B9" s="3161" t="s">
        <v>3470</v>
      </c>
      <c r="C9" s="3160"/>
      <c r="D9" s="3160"/>
    </row>
    <row r="10" spans="1:6">
      <c r="A10" s="3160" t="s">
        <v>3471</v>
      </c>
      <c r="B10" s="3161" t="s">
        <v>3472</v>
      </c>
      <c r="C10" s="3162">
        <v>3076.32</v>
      </c>
      <c r="D10" s="3160"/>
    </row>
    <row r="11" spans="1:6">
      <c r="A11" s="3160" t="s">
        <v>3473</v>
      </c>
      <c r="B11" s="3161" t="s">
        <v>3474</v>
      </c>
      <c r="C11" s="3160"/>
      <c r="D11" s="3160"/>
    </row>
    <row r="12" spans="1:6">
      <c r="A12" s="3160" t="s">
        <v>3475</v>
      </c>
      <c r="B12" s="3161" t="s">
        <v>3476</v>
      </c>
      <c r="C12" s="3162">
        <v>45.41</v>
      </c>
      <c r="D12" s="3160"/>
    </row>
    <row r="13" spans="1:6">
      <c r="A13" s="3160" t="s">
        <v>3477</v>
      </c>
      <c r="B13" s="3161" t="s">
        <v>3478</v>
      </c>
      <c r="C13" s="3160"/>
      <c r="D13" s="3160"/>
    </row>
    <row r="14" spans="1:6">
      <c r="A14" s="3160" t="s">
        <v>3479</v>
      </c>
      <c r="B14" s="3161" t="s">
        <v>3480</v>
      </c>
      <c r="C14" s="3160"/>
      <c r="D14" s="3160"/>
    </row>
    <row r="15" spans="1:6">
      <c r="A15" s="3160" t="s">
        <v>3481</v>
      </c>
      <c r="B15" s="3161" t="s">
        <v>3482</v>
      </c>
      <c r="C15" s="3160"/>
      <c r="D15" s="3160"/>
    </row>
    <row r="16" spans="1:6">
      <c r="A16" s="3160" t="s">
        <v>3483</v>
      </c>
      <c r="B16" s="3161" t="s">
        <v>3484</v>
      </c>
      <c r="C16" s="3162">
        <v>6356809.5499999998</v>
      </c>
      <c r="D16" s="3162">
        <v>1024413.08</v>
      </c>
    </row>
    <row r="17" spans="1:4">
      <c r="A17" s="3160" t="s">
        <v>3485</v>
      </c>
      <c r="B17" s="3161" t="s">
        <v>3486</v>
      </c>
      <c r="C17" s="3162">
        <v>1751422.06</v>
      </c>
      <c r="D17" s="3162">
        <v>175197.8</v>
      </c>
    </row>
    <row r="18" spans="1:4">
      <c r="A18" s="3160" t="s">
        <v>3487</v>
      </c>
      <c r="B18" s="3161" t="s">
        <v>3488</v>
      </c>
      <c r="C18" s="3162">
        <v>12417.85</v>
      </c>
      <c r="D18" s="3160"/>
    </row>
    <row r="19" spans="1:4">
      <c r="A19" s="3160" t="s">
        <v>3489</v>
      </c>
      <c r="B19" s="3161" t="s">
        <v>3490</v>
      </c>
      <c r="C19" s="3160"/>
      <c r="D19" s="3160"/>
    </row>
    <row r="20" spans="1:4">
      <c r="A20" s="3160" t="s">
        <v>3491</v>
      </c>
      <c r="B20" s="3161" t="s">
        <v>3492</v>
      </c>
      <c r="C20" s="3162">
        <v>62787.69</v>
      </c>
      <c r="D20" s="3162">
        <v>29514.23</v>
      </c>
    </row>
    <row r="21" spans="1:4">
      <c r="A21" s="3160" t="s">
        <v>3493</v>
      </c>
      <c r="B21" s="3161" t="s">
        <v>3494</v>
      </c>
      <c r="C21" s="3162">
        <v>60068.11</v>
      </c>
      <c r="D21" s="3162">
        <v>29474.959999999999</v>
      </c>
    </row>
    <row r="22" spans="1:4">
      <c r="A22" s="3160" t="s">
        <v>3495</v>
      </c>
      <c r="B22" s="3161" t="s">
        <v>3496</v>
      </c>
      <c r="C22" s="3160"/>
      <c r="D22" s="3160"/>
    </row>
    <row r="23" spans="1:4">
      <c r="A23" s="3160" t="s">
        <v>3497</v>
      </c>
      <c r="B23" s="3161" t="s">
        <v>3498</v>
      </c>
      <c r="C23" s="3162">
        <v>-2756016.05</v>
      </c>
      <c r="D23" s="3162">
        <v>-840560.87</v>
      </c>
    </row>
    <row r="24" spans="1:4">
      <c r="A24" s="3160" t="s">
        <v>3499</v>
      </c>
      <c r="B24" s="3161" t="s">
        <v>3500</v>
      </c>
      <c r="C24" s="3160"/>
      <c r="D24" s="3160"/>
    </row>
    <row r="25" spans="1:4">
      <c r="A25" s="3160" t="s">
        <v>3501</v>
      </c>
      <c r="B25" s="3161" t="s">
        <v>3502</v>
      </c>
      <c r="C25" s="3160"/>
      <c r="D25" s="3160"/>
    </row>
    <row r="26" spans="1:4">
      <c r="A26" s="3160" t="s">
        <v>3503</v>
      </c>
      <c r="B26" s="3161" t="s">
        <v>3504</v>
      </c>
      <c r="C26" s="3160"/>
      <c r="D26" s="3160"/>
    </row>
    <row r="27" spans="1:4">
      <c r="A27" s="3160" t="s">
        <v>3505</v>
      </c>
      <c r="B27" s="3161" t="s">
        <v>3506</v>
      </c>
      <c r="C27" s="3160"/>
      <c r="D27" s="3160"/>
    </row>
    <row r="28" spans="1:4">
      <c r="A28" s="3160" t="s">
        <v>3507</v>
      </c>
      <c r="B28" s="3161" t="s">
        <v>3508</v>
      </c>
      <c r="C28" s="3160"/>
      <c r="D28" s="3160"/>
    </row>
    <row r="29" spans="1:4">
      <c r="A29" s="3160" t="s">
        <v>3509</v>
      </c>
      <c r="B29" s="3161" t="s">
        <v>3510</v>
      </c>
      <c r="C29" s="3160"/>
      <c r="D29" s="3160"/>
    </row>
    <row r="30" spans="1:4">
      <c r="A30" s="3160" t="s">
        <v>3511</v>
      </c>
      <c r="B30" s="3161" t="s">
        <v>3512</v>
      </c>
      <c r="C30" s="3160"/>
      <c r="D30" s="3160"/>
    </row>
    <row r="31" spans="1:4">
      <c r="A31" s="3160" t="s">
        <v>3513</v>
      </c>
      <c r="B31" s="3161" t="s">
        <v>3514</v>
      </c>
      <c r="C31" s="3160"/>
      <c r="D31" s="3160"/>
    </row>
    <row r="32" spans="1:4">
      <c r="A32" s="3160" t="s">
        <v>3515</v>
      </c>
      <c r="B32" s="3161" t="s">
        <v>3516</v>
      </c>
      <c r="C32" s="3162">
        <v>-2756016.05</v>
      </c>
      <c r="D32" s="3162">
        <v>-840560.87</v>
      </c>
    </row>
    <row r="33" spans="1:4">
      <c r="A33" s="3160" t="s">
        <v>3517</v>
      </c>
      <c r="B33" s="3161" t="s">
        <v>3518</v>
      </c>
      <c r="C33" s="3160"/>
      <c r="D33" s="3160"/>
    </row>
    <row r="34" spans="1:4">
      <c r="A34" s="3160" t="s">
        <v>3519</v>
      </c>
      <c r="B34" s="3161" t="s">
        <v>3520</v>
      </c>
      <c r="C34" s="3162">
        <v>-2756016.05</v>
      </c>
      <c r="D34" s="3162">
        <v>-840560.87</v>
      </c>
    </row>
  </sheetData>
  <mergeCells count="2">
    <mergeCell ref="A1:D1"/>
    <mergeCell ref="B2:C2"/>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34"/>
  <sheetViews>
    <sheetView workbookViewId="0">
      <selection activeCell="F7" sqref="F7"/>
    </sheetView>
  </sheetViews>
  <sheetFormatPr defaultRowHeight="13.5"/>
  <cols>
    <col min="1" max="1" width="60" style="3156" customWidth="1"/>
    <col min="2" max="2" width="5" style="3156" customWidth="1"/>
    <col min="3" max="4" width="17" style="3156" customWidth="1"/>
    <col min="5" max="16384" width="9" style="3156"/>
  </cols>
  <sheetData>
    <row r="1" spans="1:6" ht="20.25">
      <c r="A1" s="3468" t="s">
        <v>3451</v>
      </c>
      <c r="B1" s="3469"/>
      <c r="C1" s="3469"/>
      <c r="D1" s="3469"/>
    </row>
    <row r="2" spans="1:6">
      <c r="A2" s="3157" t="s">
        <v>3452</v>
      </c>
      <c r="B2" s="3470" t="s">
        <v>3521</v>
      </c>
      <c r="C2" s="3469"/>
      <c r="D2" s="3158" t="s">
        <v>3454</v>
      </c>
    </row>
    <row r="3" spans="1:6">
      <c r="A3" s="3159" t="s">
        <v>3455</v>
      </c>
      <c r="B3" s="3159" t="s">
        <v>3456</v>
      </c>
      <c r="C3" s="3159" t="s">
        <v>3457</v>
      </c>
      <c r="D3" s="3159" t="s">
        <v>3458</v>
      </c>
    </row>
    <row r="4" spans="1:6">
      <c r="A4" s="3160" t="s">
        <v>3459</v>
      </c>
      <c r="B4" s="3161" t="s">
        <v>3460</v>
      </c>
      <c r="C4" s="3162">
        <v>7770474.5599999996</v>
      </c>
      <c r="D4" s="3162">
        <v>541296.86</v>
      </c>
    </row>
    <row r="5" spans="1:6">
      <c r="A5" s="3160" t="s">
        <v>3461</v>
      </c>
      <c r="B5" s="3161" t="s">
        <v>3462</v>
      </c>
      <c r="C5" s="3162">
        <v>1954775.09</v>
      </c>
      <c r="D5" s="3162">
        <v>67067.360000000001</v>
      </c>
    </row>
    <row r="6" spans="1:6">
      <c r="A6" s="3160" t="s">
        <v>3463</v>
      </c>
      <c r="B6" s="3161" t="s">
        <v>3464</v>
      </c>
      <c r="C6" s="3162">
        <v>43483.18</v>
      </c>
      <c r="D6" s="3160"/>
      <c r="F6" s="3156">
        <f>C5/C4</f>
        <v>0.25156444112983495</v>
      </c>
    </row>
    <row r="7" spans="1:6">
      <c r="A7" s="3160" t="s">
        <v>3465</v>
      </c>
      <c r="B7" s="3161" t="s">
        <v>3466</v>
      </c>
      <c r="C7" s="3160"/>
      <c r="D7" s="3160"/>
    </row>
    <row r="8" spans="1:6">
      <c r="A8" s="3160" t="s">
        <v>3467</v>
      </c>
      <c r="B8" s="3161" t="s">
        <v>3468</v>
      </c>
      <c r="C8" s="3162">
        <v>765.26</v>
      </c>
      <c r="D8" s="3160"/>
    </row>
    <row r="9" spans="1:6">
      <c r="A9" s="3160" t="s">
        <v>3469</v>
      </c>
      <c r="B9" s="3161" t="s">
        <v>3470</v>
      </c>
      <c r="C9" s="3160"/>
      <c r="D9" s="3160"/>
    </row>
    <row r="10" spans="1:6">
      <c r="A10" s="3160" t="s">
        <v>3471</v>
      </c>
      <c r="B10" s="3161" t="s">
        <v>3472</v>
      </c>
      <c r="C10" s="3162">
        <v>80.400000000000006</v>
      </c>
      <c r="D10" s="3160"/>
    </row>
    <row r="11" spans="1:6">
      <c r="A11" s="3160" t="s">
        <v>3473</v>
      </c>
      <c r="B11" s="3161" t="s">
        <v>3474</v>
      </c>
      <c r="C11" s="3162">
        <v>2514.6</v>
      </c>
      <c r="D11" s="3160"/>
    </row>
    <row r="12" spans="1:6">
      <c r="A12" s="3160" t="s">
        <v>3475</v>
      </c>
      <c r="B12" s="3161" t="s">
        <v>3476</v>
      </c>
      <c r="C12" s="3162">
        <v>459.14</v>
      </c>
      <c r="D12" s="3160"/>
    </row>
    <row r="13" spans="1:6">
      <c r="A13" s="3160" t="s">
        <v>3477</v>
      </c>
      <c r="B13" s="3161" t="s">
        <v>3478</v>
      </c>
      <c r="C13" s="3162">
        <v>25999</v>
      </c>
      <c r="D13" s="3162">
        <v>3244.82</v>
      </c>
    </row>
    <row r="14" spans="1:6">
      <c r="A14" s="3160" t="s">
        <v>3479</v>
      </c>
      <c r="B14" s="3161" t="s">
        <v>3480</v>
      </c>
      <c r="C14" s="3160"/>
      <c r="D14" s="3160"/>
    </row>
    <row r="15" spans="1:6">
      <c r="A15" s="3160" t="s">
        <v>3481</v>
      </c>
      <c r="B15" s="3161" t="s">
        <v>3482</v>
      </c>
      <c r="C15" s="3162">
        <v>19489.47</v>
      </c>
      <c r="D15" s="3162">
        <v>1755.29</v>
      </c>
    </row>
    <row r="16" spans="1:6">
      <c r="A16" s="3160" t="s">
        <v>3483</v>
      </c>
      <c r="B16" s="3161" t="s">
        <v>3484</v>
      </c>
      <c r="C16" s="3162">
        <v>7940650.4100000001</v>
      </c>
      <c r="D16" s="3162">
        <v>187884.9</v>
      </c>
    </row>
    <row r="17" spans="1:4">
      <c r="A17" s="3160" t="s">
        <v>3485</v>
      </c>
      <c r="B17" s="3161" t="s">
        <v>3486</v>
      </c>
      <c r="C17" s="3162">
        <v>1942817.36</v>
      </c>
      <c r="D17" s="3162">
        <v>158143.35</v>
      </c>
    </row>
    <row r="18" spans="1:4">
      <c r="A18" s="3160" t="s">
        <v>3487</v>
      </c>
      <c r="B18" s="3161" t="s">
        <v>3488</v>
      </c>
      <c r="C18" s="3162">
        <v>90309.79</v>
      </c>
      <c r="D18" s="3162">
        <v>-14511.24</v>
      </c>
    </row>
    <row r="19" spans="1:4">
      <c r="A19" s="3160" t="s">
        <v>3489</v>
      </c>
      <c r="B19" s="3161" t="s">
        <v>3490</v>
      </c>
      <c r="C19" s="3160"/>
      <c r="D19" s="3160"/>
    </row>
    <row r="20" spans="1:4">
      <c r="A20" s="3160" t="s">
        <v>3491</v>
      </c>
      <c r="B20" s="3161" t="s">
        <v>3492</v>
      </c>
      <c r="C20" s="3162">
        <v>156788.45000000001</v>
      </c>
      <c r="D20" s="3162">
        <v>39840.800000000003</v>
      </c>
    </row>
    <row r="21" spans="1:4">
      <c r="A21" s="3160" t="s">
        <v>3493</v>
      </c>
      <c r="B21" s="3161" t="s">
        <v>3494</v>
      </c>
      <c r="C21" s="3162">
        <v>155158.38</v>
      </c>
      <c r="D21" s="3162">
        <v>39723</v>
      </c>
    </row>
    <row r="22" spans="1:4">
      <c r="A22" s="3160" t="s">
        <v>3495</v>
      </c>
      <c r="B22" s="3161" t="s">
        <v>3496</v>
      </c>
      <c r="C22" s="3160"/>
      <c r="D22" s="3160"/>
    </row>
    <row r="23" spans="1:4">
      <c r="A23" s="3160" t="s">
        <v>3497</v>
      </c>
      <c r="B23" s="3161" t="s">
        <v>3498</v>
      </c>
      <c r="C23" s="3162">
        <v>-2351221.5699999998</v>
      </c>
      <c r="D23" s="3162">
        <v>243258.98</v>
      </c>
    </row>
    <row r="24" spans="1:4">
      <c r="A24" s="3160" t="s">
        <v>3499</v>
      </c>
      <c r="B24" s="3161" t="s">
        <v>3500</v>
      </c>
      <c r="C24" s="3162">
        <v>124253.22</v>
      </c>
      <c r="D24" s="3162">
        <v>-33522.620000000003</v>
      </c>
    </row>
    <row r="25" spans="1:4">
      <c r="A25" s="3160" t="s">
        <v>3501</v>
      </c>
      <c r="B25" s="3161" t="s">
        <v>3502</v>
      </c>
      <c r="C25" s="3162">
        <v>115175.29</v>
      </c>
      <c r="D25" s="3162">
        <v>300.29000000000002</v>
      </c>
    </row>
    <row r="26" spans="1:4">
      <c r="A26" s="3160" t="s">
        <v>3503</v>
      </c>
      <c r="B26" s="3161" t="s">
        <v>3504</v>
      </c>
      <c r="C26" s="3162">
        <v>900</v>
      </c>
      <c r="D26" s="3160"/>
    </row>
    <row r="27" spans="1:4">
      <c r="A27" s="3160" t="s">
        <v>3505</v>
      </c>
      <c r="B27" s="3161" t="s">
        <v>3506</v>
      </c>
      <c r="C27" s="3160"/>
      <c r="D27" s="3160"/>
    </row>
    <row r="28" spans="1:4">
      <c r="A28" s="3160" t="s">
        <v>3507</v>
      </c>
      <c r="B28" s="3161" t="s">
        <v>3508</v>
      </c>
      <c r="C28" s="3160"/>
      <c r="D28" s="3160"/>
    </row>
    <row r="29" spans="1:4">
      <c r="A29" s="3160" t="s">
        <v>3509</v>
      </c>
      <c r="B29" s="3161" t="s">
        <v>3510</v>
      </c>
      <c r="C29" s="3160"/>
      <c r="D29" s="3160"/>
    </row>
    <row r="30" spans="1:4">
      <c r="A30" s="3160" t="s">
        <v>3511</v>
      </c>
      <c r="B30" s="3161" t="s">
        <v>3512</v>
      </c>
      <c r="C30" s="3160"/>
      <c r="D30" s="3160"/>
    </row>
    <row r="31" spans="1:4">
      <c r="A31" s="3160" t="s">
        <v>3513</v>
      </c>
      <c r="B31" s="3161" t="s">
        <v>3514</v>
      </c>
      <c r="C31" s="3160"/>
      <c r="D31" s="3160"/>
    </row>
    <row r="32" spans="1:4">
      <c r="A32" s="3160" t="s">
        <v>3515</v>
      </c>
      <c r="B32" s="3161" t="s">
        <v>3516</v>
      </c>
      <c r="C32" s="3162">
        <v>-2227868.35</v>
      </c>
      <c r="D32" s="3162">
        <v>209736.36</v>
      </c>
    </row>
    <row r="33" spans="1:4">
      <c r="A33" s="3160" t="s">
        <v>3517</v>
      </c>
      <c r="B33" s="3161" t="s">
        <v>3518</v>
      </c>
      <c r="C33" s="3160"/>
      <c r="D33" s="3160"/>
    </row>
    <row r="34" spans="1:4">
      <c r="A34" s="3160" t="s">
        <v>3519</v>
      </c>
      <c r="B34" s="3161" t="s">
        <v>3520</v>
      </c>
      <c r="C34" s="3162">
        <v>-2227868.35</v>
      </c>
      <c r="D34" s="3162">
        <v>209736.36</v>
      </c>
    </row>
  </sheetData>
  <mergeCells count="2">
    <mergeCell ref="A1:D1"/>
    <mergeCell ref="B2:C2"/>
  </mergeCells>
  <phoneticPr fontId="13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f ca="1">结果表!H101</f>
        <v>2220</v>
      </c>
    </row>
    <row r="6" spans="1:5" ht="15.75">
      <c r="B6" s="3165"/>
      <c r="C6" s="1392" t="s">
        <v>911</v>
      </c>
      <c r="D6" s="797" t="str">
        <f ca="1">NUMBERSTRING(INT(D5*10000),2)&amp;"元整"</f>
        <v>贰仟贰佰贰拾万元整</v>
      </c>
    </row>
    <row r="7" spans="1:5" ht="15.75">
      <c r="B7" s="3170"/>
      <c r="C7" s="1393" t="s">
        <v>912</v>
      </c>
      <c r="D7" s="798">
        <f ca="1">结果表!H102</f>
        <v>25006</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f ca="1">结果表!H107</f>
        <v>2220</v>
      </c>
    </row>
    <row r="14" spans="1:5" ht="15.75">
      <c r="B14" s="3165"/>
      <c r="C14" s="1392" t="s">
        <v>911</v>
      </c>
      <c r="D14" s="797" t="str">
        <f ca="1">NUMBERSTRING(INT(D13*10000),2)&amp;"元整"</f>
        <v>贰仟贰佰贰拾万元整</v>
      </c>
    </row>
    <row r="15" spans="1:5" ht="15">
      <c r="B15" s="3170"/>
      <c r="C15" s="1393" t="s">
        <v>921</v>
      </c>
      <c r="D15" s="806">
        <f ca="1">结果表!H108</f>
        <v>25006</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34"/>
  <sheetViews>
    <sheetView workbookViewId="0">
      <selection activeCell="F28" sqref="F28"/>
    </sheetView>
  </sheetViews>
  <sheetFormatPr defaultRowHeight="13.5"/>
  <cols>
    <col min="1" max="1" width="60" style="3156" customWidth="1"/>
    <col min="2" max="2" width="5" style="3156" customWidth="1"/>
    <col min="3" max="4" width="17" style="3156" customWidth="1"/>
    <col min="5" max="16384" width="9" style="3156"/>
  </cols>
  <sheetData>
    <row r="1" spans="1:6" ht="20.25">
      <c r="A1" s="3468" t="s">
        <v>3451</v>
      </c>
      <c r="B1" s="3469"/>
      <c r="C1" s="3469"/>
      <c r="D1" s="3469"/>
    </row>
    <row r="2" spans="1:6">
      <c r="A2" s="3157" t="s">
        <v>3452</v>
      </c>
      <c r="B2" s="3470" t="s">
        <v>3522</v>
      </c>
      <c r="C2" s="3469"/>
      <c r="D2" s="3158" t="s">
        <v>3454</v>
      </c>
    </row>
    <row r="3" spans="1:6">
      <c r="A3" s="3159" t="s">
        <v>3455</v>
      </c>
      <c r="B3" s="3159" t="s">
        <v>3456</v>
      </c>
      <c r="C3" s="3159" t="s">
        <v>3457</v>
      </c>
      <c r="D3" s="3159" t="s">
        <v>3458</v>
      </c>
    </row>
    <row r="4" spans="1:6">
      <c r="A4" s="3503" t="s">
        <v>3459</v>
      </c>
      <c r="B4" s="3504" t="s">
        <v>3460</v>
      </c>
      <c r="C4" s="3505">
        <v>6792935.75</v>
      </c>
      <c r="D4" s="3505">
        <v>383450.46</v>
      </c>
    </row>
    <row r="5" spans="1:6">
      <c r="A5" s="3160" t="s">
        <v>3461</v>
      </c>
      <c r="B5" s="3161" t="s">
        <v>3462</v>
      </c>
      <c r="C5" s="3162">
        <v>2501714.27</v>
      </c>
      <c r="D5" s="3162">
        <v>142641.35999999999</v>
      </c>
    </row>
    <row r="6" spans="1:6">
      <c r="A6" s="3160" t="s">
        <v>3463</v>
      </c>
      <c r="B6" s="3161" t="s">
        <v>3464</v>
      </c>
      <c r="C6" s="3162">
        <v>898.4</v>
      </c>
      <c r="D6" s="3160"/>
      <c r="F6" s="3156">
        <f>C5/C4</f>
        <v>0.36828175064072999</v>
      </c>
    </row>
    <row r="7" spans="1:6">
      <c r="A7" s="3160" t="s">
        <v>3465</v>
      </c>
      <c r="B7" s="3161" t="s">
        <v>3466</v>
      </c>
      <c r="C7" s="3160"/>
      <c r="D7" s="3160"/>
    </row>
    <row r="8" spans="1:6">
      <c r="A8" s="3160" t="s">
        <v>3467</v>
      </c>
      <c r="B8" s="3161" t="s">
        <v>3468</v>
      </c>
      <c r="C8" s="3162">
        <v>415.2</v>
      </c>
      <c r="D8" s="3160"/>
    </row>
    <row r="9" spans="1:6">
      <c r="A9" s="3160" t="s">
        <v>3469</v>
      </c>
      <c r="B9" s="3161" t="s">
        <v>3470</v>
      </c>
      <c r="C9" s="3160"/>
      <c r="D9" s="3160"/>
    </row>
    <row r="10" spans="1:6">
      <c r="A10" s="3160" t="s">
        <v>3471</v>
      </c>
      <c r="B10" s="3161" t="s">
        <v>3472</v>
      </c>
      <c r="C10" s="3160"/>
      <c r="D10" s="3160"/>
    </row>
    <row r="11" spans="1:6">
      <c r="A11" s="3160" t="s">
        <v>3473</v>
      </c>
      <c r="B11" s="3161" t="s">
        <v>3474</v>
      </c>
      <c r="C11" s="3162">
        <v>38</v>
      </c>
      <c r="D11" s="3160"/>
    </row>
    <row r="12" spans="1:6">
      <c r="A12" s="3160" t="s">
        <v>3475</v>
      </c>
      <c r="B12" s="3161" t="s">
        <v>3476</v>
      </c>
      <c r="C12" s="3162">
        <v>249.12</v>
      </c>
      <c r="D12" s="3160"/>
    </row>
    <row r="13" spans="1:6">
      <c r="A13" s="3160" t="s">
        <v>3477</v>
      </c>
      <c r="B13" s="3161" t="s">
        <v>3478</v>
      </c>
      <c r="C13" s="3162">
        <v>95168.03</v>
      </c>
      <c r="D13" s="3162">
        <v>8544.11</v>
      </c>
    </row>
    <row r="14" spans="1:6">
      <c r="A14" s="3160" t="s">
        <v>3479</v>
      </c>
      <c r="B14" s="3161" t="s">
        <v>3480</v>
      </c>
      <c r="C14" s="3160"/>
      <c r="D14" s="3160"/>
    </row>
    <row r="15" spans="1:6">
      <c r="A15" s="3160" t="s">
        <v>3481</v>
      </c>
      <c r="B15" s="3161" t="s">
        <v>3482</v>
      </c>
      <c r="C15" s="3162">
        <v>47151.4</v>
      </c>
      <c r="D15" s="3162">
        <v>4222.1099999999997</v>
      </c>
    </row>
    <row r="16" spans="1:6">
      <c r="A16" s="3160" t="s">
        <v>3483</v>
      </c>
      <c r="B16" s="3161" t="s">
        <v>3484</v>
      </c>
      <c r="C16" s="3162">
        <v>6099257.1799999997</v>
      </c>
      <c r="D16" s="3162">
        <v>400256.67</v>
      </c>
    </row>
    <row r="17" spans="1:4">
      <c r="A17" s="3160" t="s">
        <v>3485</v>
      </c>
      <c r="B17" s="3161" t="s">
        <v>3486</v>
      </c>
      <c r="C17" s="3162">
        <v>1836077.1</v>
      </c>
      <c r="D17" s="3162">
        <v>153941.51</v>
      </c>
    </row>
    <row r="18" spans="1:4">
      <c r="A18" s="3160" t="s">
        <v>3487</v>
      </c>
      <c r="B18" s="3161" t="s">
        <v>3488</v>
      </c>
      <c r="C18" s="3162">
        <v>122831.51</v>
      </c>
      <c r="D18" s="3162">
        <v>5115.29</v>
      </c>
    </row>
    <row r="19" spans="1:4">
      <c r="A19" s="3160" t="s">
        <v>3489</v>
      </c>
      <c r="B19" s="3161" t="s">
        <v>3490</v>
      </c>
      <c r="C19" s="3160"/>
      <c r="D19" s="3160"/>
    </row>
    <row r="20" spans="1:4">
      <c r="A20" s="3160" t="s">
        <v>3491</v>
      </c>
      <c r="B20" s="3161" t="s">
        <v>3492</v>
      </c>
      <c r="C20" s="3162">
        <v>202058.86</v>
      </c>
      <c r="D20" s="3162">
        <v>38606.36</v>
      </c>
    </row>
    <row r="21" spans="1:4">
      <c r="A21" s="3160" t="s">
        <v>3493</v>
      </c>
      <c r="B21" s="3161" t="s">
        <v>3494</v>
      </c>
      <c r="C21" s="3162">
        <v>170098.01</v>
      </c>
      <c r="D21" s="3162">
        <v>38431.81</v>
      </c>
    </row>
    <row r="22" spans="1:4">
      <c r="A22" s="3160" t="s">
        <v>3495</v>
      </c>
      <c r="B22" s="3161" t="s">
        <v>3496</v>
      </c>
      <c r="C22" s="3160"/>
      <c r="D22" s="3160"/>
    </row>
    <row r="23" spans="1:4">
      <c r="A23" s="3503" t="s">
        <v>3497</v>
      </c>
      <c r="B23" s="3504" t="s">
        <v>3498</v>
      </c>
      <c r="C23" s="3505">
        <v>-2106160.9900000002</v>
      </c>
      <c r="D23" s="3505">
        <v>-206598.04</v>
      </c>
    </row>
    <row r="24" spans="1:4">
      <c r="A24" s="3160" t="s">
        <v>3499</v>
      </c>
      <c r="B24" s="3161" t="s">
        <v>3500</v>
      </c>
      <c r="C24" s="3162">
        <v>107414.63</v>
      </c>
      <c r="D24" s="3160"/>
    </row>
    <row r="25" spans="1:4">
      <c r="A25" s="3160" t="s">
        <v>3501</v>
      </c>
      <c r="B25" s="3161" t="s">
        <v>3502</v>
      </c>
      <c r="C25" s="3162">
        <v>100823.73</v>
      </c>
      <c r="D25" s="3160"/>
    </row>
    <row r="26" spans="1:4">
      <c r="A26" s="3160" t="s">
        <v>3503</v>
      </c>
      <c r="B26" s="3161" t="s">
        <v>3504</v>
      </c>
      <c r="C26" s="3162">
        <v>8326.19</v>
      </c>
      <c r="D26" s="3160"/>
    </row>
    <row r="27" spans="1:4">
      <c r="A27" s="3160" t="s">
        <v>3505</v>
      </c>
      <c r="B27" s="3161" t="s">
        <v>3506</v>
      </c>
      <c r="C27" s="3160"/>
      <c r="D27" s="3160"/>
    </row>
    <row r="28" spans="1:4">
      <c r="A28" s="3160" t="s">
        <v>3507</v>
      </c>
      <c r="B28" s="3161" t="s">
        <v>3508</v>
      </c>
      <c r="C28" s="3160"/>
      <c r="D28" s="3160"/>
    </row>
    <row r="29" spans="1:4">
      <c r="A29" s="3160" t="s">
        <v>3509</v>
      </c>
      <c r="B29" s="3161" t="s">
        <v>3510</v>
      </c>
      <c r="C29" s="3160"/>
      <c r="D29" s="3160"/>
    </row>
    <row r="30" spans="1:4">
      <c r="A30" s="3160" t="s">
        <v>3511</v>
      </c>
      <c r="B30" s="3161" t="s">
        <v>3512</v>
      </c>
      <c r="C30" s="3160"/>
      <c r="D30" s="3160"/>
    </row>
    <row r="31" spans="1:4">
      <c r="A31" s="3160" t="s">
        <v>3513</v>
      </c>
      <c r="B31" s="3161" t="s">
        <v>3514</v>
      </c>
      <c r="C31" s="3160"/>
      <c r="D31" s="3160"/>
    </row>
    <row r="32" spans="1:4">
      <c r="A32" s="3503" t="s">
        <v>3515</v>
      </c>
      <c r="B32" s="3504" t="s">
        <v>3516</v>
      </c>
      <c r="C32" s="3505">
        <v>-2007072.55</v>
      </c>
      <c r="D32" s="3505">
        <v>-206598.04</v>
      </c>
    </row>
    <row r="33" spans="1:4">
      <c r="A33" s="3160" t="s">
        <v>3517</v>
      </c>
      <c r="B33" s="3161" t="s">
        <v>3518</v>
      </c>
      <c r="C33" s="3160"/>
      <c r="D33" s="3160"/>
    </row>
    <row r="34" spans="1:4">
      <c r="A34" s="3503" t="s">
        <v>3519</v>
      </c>
      <c r="B34" s="3504" t="s">
        <v>3520</v>
      </c>
      <c r="C34" s="3505">
        <v>-2007072.55</v>
      </c>
      <c r="D34" s="3505">
        <v>-206598.04</v>
      </c>
    </row>
  </sheetData>
  <mergeCells count="2">
    <mergeCell ref="A1:D1"/>
    <mergeCell ref="B2:C2"/>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67D7-0F86-4C25-986E-B896B34FD6CE}">
  <dimension ref="A1:S7"/>
  <sheetViews>
    <sheetView workbookViewId="0">
      <selection activeCell="A4" sqref="A4"/>
    </sheetView>
  </sheetViews>
  <sheetFormatPr defaultColWidth="9" defaultRowHeight="14.25"/>
  <cols>
    <col min="1" max="1" width="22.75" style="3501" customWidth="1"/>
    <col min="2" max="2" width="6.875" style="3501" customWidth="1"/>
    <col min="3" max="3" width="20" style="3501" customWidth="1"/>
    <col min="4" max="4" width="10.25" style="3501" customWidth="1"/>
    <col min="5" max="5" width="10.125" style="3501" customWidth="1"/>
    <col min="6" max="6" width="13.25" style="3501" customWidth="1"/>
    <col min="7" max="7" width="15.875" style="3501" customWidth="1"/>
    <col min="8" max="8" width="15.625" style="3501" customWidth="1"/>
    <col min="9" max="9" width="7.75" style="3501" customWidth="1"/>
    <col min="10" max="10" width="8.5" style="3501" customWidth="1"/>
    <col min="11" max="11" width="9" style="3501" customWidth="1"/>
    <col min="12" max="12" width="10.25" style="3501" customWidth="1"/>
    <col min="13" max="13" width="7.25" style="3501" customWidth="1"/>
    <col min="14" max="14" width="12.75" style="3501" customWidth="1"/>
    <col min="15" max="15" width="9.75" style="3501" customWidth="1"/>
    <col min="16" max="16" width="7.875" style="3501" customWidth="1"/>
    <col min="17" max="17" width="10.625" style="3501" customWidth="1"/>
    <col min="18" max="18" width="10" style="3501" customWidth="1"/>
    <col min="19" max="19" width="8.125" style="3501" customWidth="1"/>
    <col min="20" max="20" width="20" style="3501" customWidth="1"/>
    <col min="21" max="16384" width="9" style="3501"/>
  </cols>
  <sheetData>
    <row r="1" spans="1:19">
      <c r="A1" s="3501" t="s">
        <v>3583</v>
      </c>
      <c r="B1" s="3501" t="s">
        <v>3582</v>
      </c>
      <c r="C1" s="3501" t="s">
        <v>3581</v>
      </c>
      <c r="D1" s="3501" t="s">
        <v>3580</v>
      </c>
      <c r="E1" s="3501" t="s">
        <v>3579</v>
      </c>
      <c r="F1" s="3501" t="s">
        <v>3578</v>
      </c>
      <c r="G1" s="3501" t="s">
        <v>3577</v>
      </c>
      <c r="H1" s="3501" t="s">
        <v>3576</v>
      </c>
      <c r="I1" s="3501" t="s">
        <v>3575</v>
      </c>
      <c r="J1" s="3501" t="s">
        <v>3574</v>
      </c>
      <c r="K1" s="3501" t="s">
        <v>3573</v>
      </c>
      <c r="L1" s="3501" t="s">
        <v>3572</v>
      </c>
      <c r="M1" s="3501" t="s">
        <v>3571</v>
      </c>
      <c r="N1" s="3501" t="s">
        <v>3570</v>
      </c>
      <c r="O1" s="3501" t="s">
        <v>3569</v>
      </c>
      <c r="P1" s="3501" t="s">
        <v>3568</v>
      </c>
      <c r="Q1" s="3501" t="s">
        <v>3567</v>
      </c>
      <c r="R1" s="3501" t="s">
        <v>3566</v>
      </c>
      <c r="S1" s="3501" t="s">
        <v>3565</v>
      </c>
    </row>
    <row r="2" spans="1:19">
      <c r="A2" s="3501" t="s">
        <v>3564</v>
      </c>
      <c r="B2" s="3501" t="s">
        <v>3404</v>
      </c>
      <c r="C2" s="3501" t="s">
        <v>3563</v>
      </c>
      <c r="D2" s="3501">
        <v>19258.580000000002</v>
      </c>
      <c r="E2" s="3501">
        <v>38517.17</v>
      </c>
      <c r="F2" s="3501" t="s">
        <v>3540</v>
      </c>
      <c r="G2" s="3501" t="s">
        <v>3539</v>
      </c>
      <c r="H2" s="3501" t="s">
        <v>3538</v>
      </c>
      <c r="I2" s="3501" t="s">
        <v>3462</v>
      </c>
      <c r="J2" s="3501" t="s">
        <v>3536</v>
      </c>
      <c r="K2" s="3501" t="s">
        <v>3535</v>
      </c>
      <c r="L2" s="3501" t="s">
        <v>3558</v>
      </c>
      <c r="M2" s="3501" t="s">
        <v>3533</v>
      </c>
      <c r="N2" s="3501" t="s">
        <v>3562</v>
      </c>
      <c r="O2" s="3501">
        <v>28400</v>
      </c>
      <c r="P2" s="3501">
        <v>28400</v>
      </c>
      <c r="Q2" s="3501">
        <v>983.11</v>
      </c>
      <c r="R2" s="3501">
        <v>7373</v>
      </c>
      <c r="S2" s="3501">
        <v>0</v>
      </c>
    </row>
    <row r="3" spans="1:19">
      <c r="A3" s="3501" t="s">
        <v>3561</v>
      </c>
      <c r="B3" s="3501" t="s">
        <v>3404</v>
      </c>
      <c r="C3" s="3501" t="s">
        <v>3560</v>
      </c>
      <c r="D3" s="3501">
        <v>28547.88</v>
      </c>
      <c r="E3" s="3501">
        <v>51828.53</v>
      </c>
      <c r="F3" s="3501" t="s">
        <v>3540</v>
      </c>
      <c r="G3" s="3501" t="s">
        <v>3539</v>
      </c>
      <c r="H3" s="3501" t="s">
        <v>3538</v>
      </c>
      <c r="I3" s="3501" t="s">
        <v>3559</v>
      </c>
      <c r="J3" s="3501" t="s">
        <v>3536</v>
      </c>
      <c r="K3" s="3501" t="s">
        <v>3535</v>
      </c>
      <c r="L3" s="3501" t="s">
        <v>3558</v>
      </c>
      <c r="M3" s="3501" t="s">
        <v>3533</v>
      </c>
      <c r="N3" s="3501" t="s">
        <v>3557</v>
      </c>
      <c r="O3" s="3501">
        <v>37700</v>
      </c>
      <c r="P3" s="3501">
        <v>37700</v>
      </c>
      <c r="Q3" s="3501">
        <v>880.39</v>
      </c>
      <c r="R3" s="3501">
        <v>7274</v>
      </c>
      <c r="S3" s="3501">
        <v>0</v>
      </c>
    </row>
    <row r="4" spans="1:19" s="3502" customFormat="1">
      <c r="A4" s="3502" t="s">
        <v>3556</v>
      </c>
      <c r="B4" s="3502" t="s">
        <v>3404</v>
      </c>
      <c r="C4" s="3502" t="s">
        <v>3555</v>
      </c>
      <c r="D4" s="3502">
        <v>1676.22</v>
      </c>
      <c r="E4" s="3502">
        <v>753.4</v>
      </c>
      <c r="F4" s="3502" t="s">
        <v>3540</v>
      </c>
      <c r="G4" s="3502" t="s">
        <v>3545</v>
      </c>
      <c r="H4" s="3502" t="s">
        <v>3538</v>
      </c>
      <c r="I4" s="3502" t="s">
        <v>3554</v>
      </c>
      <c r="J4" s="3502" t="s">
        <v>3536</v>
      </c>
      <c r="K4" s="3502" t="s">
        <v>3535</v>
      </c>
      <c r="L4" s="3502" t="s">
        <v>3553</v>
      </c>
      <c r="M4" s="3502" t="s">
        <v>3533</v>
      </c>
      <c r="N4" s="3502" t="s">
        <v>3543</v>
      </c>
      <c r="O4" s="3502">
        <v>550</v>
      </c>
      <c r="P4" s="3502">
        <v>550</v>
      </c>
      <c r="Q4" s="3502">
        <v>218.75</v>
      </c>
      <c r="R4" s="3502">
        <v>7300</v>
      </c>
      <c r="S4" s="3502">
        <v>0</v>
      </c>
    </row>
    <row r="5" spans="1:19">
      <c r="A5" s="3501" t="s">
        <v>3552</v>
      </c>
      <c r="B5" s="3501" t="s">
        <v>3404</v>
      </c>
      <c r="C5" s="3501" t="s">
        <v>3551</v>
      </c>
      <c r="D5" s="3501">
        <v>63225.37</v>
      </c>
      <c r="E5" s="3501">
        <v>120200</v>
      </c>
      <c r="F5" s="3501" t="s">
        <v>3540</v>
      </c>
      <c r="G5" s="3501" t="s">
        <v>3539</v>
      </c>
      <c r="H5" s="3501" t="s">
        <v>3538</v>
      </c>
      <c r="I5" s="3501" t="s">
        <v>3550</v>
      </c>
      <c r="J5" s="3501" t="s">
        <v>3536</v>
      </c>
      <c r="K5" s="3501" t="s">
        <v>3535</v>
      </c>
      <c r="L5" s="3501" t="s">
        <v>3549</v>
      </c>
      <c r="M5" s="3501" t="s">
        <v>3533</v>
      </c>
      <c r="N5" s="3501" t="s">
        <v>3548</v>
      </c>
      <c r="O5" s="3501">
        <v>88100</v>
      </c>
      <c r="P5" s="3501">
        <v>88100</v>
      </c>
      <c r="Q5" s="3501">
        <v>928.95</v>
      </c>
      <c r="R5" s="3501">
        <v>7329</v>
      </c>
      <c r="S5" s="3501">
        <v>0</v>
      </c>
    </row>
    <row r="6" spans="1:19" s="3502" customFormat="1">
      <c r="A6" s="3502" t="s">
        <v>3547</v>
      </c>
      <c r="B6" s="3502" t="s">
        <v>3404</v>
      </c>
      <c r="C6" s="3502" t="s">
        <v>3546</v>
      </c>
      <c r="D6" s="3502">
        <v>5352.65</v>
      </c>
      <c r="E6" s="3502">
        <v>843</v>
      </c>
      <c r="F6" s="3502" t="s">
        <v>3540</v>
      </c>
      <c r="G6" s="3502" t="s">
        <v>3545</v>
      </c>
      <c r="H6" s="3502" t="s">
        <v>3538</v>
      </c>
      <c r="I6" s="3502" t="s">
        <v>3544</v>
      </c>
      <c r="J6" s="3502" t="s">
        <v>3536</v>
      </c>
      <c r="K6" s="3502" t="s">
        <v>3535</v>
      </c>
      <c r="L6" s="3502" t="s">
        <v>3534</v>
      </c>
      <c r="M6" s="3502" t="s">
        <v>3533</v>
      </c>
      <c r="N6" s="3502" t="s">
        <v>3543</v>
      </c>
      <c r="O6" s="3502">
        <v>1310</v>
      </c>
      <c r="P6" s="3502">
        <v>1310</v>
      </c>
      <c r="Q6" s="3502">
        <v>163.16</v>
      </c>
      <c r="R6" s="3502">
        <v>15540</v>
      </c>
      <c r="S6" s="3502">
        <v>0</v>
      </c>
    </row>
    <row r="7" spans="1:19">
      <c r="A7" s="3501" t="s">
        <v>3542</v>
      </c>
      <c r="B7" s="3501" t="s">
        <v>3404</v>
      </c>
      <c r="C7" s="3501" t="s">
        <v>3541</v>
      </c>
      <c r="D7" s="3501">
        <v>36823.82</v>
      </c>
      <c r="E7" s="3501">
        <v>25187</v>
      </c>
      <c r="F7" s="3501" t="s">
        <v>3540</v>
      </c>
      <c r="G7" s="3501" t="s">
        <v>3539</v>
      </c>
      <c r="H7" s="3501" t="s">
        <v>3538</v>
      </c>
      <c r="I7" s="3501" t="s">
        <v>3537</v>
      </c>
      <c r="J7" s="3501" t="s">
        <v>3536</v>
      </c>
      <c r="K7" s="3501" t="s">
        <v>3535</v>
      </c>
      <c r="L7" s="3501" t="s">
        <v>3534</v>
      </c>
      <c r="M7" s="3501" t="s">
        <v>3533</v>
      </c>
      <c r="N7" s="3501" t="s">
        <v>3532</v>
      </c>
      <c r="O7" s="3501">
        <v>29500</v>
      </c>
      <c r="P7" s="3501">
        <v>29500</v>
      </c>
      <c r="Q7" s="3501">
        <v>534.07000000000005</v>
      </c>
      <c r="R7" s="3501">
        <v>11712</v>
      </c>
      <c r="S7" s="3501">
        <v>0</v>
      </c>
    </row>
  </sheetData>
  <phoneticPr fontId="134" type="noConversion"/>
  <pageMargins left="0.75" right="0.75" top="1" bottom="1" header="0.5" footer="0.5"/>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80" t="s">
        <v>2607</v>
      </c>
      <c r="B20" s="3475" t="s">
        <v>2628</v>
      </c>
      <c r="C20" s="2843" t="s">
        <v>2439</v>
      </c>
      <c r="D20" s="2844"/>
      <c r="E20" s="2845">
        <v>1</v>
      </c>
      <c r="F20" s="2846" t="s">
        <v>2440</v>
      </c>
      <c r="G20" s="2846"/>
    </row>
    <row r="21" spans="1:13" ht="19.5" customHeight="1">
      <c r="A21" s="3481"/>
      <c r="B21" s="3474"/>
      <c r="C21" s="2847" t="s">
        <v>2441</v>
      </c>
      <c r="D21" s="2848"/>
      <c r="E21" s="2849">
        <v>1</v>
      </c>
      <c r="F21" s="2846" t="s">
        <v>2442</v>
      </c>
      <c r="G21" s="2846"/>
    </row>
    <row r="22" spans="1:13" ht="19.5" customHeight="1">
      <c r="A22" s="3481"/>
      <c r="B22" s="3474"/>
      <c r="C22" s="2847" t="s">
        <v>2443</v>
      </c>
      <c r="D22" s="2848"/>
      <c r="E22" s="2849">
        <v>0.9</v>
      </c>
      <c r="F22" s="2846" t="s">
        <v>2444</v>
      </c>
      <c r="G22" s="2846"/>
    </row>
    <row r="23" spans="1:13" ht="19.5" customHeight="1">
      <c r="A23" s="3481"/>
      <c r="B23" s="3474"/>
      <c r="C23" s="2847" t="s">
        <v>2445</v>
      </c>
      <c r="D23" s="2848"/>
      <c r="E23" s="2849">
        <v>0.9</v>
      </c>
      <c r="F23" s="2846" t="s">
        <v>2446</v>
      </c>
      <c r="G23" s="2846"/>
    </row>
    <row r="24" spans="1:13" ht="19.5" customHeight="1">
      <c r="A24" s="3481"/>
      <c r="B24" s="3474"/>
      <c r="C24" s="2847" t="s">
        <v>2447</v>
      </c>
      <c r="D24" s="2848"/>
      <c r="E24" s="2849">
        <v>0.8</v>
      </c>
      <c r="F24" s="2846" t="s">
        <v>2448</v>
      </c>
      <c r="G24" s="2846"/>
    </row>
    <row r="25" spans="1:13" ht="19.5" customHeight="1" thickBot="1">
      <c r="A25" s="3482"/>
      <c r="B25" s="3476"/>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77" t="s">
        <v>2631</v>
      </c>
      <c r="B27" s="3475" t="s">
        <v>2612</v>
      </c>
      <c r="C27" s="2843" t="s">
        <v>2452</v>
      </c>
      <c r="D27" s="2844"/>
      <c r="E27" s="2845">
        <v>1</v>
      </c>
      <c r="F27" s="2846" t="s">
        <v>2453</v>
      </c>
      <c r="G27" s="2846"/>
    </row>
    <row r="28" spans="1:13" ht="19.5" customHeight="1">
      <c r="A28" s="3478"/>
      <c r="B28" s="3474"/>
      <c r="C28" s="2847" t="s">
        <v>2454</v>
      </c>
      <c r="D28" s="2848"/>
      <c r="E28" s="2849">
        <v>1</v>
      </c>
      <c r="F28" s="2846" t="s">
        <v>2455</v>
      </c>
      <c r="G28" s="2846"/>
    </row>
    <row r="29" spans="1:13" ht="19.5" customHeight="1">
      <c r="A29" s="3478"/>
      <c r="B29" s="3474"/>
      <c r="C29" s="2847" t="s">
        <v>2456</v>
      </c>
      <c r="D29" s="2848"/>
      <c r="E29" s="2849">
        <v>0.8</v>
      </c>
      <c r="F29" s="2846" t="s">
        <v>2457</v>
      </c>
      <c r="G29" s="2846"/>
    </row>
    <row r="30" spans="1:13" ht="19.5" customHeight="1">
      <c r="A30" s="3478"/>
      <c r="B30" s="3474"/>
      <c r="C30" s="2847" t="s">
        <v>2458</v>
      </c>
      <c r="D30" s="2848"/>
      <c r="E30" s="2849">
        <v>0.8</v>
      </c>
      <c r="F30" s="2846" t="s">
        <v>2459</v>
      </c>
      <c r="G30" s="2846"/>
    </row>
    <row r="31" spans="1:13" ht="19.5" customHeight="1">
      <c r="A31" s="3478"/>
      <c r="B31" s="3474"/>
      <c r="C31" s="2847" t="s">
        <v>2460</v>
      </c>
      <c r="D31" s="2848"/>
      <c r="E31" s="2849">
        <v>0.8</v>
      </c>
      <c r="F31" s="2846" t="s">
        <v>2461</v>
      </c>
      <c r="G31" s="2846"/>
    </row>
    <row r="32" spans="1:13" ht="19.5" customHeight="1">
      <c r="A32" s="3478"/>
      <c r="B32" s="3474"/>
      <c r="C32" s="2847" t="s">
        <v>2462</v>
      </c>
      <c r="D32" s="2848"/>
      <c r="E32" s="2849">
        <v>0.7</v>
      </c>
      <c r="F32" s="2846" t="s">
        <v>2463</v>
      </c>
      <c r="G32" s="2846"/>
    </row>
    <row r="33" spans="1:7" ht="19.5" customHeight="1">
      <c r="A33" s="3478"/>
      <c r="B33" s="3474"/>
      <c r="C33" s="2847" t="s">
        <v>2464</v>
      </c>
      <c r="D33" s="2848"/>
      <c r="E33" s="2849">
        <v>0.8</v>
      </c>
      <c r="F33" s="2846" t="s">
        <v>2465</v>
      </c>
      <c r="G33" s="2846"/>
    </row>
    <row r="34" spans="1:7" ht="19.5" customHeight="1">
      <c r="A34" s="3478"/>
      <c r="B34" s="3474"/>
      <c r="C34" s="2847" t="s">
        <v>2466</v>
      </c>
      <c r="D34" s="2848"/>
      <c r="E34" s="2849">
        <v>0.6</v>
      </c>
      <c r="F34" s="2846" t="s">
        <v>2467</v>
      </c>
      <c r="G34" s="2846"/>
    </row>
    <row r="35" spans="1:7" ht="19.5" customHeight="1">
      <c r="A35" s="3478"/>
      <c r="B35" s="3474"/>
      <c r="C35" s="2847" t="s">
        <v>2468</v>
      </c>
      <c r="D35" s="2848"/>
      <c r="E35" s="2849">
        <v>0.2</v>
      </c>
      <c r="F35" s="2846" t="s">
        <v>2469</v>
      </c>
      <c r="G35" s="2846"/>
    </row>
    <row r="36" spans="1:7" ht="19.5" customHeight="1">
      <c r="A36" s="3478"/>
      <c r="B36" s="3474"/>
      <c r="C36" s="2847" t="s">
        <v>2470</v>
      </c>
      <c r="D36" s="2848"/>
      <c r="E36" s="2849">
        <v>0.2</v>
      </c>
      <c r="F36" s="2846" t="s">
        <v>2471</v>
      </c>
      <c r="G36" s="2846"/>
    </row>
    <row r="37" spans="1:7" ht="19.5" customHeight="1">
      <c r="A37" s="3478"/>
      <c r="B37" s="3472" t="s">
        <v>2632</v>
      </c>
      <c r="C37" s="2847" t="s">
        <v>2472</v>
      </c>
      <c r="D37" s="2848"/>
      <c r="E37" s="2849">
        <v>0.6</v>
      </c>
      <c r="F37" s="2846" t="s">
        <v>2473</v>
      </c>
      <c r="G37" s="2846"/>
    </row>
    <row r="38" spans="1:7" ht="19.5" customHeight="1">
      <c r="A38" s="3478"/>
      <c r="B38" s="3474"/>
      <c r="C38" s="2847" t="s">
        <v>2474</v>
      </c>
      <c r="D38" s="2848"/>
      <c r="E38" s="2849">
        <v>0.6</v>
      </c>
      <c r="F38" s="2846" t="s">
        <v>2475</v>
      </c>
      <c r="G38" s="2846"/>
    </row>
    <row r="39" spans="1:7" ht="19.5" customHeight="1" thickBot="1">
      <c r="A39" s="3479"/>
      <c r="B39" s="3476"/>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80" t="s">
        <v>2610</v>
      </c>
      <c r="B41" s="3475" t="s">
        <v>2634</v>
      </c>
      <c r="C41" s="2843" t="s">
        <v>2479</v>
      </c>
      <c r="D41" s="2844"/>
      <c r="E41" s="2845">
        <v>1</v>
      </c>
      <c r="F41" s="2846" t="s">
        <v>2480</v>
      </c>
      <c r="G41" s="2846"/>
    </row>
    <row r="42" spans="1:7" ht="19.5" customHeight="1">
      <c r="A42" s="3481"/>
      <c r="B42" s="3474"/>
      <c r="C42" s="2847" t="s">
        <v>2481</v>
      </c>
      <c r="D42" s="2848"/>
      <c r="E42" s="2849">
        <v>1</v>
      </c>
      <c r="F42" s="2846" t="s">
        <v>2482</v>
      </c>
      <c r="G42" s="2846"/>
    </row>
    <row r="43" spans="1:7" ht="19.5" customHeight="1">
      <c r="A43" s="3481"/>
      <c r="B43" s="3473"/>
      <c r="C43" s="2847" t="s">
        <v>2483</v>
      </c>
      <c r="D43" s="2848"/>
      <c r="E43" s="2849">
        <v>1.5</v>
      </c>
      <c r="F43" s="2846" t="s">
        <v>2484</v>
      </c>
      <c r="G43" s="2846"/>
    </row>
    <row r="44" spans="1:7" ht="19.5" customHeight="1">
      <c r="A44" s="3481"/>
      <c r="B44" s="2858" t="s">
        <v>2635</v>
      </c>
      <c r="C44" s="2847" t="s">
        <v>2636</v>
      </c>
      <c r="D44" s="2848"/>
      <c r="E44" s="2849">
        <v>2</v>
      </c>
      <c r="F44" s="2846" t="s">
        <v>2485</v>
      </c>
      <c r="G44" s="2846"/>
    </row>
    <row r="45" spans="1:7" ht="19.5" customHeight="1">
      <c r="A45" s="3481"/>
      <c r="B45" s="3472" t="s">
        <v>2637</v>
      </c>
      <c r="C45" s="2847" t="s">
        <v>2486</v>
      </c>
      <c r="D45" s="2848"/>
      <c r="E45" s="2849">
        <v>1</v>
      </c>
      <c r="F45" s="2846" t="s">
        <v>2487</v>
      </c>
      <c r="G45" s="2846"/>
    </row>
    <row r="46" spans="1:7" ht="19.5" customHeight="1">
      <c r="A46" s="3481"/>
      <c r="B46" s="3474"/>
      <c r="C46" s="2847" t="s">
        <v>2488</v>
      </c>
      <c r="D46" s="2848"/>
      <c r="E46" s="2849">
        <v>1</v>
      </c>
      <c r="F46" s="2846" t="s">
        <v>2489</v>
      </c>
      <c r="G46" s="2846"/>
    </row>
    <row r="47" spans="1:7" ht="19.5" customHeight="1">
      <c r="A47" s="3481"/>
      <c r="B47" s="3474"/>
      <c r="C47" s="2847" t="s">
        <v>2490</v>
      </c>
      <c r="D47" s="2848"/>
      <c r="E47" s="2849">
        <v>1</v>
      </c>
      <c r="F47" s="2846" t="s">
        <v>2491</v>
      </c>
      <c r="G47" s="2846"/>
    </row>
    <row r="48" spans="1:7" ht="19.5" customHeight="1">
      <c r="A48" s="3481"/>
      <c r="B48" s="3474"/>
      <c r="C48" s="2847" t="s">
        <v>2492</v>
      </c>
      <c r="D48" s="2848"/>
      <c r="E48" s="2849">
        <v>1</v>
      </c>
      <c r="F48" s="2846" t="s">
        <v>2493</v>
      </c>
      <c r="G48" s="2846"/>
    </row>
    <row r="49" spans="1:7" ht="19.5" customHeight="1">
      <c r="A49" s="3481"/>
      <c r="B49" s="3474"/>
      <c r="C49" s="2847" t="s">
        <v>2494</v>
      </c>
      <c r="D49" s="2848"/>
      <c r="E49" s="2849">
        <v>1</v>
      </c>
      <c r="F49" s="2846" t="s">
        <v>2495</v>
      </c>
      <c r="G49" s="2846"/>
    </row>
    <row r="50" spans="1:7" ht="19.5" customHeight="1">
      <c r="A50" s="3481"/>
      <c r="B50" s="3474"/>
      <c r="C50" s="2847" t="s">
        <v>2496</v>
      </c>
      <c r="D50" s="2848"/>
      <c r="E50" s="2849">
        <v>1</v>
      </c>
      <c r="F50" s="2846" t="s">
        <v>2497</v>
      </c>
      <c r="G50" s="2846"/>
    </row>
    <row r="51" spans="1:7" ht="19.5" customHeight="1" thickBot="1">
      <c r="A51" s="3482"/>
      <c r="B51" s="3476"/>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72" t="s">
        <v>2651</v>
      </c>
      <c r="C73" s="2832" t="s">
        <v>2652</v>
      </c>
      <c r="D73" s="2832" t="s">
        <v>2653</v>
      </c>
      <c r="E73" s="2858">
        <v>0.2</v>
      </c>
      <c r="F73" s="2858">
        <v>25</v>
      </c>
    </row>
    <row r="74" spans="1:7" ht="24">
      <c r="A74" s="2858">
        <v>2</v>
      </c>
      <c r="B74" s="3474"/>
      <c r="C74" s="2832" t="s">
        <v>2654</v>
      </c>
      <c r="D74" s="2832" t="s">
        <v>2655</v>
      </c>
      <c r="E74" s="2858">
        <v>0.2</v>
      </c>
      <c r="F74" s="2858">
        <v>25</v>
      </c>
    </row>
    <row r="75" spans="1:7" ht="24">
      <c r="A75" s="2858">
        <v>3</v>
      </c>
      <c r="B75" s="3474"/>
      <c r="C75" s="2832" t="s">
        <v>2656</v>
      </c>
      <c r="D75" s="2832" t="s">
        <v>2657</v>
      </c>
      <c r="E75" s="2858">
        <v>0.2</v>
      </c>
      <c r="F75" s="2858">
        <v>25</v>
      </c>
    </row>
    <row r="76" spans="1:7" ht="13.5">
      <c r="A76" s="2858">
        <v>4</v>
      </c>
      <c r="B76" s="3474"/>
      <c r="C76" s="2832" t="s">
        <v>2658</v>
      </c>
      <c r="D76" s="2832" t="s">
        <v>2659</v>
      </c>
      <c r="E76" s="2858">
        <v>0.15</v>
      </c>
      <c r="F76" s="2858">
        <v>20</v>
      </c>
    </row>
    <row r="77" spans="1:7" ht="24">
      <c r="A77" s="2858">
        <v>5</v>
      </c>
      <c r="B77" s="3474"/>
      <c r="C77" s="2832" t="s">
        <v>2660</v>
      </c>
      <c r="D77" s="2832" t="s">
        <v>2661</v>
      </c>
      <c r="E77" s="2858">
        <v>0.15</v>
      </c>
      <c r="F77" s="2858">
        <v>20</v>
      </c>
    </row>
    <row r="78" spans="1:7" ht="24">
      <c r="A78" s="2858">
        <v>6</v>
      </c>
      <c r="B78" s="3474"/>
      <c r="C78" s="2832" t="s">
        <v>2662</v>
      </c>
      <c r="D78" s="2832" t="s">
        <v>2663</v>
      </c>
      <c r="E78" s="2858">
        <v>0.15</v>
      </c>
      <c r="F78" s="2858">
        <v>20</v>
      </c>
    </row>
    <row r="79" spans="1:7" ht="24">
      <c r="A79" s="2858">
        <v>7</v>
      </c>
      <c r="B79" s="3474"/>
      <c r="C79" s="2832" t="s">
        <v>2664</v>
      </c>
      <c r="D79" s="2832" t="s">
        <v>2665</v>
      </c>
      <c r="E79" s="2858">
        <v>0.15</v>
      </c>
      <c r="F79" s="2858">
        <v>20</v>
      </c>
    </row>
    <row r="80" spans="1:7" ht="24">
      <c r="A80" s="2858">
        <v>8</v>
      </c>
      <c r="B80" s="3474"/>
      <c r="C80" s="2832" t="s">
        <v>2666</v>
      </c>
      <c r="D80" s="2832" t="s">
        <v>2667</v>
      </c>
      <c r="E80" s="2858">
        <v>0.1</v>
      </c>
      <c r="F80" s="2858">
        <v>15</v>
      </c>
    </row>
    <row r="81" spans="1:6" ht="24">
      <c r="A81" s="2858">
        <v>9</v>
      </c>
      <c r="B81" s="3474"/>
      <c r="C81" s="2832" t="s">
        <v>2668</v>
      </c>
      <c r="D81" s="2832" t="s">
        <v>2669</v>
      </c>
      <c r="E81" s="2858">
        <v>0.1</v>
      </c>
      <c r="F81" s="2858">
        <v>15</v>
      </c>
    </row>
    <row r="82" spans="1:6" ht="24">
      <c r="A82" s="2858">
        <v>10</v>
      </c>
      <c r="B82" s="3474"/>
      <c r="C82" s="2832" t="s">
        <v>2670</v>
      </c>
      <c r="D82" s="2832" t="s">
        <v>2671</v>
      </c>
      <c r="E82" s="2858">
        <v>0.1</v>
      </c>
      <c r="F82" s="2858">
        <v>15</v>
      </c>
    </row>
    <row r="83" spans="1:6" ht="24">
      <c r="A83" s="2858">
        <v>11</v>
      </c>
      <c r="B83" s="3474"/>
      <c r="C83" s="2832" t="s">
        <v>2672</v>
      </c>
      <c r="D83" s="2832" t="s">
        <v>2673</v>
      </c>
      <c r="E83" s="2858">
        <v>0.1</v>
      </c>
      <c r="F83" s="2858">
        <v>15</v>
      </c>
    </row>
    <row r="84" spans="1:6" ht="24">
      <c r="A84" s="2858">
        <v>12</v>
      </c>
      <c r="B84" s="3474"/>
      <c r="C84" s="2832" t="s">
        <v>2674</v>
      </c>
      <c r="D84" s="2832" t="s">
        <v>2675</v>
      </c>
      <c r="E84" s="2858">
        <v>0.1</v>
      </c>
      <c r="F84" s="2858">
        <v>15</v>
      </c>
    </row>
    <row r="85" spans="1:6" ht="13.5">
      <c r="A85" s="2858">
        <v>13</v>
      </c>
      <c r="B85" s="3474"/>
      <c r="C85" s="2832" t="s">
        <v>2676</v>
      </c>
      <c r="D85" s="2832" t="s">
        <v>2677</v>
      </c>
      <c r="E85" s="2858">
        <v>0.1</v>
      </c>
      <c r="F85" s="2858">
        <v>15</v>
      </c>
    </row>
    <row r="86" spans="1:6" ht="13.5">
      <c r="A86" s="2858">
        <v>14</v>
      </c>
      <c r="B86" s="3474"/>
      <c r="C86" s="2832" t="s">
        <v>2678</v>
      </c>
      <c r="D86" s="2832" t="s">
        <v>2679</v>
      </c>
      <c r="E86" s="2858">
        <v>0.1</v>
      </c>
      <c r="F86" s="2858">
        <v>15</v>
      </c>
    </row>
    <row r="87" spans="1:6" ht="13.5">
      <c r="A87" s="2858">
        <v>15</v>
      </c>
      <c r="B87" s="3474"/>
      <c r="C87" s="2832" t="s">
        <v>2680</v>
      </c>
      <c r="D87" s="2832" t="s">
        <v>2681</v>
      </c>
      <c r="E87" s="2858">
        <v>0.1</v>
      </c>
      <c r="F87" s="2858">
        <v>15</v>
      </c>
    </row>
    <row r="88" spans="1:6" ht="24">
      <c r="A88" s="2858">
        <v>16</v>
      </c>
      <c r="B88" s="3474"/>
      <c r="C88" s="2832" t="s">
        <v>2682</v>
      </c>
      <c r="D88" s="2832" t="s">
        <v>2683</v>
      </c>
      <c r="E88" s="2858">
        <v>0.1</v>
      </c>
      <c r="F88" s="2858">
        <v>15</v>
      </c>
    </row>
    <row r="89" spans="1:6" ht="24">
      <c r="A89" s="2858">
        <v>17</v>
      </c>
      <c r="B89" s="3473"/>
      <c r="C89" s="2832" t="s">
        <v>2684</v>
      </c>
      <c r="D89" s="2832" t="s">
        <v>2685</v>
      </c>
      <c r="E89" s="2858">
        <v>0.1</v>
      </c>
      <c r="F89" s="2858">
        <v>15</v>
      </c>
    </row>
    <row r="90" spans="1:6" ht="13.5">
      <c r="A90" s="2858">
        <v>18</v>
      </c>
      <c r="B90" s="3472" t="s">
        <v>2686</v>
      </c>
      <c r="C90" s="2832" t="s">
        <v>2687</v>
      </c>
      <c r="D90" s="2832" t="s">
        <v>2688</v>
      </c>
      <c r="E90" s="2858">
        <v>0.2</v>
      </c>
      <c r="F90" s="2858">
        <v>25</v>
      </c>
    </row>
    <row r="91" spans="1:6" ht="24">
      <c r="A91" s="2858">
        <v>19</v>
      </c>
      <c r="B91" s="3474"/>
      <c r="C91" s="2832" t="s">
        <v>2689</v>
      </c>
      <c r="D91" s="2832" t="s">
        <v>2690</v>
      </c>
      <c r="E91" s="2858">
        <v>0.2</v>
      </c>
      <c r="F91" s="2858">
        <v>25</v>
      </c>
    </row>
    <row r="92" spans="1:6" ht="13.5">
      <c r="A92" s="2858">
        <v>20</v>
      </c>
      <c r="B92" s="3474"/>
      <c r="C92" s="2832" t="s">
        <v>2691</v>
      </c>
      <c r="D92" s="2832" t="s">
        <v>2692</v>
      </c>
      <c r="E92" s="2858">
        <v>0.15</v>
      </c>
      <c r="F92" s="2858">
        <v>20</v>
      </c>
    </row>
    <row r="93" spans="1:6" ht="13.5">
      <c r="A93" s="2858">
        <v>21</v>
      </c>
      <c r="B93" s="3474"/>
      <c r="C93" s="2832" t="s">
        <v>2693</v>
      </c>
      <c r="D93" s="2832" t="s">
        <v>2694</v>
      </c>
      <c r="E93" s="2858">
        <v>0.15</v>
      </c>
      <c r="F93" s="2858">
        <v>20</v>
      </c>
    </row>
    <row r="94" spans="1:6" ht="13.5">
      <c r="A94" s="2858">
        <v>22</v>
      </c>
      <c r="B94" s="3474"/>
      <c r="C94" s="2832" t="s">
        <v>2695</v>
      </c>
      <c r="D94" s="2832" t="s">
        <v>2696</v>
      </c>
      <c r="E94" s="2858">
        <v>0.15</v>
      </c>
      <c r="F94" s="2858">
        <v>20</v>
      </c>
    </row>
    <row r="95" spans="1:6" ht="36">
      <c r="A95" s="2858">
        <v>23</v>
      </c>
      <c r="B95" s="3474"/>
      <c r="C95" s="2832" t="s">
        <v>2697</v>
      </c>
      <c r="D95" s="2832" t="s">
        <v>2698</v>
      </c>
      <c r="E95" s="2858">
        <v>0.15</v>
      </c>
      <c r="F95" s="2858">
        <v>20</v>
      </c>
    </row>
    <row r="96" spans="1:6" ht="13.5">
      <c r="A96" s="2858">
        <v>24</v>
      </c>
      <c r="B96" s="3474"/>
      <c r="C96" s="2832" t="s">
        <v>2699</v>
      </c>
      <c r="D96" s="2832" t="s">
        <v>2700</v>
      </c>
      <c r="E96" s="2858">
        <v>0.1</v>
      </c>
      <c r="F96" s="2858">
        <v>15</v>
      </c>
    </row>
    <row r="97" spans="1:6" ht="13.5">
      <c r="A97" s="2858">
        <v>25</v>
      </c>
      <c r="B97" s="3474"/>
      <c r="C97" s="2832" t="s">
        <v>2701</v>
      </c>
      <c r="D97" s="2832" t="s">
        <v>2702</v>
      </c>
      <c r="E97" s="2858">
        <v>0.1</v>
      </c>
      <c r="F97" s="2858">
        <v>15</v>
      </c>
    </row>
    <row r="98" spans="1:6" ht="24">
      <c r="A98" s="2858">
        <v>26</v>
      </c>
      <c r="B98" s="3474"/>
      <c r="C98" s="2832" t="s">
        <v>2703</v>
      </c>
      <c r="D98" s="2832" t="s">
        <v>2704</v>
      </c>
      <c r="E98" s="2858">
        <v>0.1</v>
      </c>
      <c r="F98" s="2858">
        <v>15</v>
      </c>
    </row>
    <row r="99" spans="1:6" ht="24">
      <c r="A99" s="2858">
        <v>27</v>
      </c>
      <c r="B99" s="3474"/>
      <c r="C99" s="2832" t="s">
        <v>2705</v>
      </c>
      <c r="D99" s="2832" t="s">
        <v>2706</v>
      </c>
      <c r="E99" s="2858">
        <v>0.1</v>
      </c>
      <c r="F99" s="2858">
        <v>15</v>
      </c>
    </row>
    <row r="100" spans="1:6" ht="13.5">
      <c r="A100" s="2858">
        <v>28</v>
      </c>
      <c r="B100" s="3474"/>
      <c r="C100" s="2832" t="s">
        <v>2707</v>
      </c>
      <c r="D100" s="2832" t="s">
        <v>2708</v>
      </c>
      <c r="E100" s="2858">
        <v>0.1</v>
      </c>
      <c r="F100" s="2858">
        <v>15</v>
      </c>
    </row>
    <row r="101" spans="1:6" ht="13.5">
      <c r="A101" s="2858">
        <v>29</v>
      </c>
      <c r="B101" s="3474"/>
      <c r="C101" s="2832" t="s">
        <v>2709</v>
      </c>
      <c r="D101" s="2832" t="s">
        <v>2710</v>
      </c>
      <c r="E101" s="2858">
        <v>0.1</v>
      </c>
      <c r="F101" s="2858">
        <v>15</v>
      </c>
    </row>
    <row r="102" spans="1:6" ht="13.5">
      <c r="A102" s="2858">
        <v>30</v>
      </c>
      <c r="B102" s="3474"/>
      <c r="C102" s="2832" t="s">
        <v>2711</v>
      </c>
      <c r="D102" s="2832" t="s">
        <v>2712</v>
      </c>
      <c r="E102" s="2858">
        <v>0.1</v>
      </c>
      <c r="F102" s="2858">
        <v>15</v>
      </c>
    </row>
    <row r="103" spans="1:6" ht="24">
      <c r="A103" s="2858">
        <v>31</v>
      </c>
      <c r="B103" s="3474"/>
      <c r="C103" s="2832" t="s">
        <v>2713</v>
      </c>
      <c r="D103" s="2832" t="s">
        <v>2714</v>
      </c>
      <c r="E103" s="2858">
        <v>0.1</v>
      </c>
      <c r="F103" s="2858">
        <v>15</v>
      </c>
    </row>
    <row r="104" spans="1:6" ht="24">
      <c r="A104" s="2858">
        <v>32</v>
      </c>
      <c r="B104" s="3474"/>
      <c r="C104" s="2832" t="s">
        <v>2715</v>
      </c>
      <c r="D104" s="2832" t="s">
        <v>2716</v>
      </c>
      <c r="E104" s="2858">
        <v>0.1</v>
      </c>
      <c r="F104" s="2858">
        <v>15</v>
      </c>
    </row>
    <row r="105" spans="1:6" ht="24">
      <c r="A105" s="2858">
        <v>33</v>
      </c>
      <c r="B105" s="3474"/>
      <c r="C105" s="2832" t="s">
        <v>2717</v>
      </c>
      <c r="D105" s="2832" t="s">
        <v>2718</v>
      </c>
      <c r="E105" s="2858">
        <v>0.1</v>
      </c>
      <c r="F105" s="2858">
        <v>15</v>
      </c>
    </row>
    <row r="106" spans="1:6" ht="24">
      <c r="A106" s="2858">
        <v>34</v>
      </c>
      <c r="B106" s="3473"/>
      <c r="C106" s="2832" t="s">
        <v>2719</v>
      </c>
      <c r="D106" s="2832" t="s">
        <v>2720</v>
      </c>
      <c r="E106" s="2858">
        <v>0.1</v>
      </c>
      <c r="F106" s="2858">
        <v>15</v>
      </c>
    </row>
    <row r="107" spans="1:6" ht="24">
      <c r="A107" s="2858">
        <v>35</v>
      </c>
      <c r="B107" s="3472" t="s">
        <v>2721</v>
      </c>
      <c r="C107" s="2858" t="s">
        <v>2722</v>
      </c>
      <c r="D107" s="2832" t="s">
        <v>2723</v>
      </c>
      <c r="E107" s="2858">
        <v>0.15</v>
      </c>
      <c r="F107" s="2858">
        <v>20</v>
      </c>
    </row>
    <row r="108" spans="1:6" ht="13.5">
      <c r="A108" s="2858">
        <v>36</v>
      </c>
      <c r="B108" s="3474"/>
      <c r="C108" s="2858" t="s">
        <v>2724</v>
      </c>
      <c r="D108" s="2832" t="s">
        <v>2725</v>
      </c>
      <c r="E108" s="2858">
        <v>0.15</v>
      </c>
      <c r="F108" s="2858">
        <v>20</v>
      </c>
    </row>
    <row r="109" spans="1:6" ht="13.5">
      <c r="A109" s="2858">
        <v>37</v>
      </c>
      <c r="B109" s="3474"/>
      <c r="C109" s="2858" t="s">
        <v>2726</v>
      </c>
      <c r="D109" s="2832" t="s">
        <v>2727</v>
      </c>
      <c r="E109" s="2858">
        <v>0.15</v>
      </c>
      <c r="F109" s="2858">
        <v>20</v>
      </c>
    </row>
    <row r="110" spans="1:6" ht="13.5">
      <c r="A110" s="2858">
        <v>38</v>
      </c>
      <c r="B110" s="3474"/>
      <c r="C110" s="2858" t="s">
        <v>2728</v>
      </c>
      <c r="D110" s="2832" t="s">
        <v>2729</v>
      </c>
      <c r="E110" s="2858">
        <v>0.1</v>
      </c>
      <c r="F110" s="2858">
        <v>15</v>
      </c>
    </row>
    <row r="111" spans="1:6" ht="24">
      <c r="A111" s="2858">
        <v>39</v>
      </c>
      <c r="B111" s="3474"/>
      <c r="C111" s="2858" t="s">
        <v>2730</v>
      </c>
      <c r="D111" s="2832" t="s">
        <v>2731</v>
      </c>
      <c r="E111" s="2858">
        <v>0.1</v>
      </c>
      <c r="F111" s="2858">
        <v>15</v>
      </c>
    </row>
    <row r="112" spans="1:6" ht="24">
      <c r="A112" s="2858">
        <v>40</v>
      </c>
      <c r="B112" s="3473"/>
      <c r="C112" s="2858" t="s">
        <v>2732</v>
      </c>
      <c r="D112" s="2832" t="s">
        <v>2733</v>
      </c>
      <c r="E112" s="2858">
        <v>0.1</v>
      </c>
      <c r="F112" s="2858">
        <v>15</v>
      </c>
    </row>
    <row r="113" spans="1:6" ht="13.5">
      <c r="A113" s="2858">
        <v>41</v>
      </c>
      <c r="B113" s="3471" t="s">
        <v>2734</v>
      </c>
      <c r="C113" s="2858" t="s">
        <v>2735</v>
      </c>
      <c r="D113" s="2832" t="s">
        <v>2736</v>
      </c>
      <c r="E113" s="2858">
        <v>0.1</v>
      </c>
      <c r="F113" s="2858">
        <v>15</v>
      </c>
    </row>
    <row r="114" spans="1:6" ht="13.5">
      <c r="A114" s="2858">
        <v>42</v>
      </c>
      <c r="B114" s="3471"/>
      <c r="C114" s="2858" t="s">
        <v>2737</v>
      </c>
      <c r="D114" s="2832" t="s">
        <v>2738</v>
      </c>
      <c r="E114" s="2858">
        <v>0.1</v>
      </c>
      <c r="F114" s="2858">
        <v>15</v>
      </c>
    </row>
    <row r="115" spans="1:6" ht="24">
      <c r="A115" s="2858">
        <v>43</v>
      </c>
      <c r="B115" s="3471"/>
      <c r="C115" s="2858" t="s">
        <v>2739</v>
      </c>
      <c r="D115" s="2832" t="s">
        <v>2740</v>
      </c>
      <c r="E115" s="2858">
        <v>0.1</v>
      </c>
      <c r="F115" s="2858">
        <v>15</v>
      </c>
    </row>
    <row r="116" spans="1:6" ht="13.5">
      <c r="A116" s="2858">
        <v>44</v>
      </c>
      <c r="B116" s="3472" t="s">
        <v>2741</v>
      </c>
      <c r="C116" s="2858" t="s">
        <v>2742</v>
      </c>
      <c r="D116" s="2832" t="s">
        <v>2743</v>
      </c>
      <c r="E116" s="2858">
        <v>0.1</v>
      </c>
      <c r="F116" s="2858">
        <v>15</v>
      </c>
    </row>
    <row r="117" spans="1:6" ht="24">
      <c r="A117" s="2858">
        <v>45</v>
      </c>
      <c r="B117" s="3473"/>
      <c r="C117" s="2832" t="s">
        <v>2744</v>
      </c>
      <c r="D117" s="2832" t="s">
        <v>2745</v>
      </c>
      <c r="E117" s="2858">
        <v>0.1</v>
      </c>
      <c r="F117" s="2858">
        <v>15</v>
      </c>
    </row>
    <row r="118" spans="1:6" ht="24">
      <c r="A118" s="2858">
        <v>46</v>
      </c>
      <c r="B118" s="3472" t="s">
        <v>2746</v>
      </c>
      <c r="C118" s="2858" t="s">
        <v>2747</v>
      </c>
      <c r="D118" s="2832" t="s">
        <v>2748</v>
      </c>
      <c r="E118" s="2858">
        <v>0.1</v>
      </c>
      <c r="F118" s="2858">
        <v>15</v>
      </c>
    </row>
    <row r="119" spans="1:6" ht="24">
      <c r="A119" s="2858">
        <v>47</v>
      </c>
      <c r="B119" s="3473"/>
      <c r="C119" s="2858" t="s">
        <v>2749</v>
      </c>
      <c r="D119" s="2832" t="s">
        <v>2750</v>
      </c>
      <c r="E119" s="2858">
        <v>0.1</v>
      </c>
      <c r="F119" s="2858">
        <v>15</v>
      </c>
    </row>
    <row r="120" spans="1:6" ht="13.5">
      <c r="A120" s="2858">
        <v>48</v>
      </c>
      <c r="B120" s="3472" t="s">
        <v>2751</v>
      </c>
      <c r="C120" s="2858" t="s">
        <v>2752</v>
      </c>
      <c r="D120" s="2832" t="s">
        <v>2753</v>
      </c>
      <c r="E120" s="2858">
        <v>0.1</v>
      </c>
      <c r="F120" s="2858">
        <v>15</v>
      </c>
    </row>
    <row r="121" spans="1:6" ht="13.5">
      <c r="A121" s="2858">
        <v>49</v>
      </c>
      <c r="B121" s="3473"/>
      <c r="C121" s="2858" t="s">
        <v>2754</v>
      </c>
      <c r="D121" s="2832" t="s">
        <v>2755</v>
      </c>
      <c r="E121" s="2858">
        <v>0.1</v>
      </c>
      <c r="F121" s="2858">
        <v>15</v>
      </c>
    </row>
    <row r="122" spans="1:6" ht="24">
      <c r="A122" s="2858">
        <v>50</v>
      </c>
      <c r="B122" s="3471" t="s">
        <v>2756</v>
      </c>
      <c r="C122" s="2858" t="s">
        <v>2757</v>
      </c>
      <c r="D122" s="2832" t="s">
        <v>2758</v>
      </c>
      <c r="E122" s="2858">
        <v>0.1</v>
      </c>
      <c r="F122" s="2858">
        <v>15</v>
      </c>
    </row>
    <row r="123" spans="1:6" ht="24">
      <c r="A123" s="2858">
        <v>51</v>
      </c>
      <c r="B123" s="3471"/>
      <c r="C123" s="2858" t="s">
        <v>2759</v>
      </c>
      <c r="D123" s="2832" t="s">
        <v>2760</v>
      </c>
      <c r="E123" s="2858">
        <v>0.1</v>
      </c>
      <c r="F123" s="2858">
        <v>15</v>
      </c>
    </row>
    <row r="124" spans="1:6" ht="24">
      <c r="A124" s="2858">
        <v>52</v>
      </c>
      <c r="B124" s="3471" t="s">
        <v>2761</v>
      </c>
      <c r="C124" s="2858" t="s">
        <v>2762</v>
      </c>
      <c r="D124" s="2832" t="s">
        <v>2763</v>
      </c>
      <c r="E124" s="2858">
        <v>0.1</v>
      </c>
      <c r="F124" s="2858">
        <v>15</v>
      </c>
    </row>
    <row r="125" spans="1:6" ht="24">
      <c r="A125" s="2858">
        <v>53</v>
      </c>
      <c r="B125" s="3471"/>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71" t="s">
        <v>2769</v>
      </c>
      <c r="C127" s="2858" t="s">
        <v>2770</v>
      </c>
      <c r="D127" s="2832" t="s">
        <v>2771</v>
      </c>
      <c r="E127" s="2858">
        <v>0.1</v>
      </c>
      <c r="F127" s="2858">
        <v>15</v>
      </c>
    </row>
    <row r="128" spans="1:6" ht="13.5">
      <c r="A128" s="2858">
        <v>56</v>
      </c>
      <c r="B128" s="3471"/>
      <c r="C128" s="2858" t="s">
        <v>2772</v>
      </c>
      <c r="D128" s="2832" t="s">
        <v>2773</v>
      </c>
      <c r="E128" s="2858">
        <v>0.1</v>
      </c>
      <c r="F128" s="2858">
        <v>15</v>
      </c>
    </row>
    <row r="129" spans="1:6" ht="24">
      <c r="A129" s="2858">
        <v>57</v>
      </c>
      <c r="B129" s="3471"/>
      <c r="C129" s="2858" t="s">
        <v>2774</v>
      </c>
      <c r="D129" s="2832" t="s">
        <v>2775</v>
      </c>
      <c r="E129" s="2858">
        <v>0.1</v>
      </c>
      <c r="F129" s="2858">
        <v>15</v>
      </c>
    </row>
    <row r="130" spans="1:6" ht="24">
      <c r="A130" s="2858">
        <v>58</v>
      </c>
      <c r="B130" s="3471" t="s">
        <v>2776</v>
      </c>
      <c r="C130" s="2858" t="s">
        <v>2777</v>
      </c>
      <c r="D130" s="2832" t="s">
        <v>2778</v>
      </c>
      <c r="E130" s="2858">
        <v>0.1</v>
      </c>
      <c r="F130" s="2858">
        <v>15</v>
      </c>
    </row>
    <row r="131" spans="1:6" ht="13.5">
      <c r="A131" s="2858">
        <v>59</v>
      </c>
      <c r="B131" s="3471"/>
      <c r="C131" s="2858" t="s">
        <v>2779</v>
      </c>
      <c r="D131" s="2832" t="s">
        <v>2780</v>
      </c>
      <c r="E131" s="2858">
        <v>0.1</v>
      </c>
      <c r="F131" s="2858">
        <v>15</v>
      </c>
    </row>
    <row r="132" spans="1:6" ht="13.5">
      <c r="A132" s="2858">
        <v>60</v>
      </c>
      <c r="B132" s="3472" t="s">
        <v>2781</v>
      </c>
      <c r="C132" s="2858" t="s">
        <v>2782</v>
      </c>
      <c r="D132" s="2832" t="s">
        <v>2783</v>
      </c>
      <c r="E132" s="2858">
        <v>0.1</v>
      </c>
      <c r="F132" s="2858">
        <v>15</v>
      </c>
    </row>
    <row r="133" spans="1:6" ht="13.5">
      <c r="A133" s="2858">
        <v>61</v>
      </c>
      <c r="B133" s="3473"/>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71" t="s">
        <v>2789</v>
      </c>
      <c r="C135" s="2858" t="s">
        <v>2790</v>
      </c>
      <c r="D135" s="2832" t="s">
        <v>2791</v>
      </c>
      <c r="E135" s="2858">
        <v>0.1</v>
      </c>
      <c r="F135" s="2858">
        <v>15</v>
      </c>
    </row>
    <row r="136" spans="1:6" ht="13.5">
      <c r="A136" s="2858">
        <v>64</v>
      </c>
      <c r="B136" s="3471"/>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1.2302</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1.1198999999999999</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25990</v>
      </c>
      <c r="C2" s="2" t="s">
        <v>106</v>
      </c>
      <c r="D2" s="191"/>
      <c r="E2" s="191"/>
      <c r="F2" s="191"/>
      <c r="G2" s="191"/>
    </row>
    <row r="3" spans="1:7" s="192" customFormat="1" ht="18" customHeight="1" thickBot="1">
      <c r="A3" s="195" t="s">
        <v>58</v>
      </c>
      <c r="B3" s="196">
        <f ca="1">ROUND(B2*10000/'数据-汇总表'!E3,0)</f>
        <v>292746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80</v>
      </c>
      <c r="F9" s="213"/>
      <c r="G9" s="218"/>
    </row>
    <row r="10" spans="1:7" s="206" customFormat="1" ht="13.5" customHeight="1">
      <c r="A10" s="733" t="s">
        <v>356</v>
      </c>
      <c r="B10" s="216" t="s">
        <v>67</v>
      </c>
      <c r="C10" s="217">
        <f>ROUND(D10*E10/10000,0)</f>
        <v>11</v>
      </c>
      <c r="D10" s="795">
        <f>'数据-汇总表'!E6</f>
        <v>887.8</v>
      </c>
      <c r="E10" s="217">
        <f>'数据-取费表'!B28</f>
        <v>120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v>
      </c>
      <c r="D19" s="204">
        <f>'数据-汇总表'!E3</f>
        <v>887.8</v>
      </c>
      <c r="E19" s="203">
        <f>'数据-取费表'!B31</f>
        <v>120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25700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295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266</v>
      </c>
      <c r="D34" s="209"/>
      <c r="E34" s="212"/>
      <c r="F34" s="249">
        <f>IF('数据-取费表'!B24=0,1,'数据-取费表'!N16)</f>
        <v>1</v>
      </c>
      <c r="G34" s="211" t="s">
        <v>89</v>
      </c>
    </row>
    <row r="35" spans="1:7" ht="13.5" customHeight="1">
      <c r="A35" s="734" t="s">
        <v>351</v>
      </c>
      <c r="B35" s="207" t="s">
        <v>33</v>
      </c>
      <c r="C35" s="212">
        <f>ROUND(C34*F35,0)</f>
        <v>13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v>
      </c>
      <c r="D37" s="209">
        <f>'数据-汇总表'!E3</f>
        <v>887.8</v>
      </c>
      <c r="E37" s="241">
        <f>'数据-取费表'!B35</f>
        <v>120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5</v>
      </c>
      <c r="D42" s="230"/>
      <c r="E42" s="230"/>
      <c r="F42" s="231"/>
      <c r="G42" s="3345" t="s">
        <v>94</v>
      </c>
    </row>
    <row r="43" spans="1:7" ht="13.5" customHeight="1">
      <c r="A43" s="734" t="s">
        <v>347</v>
      </c>
      <c r="B43" s="207" t="s">
        <v>426</v>
      </c>
      <c r="C43" s="230">
        <f ca="1">ROUND(IF('数据-取费表'!B22&lt;=1,C39*F22*'数据-取费表'!B21/2,C39*(POWER((1+F22),'数据-取费表'!B21/2)-1)),0)</f>
        <v>0</v>
      </c>
      <c r="D43" s="230"/>
      <c r="E43" s="230"/>
      <c r="F43" s="231"/>
      <c r="G43" s="3346"/>
    </row>
    <row r="44" spans="1:7" ht="13.5" customHeight="1">
      <c r="A44" s="734" t="s">
        <v>348</v>
      </c>
      <c r="B44" s="207" t="s">
        <v>428</v>
      </c>
      <c r="C44" s="230">
        <f ca="1">ROUND(IF('数据-取费表'!B22&lt;=1,C40*F22*'数据-取费表'!B21/2,C40*(POWER((1+F22),'数据-取费表'!B21/2)-1)),4)</f>
        <v>2.9999999999999997E-4</v>
      </c>
      <c r="D44" s="230"/>
      <c r="E44" s="230"/>
      <c r="F44" s="231"/>
      <c r="G44" s="3347"/>
    </row>
    <row r="45" spans="1:7" s="206" customFormat="1" ht="13.5" customHeight="1">
      <c r="A45" s="731" t="s">
        <v>341</v>
      </c>
      <c r="B45" s="236" t="s">
        <v>85</v>
      </c>
      <c r="C45" s="237">
        <f>C46</f>
        <v>30</v>
      </c>
      <c r="D45" s="227">
        <f>C47</f>
        <v>2E-3</v>
      </c>
      <c r="E45" s="228" t="s">
        <v>102</v>
      </c>
      <c r="F45" s="238"/>
      <c r="G45" s="239" t="s">
        <v>434</v>
      </c>
    </row>
    <row r="46" spans="1:7" s="206" customFormat="1" ht="13.5" customHeight="1">
      <c r="A46" s="734" t="s">
        <v>349</v>
      </c>
      <c r="B46" s="240" t="s">
        <v>427</v>
      </c>
      <c r="C46" s="241">
        <f>ROUND((C33+C39)*F27,0)</f>
        <v>30</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363</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290</v>
      </c>
      <c r="D51" s="224"/>
      <c r="E51" s="224"/>
      <c r="F51" s="256"/>
      <c r="G51" s="226" t="s">
        <v>37</v>
      </c>
    </row>
    <row r="52" spans="1:7" s="200" customFormat="1" ht="16.5" thickBot="1">
      <c r="A52" s="257" t="s">
        <v>38</v>
      </c>
      <c r="B52" s="258"/>
      <c r="C52" s="259">
        <f ca="1">C31+C51</f>
        <v>25990</v>
      </c>
      <c r="D52" s="258"/>
      <c r="E52" s="258"/>
      <c r="F52" s="258"/>
      <c r="G52" s="260"/>
    </row>
    <row r="55" spans="1:7" ht="15">
      <c r="B55" s="262" t="s">
        <v>39</v>
      </c>
      <c r="C55" s="263"/>
    </row>
    <row r="56" spans="1:7">
      <c r="B56" s="265" t="s">
        <v>40</v>
      </c>
      <c r="C56" s="266">
        <f ca="1">ROUND(C51/C52,3)</f>
        <v>1.0999999999999999E-2</v>
      </c>
    </row>
    <row r="57" spans="1:7">
      <c r="B57" s="265" t="s">
        <v>41</v>
      </c>
      <c r="C57" s="267">
        <f ca="1">1-C56</f>
        <v>0.98899999999999999</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5" t="s">
        <v>2839</v>
      </c>
      <c r="B1" s="3485"/>
      <c r="C1" s="3485"/>
      <c r="D1" s="3485"/>
      <c r="E1" s="3485"/>
      <c r="F1" s="3485"/>
      <c r="G1" s="3486"/>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83"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84"/>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7" t="s">
        <v>3181</v>
      </c>
      <c r="B1" s="3487"/>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488" t="s">
        <v>3232</v>
      </c>
      <c r="B1" s="3488"/>
      <c r="C1" s="3488"/>
      <c r="D1" s="3488"/>
      <c r="E1" s="3488"/>
      <c r="F1" s="3489"/>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45743</v>
      </c>
      <c r="B1" s="2930" t="s">
        <v>3377</v>
      </c>
      <c r="C1" s="2931"/>
      <c r="D1" s="2931"/>
      <c r="E1" s="2931"/>
      <c r="F1" s="2931"/>
      <c r="G1" s="2931"/>
      <c r="H1" s="2931"/>
      <c r="I1" s="2931"/>
      <c r="J1" s="2897"/>
      <c r="K1" s="2931" t="s">
        <v>454</v>
      </c>
      <c r="L1" s="2931"/>
      <c r="M1" s="2931"/>
      <c r="N1" s="2931"/>
      <c r="O1" s="2931"/>
      <c r="P1" s="2931"/>
      <c r="Q1" s="2897"/>
      <c r="R1" s="3490" t="s">
        <v>456</v>
      </c>
      <c r="S1" s="3491"/>
      <c r="T1" s="3491"/>
      <c r="U1" s="3491"/>
      <c r="V1" s="3491"/>
      <c r="W1" s="3491"/>
      <c r="X1" s="2897"/>
      <c r="Y1" s="3490" t="s">
        <v>457</v>
      </c>
      <c r="Z1" s="3491"/>
      <c r="AA1" s="3491"/>
      <c r="AB1" s="3491"/>
      <c r="AC1" s="3491"/>
      <c r="AD1" s="3491"/>
    </row>
    <row r="2" spans="1:30"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row>
    <row r="3" spans="1:30" s="2887" customFormat="1" ht="12.75">
      <c r="A3" s="2885" t="s">
        <v>2819</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3373</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3382</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3381</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3374</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3372</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3368</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3367</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3365</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3364</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3363</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3361</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3353</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2820</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2821</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2822</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2823</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2824</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3380</v>
      </c>
    </row>
    <row r="24" spans="1:30">
      <c r="I24" s="1405" t="s">
        <v>2825</v>
      </c>
    </row>
    <row r="26" spans="1:30" s="2009" customFormat="1" ht="12.75">
      <c r="B26" s="2930" t="s">
        <v>3378</v>
      </c>
      <c r="C26" s="2931"/>
      <c r="D26" s="2931"/>
      <c r="E26" s="2931"/>
      <c r="F26" s="2931"/>
      <c r="G26" s="2931"/>
      <c r="H26" s="2931"/>
      <c r="I26" s="2931"/>
      <c r="J26" s="2897"/>
      <c r="K26" s="2931" t="s">
        <v>2826</v>
      </c>
      <c r="L26" s="2931"/>
      <c r="M26" s="2931"/>
      <c r="N26" s="2931"/>
      <c r="O26" s="2931"/>
      <c r="P26" s="2931"/>
      <c r="Q26" s="2897"/>
      <c r="R26" s="3490" t="s">
        <v>2827</v>
      </c>
      <c r="S26" s="3491"/>
      <c r="T26" s="3491"/>
      <c r="U26" s="3491"/>
      <c r="V26" s="3491"/>
      <c r="W26" s="3491"/>
      <c r="X26" s="2897"/>
      <c r="Y26" s="3490" t="s">
        <v>2828</v>
      </c>
      <c r="Z26" s="3491"/>
      <c r="AA26" s="3491"/>
      <c r="AB26" s="3491"/>
      <c r="AC26" s="3491"/>
      <c r="AD26" s="3491"/>
    </row>
    <row r="27" spans="1:30" s="2010" customFormat="1" ht="14.25" thickBot="1">
      <c r="B27" s="2882"/>
      <c r="C27" s="2883"/>
      <c r="D27" s="2011" t="s">
        <v>2829</v>
      </c>
      <c r="E27" s="2012" t="s">
        <v>2830</v>
      </c>
      <c r="F27" s="2012" t="s">
        <v>2831</v>
      </c>
      <c r="G27" s="2012" t="s">
        <v>2832</v>
      </c>
      <c r="H27" s="2012"/>
      <c r="I27" s="2012" t="s">
        <v>2833</v>
      </c>
      <c r="J27" s="2884"/>
      <c r="K27" s="2011" t="s">
        <v>2829</v>
      </c>
      <c r="L27" s="2012" t="s">
        <v>2830</v>
      </c>
      <c r="M27" s="2012" t="s">
        <v>2831</v>
      </c>
      <c r="N27" s="2012" t="s">
        <v>2832</v>
      </c>
      <c r="O27" s="2012"/>
      <c r="P27" s="2012" t="s">
        <v>2833</v>
      </c>
      <c r="Q27" s="2884"/>
      <c r="R27" s="2011" t="s">
        <v>2829</v>
      </c>
      <c r="S27" s="2012" t="s">
        <v>2830</v>
      </c>
      <c r="T27" s="2012" t="s">
        <v>2831</v>
      </c>
      <c r="U27" s="2012" t="s">
        <v>2832</v>
      </c>
      <c r="V27" s="2012"/>
      <c r="W27" s="2012" t="s">
        <v>2833</v>
      </c>
      <c r="X27" s="2884"/>
      <c r="Y27" s="2011" t="s">
        <v>2829</v>
      </c>
      <c r="Z27" s="2012" t="s">
        <v>2830</v>
      </c>
      <c r="AA27" s="2012" t="s">
        <v>2831</v>
      </c>
      <c r="AB27" s="2012" t="s">
        <v>2832</v>
      </c>
      <c r="AC27" s="2012"/>
      <c r="AD27" s="2012" t="s">
        <v>2833</v>
      </c>
    </row>
    <row r="28" spans="1:30" s="2887" customFormat="1" ht="12.75">
      <c r="A28" s="2885" t="s">
        <v>2834</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3373</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3375</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3370</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3376</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3371</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3369</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3367</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3366</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3364</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3363</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3362</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3353</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2835</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2836</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2837</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2838</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2824</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
      <c r="A3" s="3177"/>
      <c r="B3" s="3177"/>
      <c r="C3" s="3177"/>
      <c r="D3" s="801" t="s">
        <v>925</v>
      </c>
      <c r="E3" s="801" t="s">
        <v>931</v>
      </c>
      <c r="F3" s="801" t="s">
        <v>925</v>
      </c>
      <c r="G3" s="801" t="s">
        <v>926</v>
      </c>
      <c r="H3" s="801" t="s">
        <v>925</v>
      </c>
      <c r="I3" s="801" t="s">
        <v>926</v>
      </c>
    </row>
    <row r="4" spans="1:9" ht="15">
      <c r="A4" s="1403" t="str">
        <f>项目基本情况!S2</f>
        <v>北京市房地产</v>
      </c>
      <c r="B4" s="801">
        <f>项目基本情况!C17</f>
        <v>887.8</v>
      </c>
      <c r="C4" s="801">
        <f>项目基本情况!C18</f>
        <v>6136</v>
      </c>
      <c r="D4" s="801">
        <f ca="1">结果表!D118</f>
        <v>1914</v>
      </c>
      <c r="E4" s="801">
        <f ca="1">结果表!E118</f>
        <v>21559</v>
      </c>
      <c r="F4" s="801">
        <f ca="1">结果表!F118</f>
        <v>306</v>
      </c>
      <c r="G4" s="801">
        <f ca="1">结果表!G118</f>
        <v>3447</v>
      </c>
      <c r="H4" s="801">
        <f ca="1">结果表!H118</f>
        <v>2220</v>
      </c>
      <c r="I4" s="801">
        <f ca="1">结果表!I118</f>
        <v>25006</v>
      </c>
    </row>
    <row r="5" spans="1:9" ht="30" customHeight="1">
      <c r="A5" s="3177" t="s">
        <v>927</v>
      </c>
      <c r="B5" s="3177"/>
      <c r="C5" s="3177"/>
      <c r="D5" s="3177" t="str">
        <f ca="1">结果表!D119</f>
        <v>壹仟玖佰壹拾肆万元整</v>
      </c>
      <c r="E5" s="3177"/>
      <c r="F5" s="3177" t="str">
        <f ca="1">结果表!F119</f>
        <v>叁佰零陆万元整</v>
      </c>
      <c r="G5" s="3177"/>
      <c r="H5" s="3177" t="str">
        <f ca="1">结果表!H119</f>
        <v>贰仟贰佰贰拾万元整</v>
      </c>
      <c r="I5" s="3177"/>
    </row>
    <row r="6" spans="1:9" ht="15.75">
      <c r="A6" s="3176" t="str">
        <f>结果表!A120</f>
        <v>估价师知悉的法定优先受偿款</v>
      </c>
      <c r="B6" s="3176"/>
      <c r="C6" s="3176"/>
      <c r="D6" s="3176">
        <f>结果表!D120</f>
        <v>0</v>
      </c>
      <c r="E6" s="3176"/>
      <c r="F6" s="3176"/>
      <c r="G6" s="3176"/>
      <c r="H6" s="3176"/>
      <c r="I6" s="3176"/>
    </row>
    <row r="7" spans="1:9" ht="15">
      <c r="A7" s="3177" t="s">
        <v>927</v>
      </c>
      <c r="B7" s="3177"/>
      <c r="C7" s="3177"/>
      <c r="D7" s="3178" t="str">
        <f>结果表!D121</f>
        <v>零元整</v>
      </c>
      <c r="E7" s="3179"/>
      <c r="F7" s="3179"/>
      <c r="G7" s="3179"/>
      <c r="H7" s="3179"/>
      <c r="I7" s="3180"/>
    </row>
    <row r="8" spans="1:9" ht="15.75">
      <c r="A8" s="3176" t="str">
        <f>结果表!A122</f>
        <v>房地产抵押价值</v>
      </c>
      <c r="B8" s="3176"/>
      <c r="C8" s="3176"/>
      <c r="D8" s="3176">
        <f ca="1">结果表!D122</f>
        <v>2220</v>
      </c>
      <c r="E8" s="3176"/>
      <c r="F8" s="3176"/>
      <c r="G8" s="3176"/>
      <c r="H8" s="3176"/>
      <c r="I8" s="3176"/>
    </row>
    <row r="9" spans="1:9" ht="15">
      <c r="A9" s="3177" t="s">
        <v>927</v>
      </c>
      <c r="B9" s="3177"/>
      <c r="C9" s="3177"/>
      <c r="D9" s="3177" t="str">
        <f ca="1">结果表!D123</f>
        <v>贰仟贰佰贰拾万元整</v>
      </c>
      <c r="E9" s="3177"/>
      <c r="F9" s="3177"/>
      <c r="G9" s="3177"/>
      <c r="H9" s="3177"/>
      <c r="I9" s="3177"/>
    </row>
    <row r="10" spans="1:9" ht="15.75">
      <c r="A10" s="3176" t="str">
        <f>结果表!A124</f>
        <v/>
      </c>
      <c r="B10" s="3176"/>
      <c r="C10" s="3176"/>
      <c r="D10" s="3176" t="str">
        <f>结果表!D124</f>
        <v>——</v>
      </c>
      <c r="E10" s="3176"/>
      <c r="F10" s="3176"/>
      <c r="G10" s="3176"/>
      <c r="H10" s="3176"/>
      <c r="I10" s="3176"/>
    </row>
    <row r="11" spans="1:9" ht="15">
      <c r="A11" s="3177" t="s">
        <v>927</v>
      </c>
      <c r="B11" s="3177"/>
      <c r="C11" s="3177"/>
      <c r="D11" s="3177" t="e">
        <f>结果表!D125</f>
        <v>#VALUE!</v>
      </c>
      <c r="E11" s="3177"/>
      <c r="F11" s="3177"/>
      <c r="G11" s="3177"/>
      <c r="H11" s="3177"/>
      <c r="I11" s="3177"/>
    </row>
    <row r="12" spans="1:9" ht="15.75">
      <c r="A12" s="3176" t="str">
        <f>结果表!A126</f>
        <v/>
      </c>
      <c r="B12" s="3176"/>
      <c r="C12" s="3176"/>
      <c r="D12" s="3176" t="str">
        <f>结果表!D126</f>
        <v>——</v>
      </c>
      <c r="E12" s="3176"/>
      <c r="F12" s="3176"/>
      <c r="G12" s="3176"/>
      <c r="H12" s="3176"/>
      <c r="I12" s="3176"/>
    </row>
    <row r="13" spans="1:9" ht="15.75" thickBot="1">
      <c r="A13" s="3174" t="s">
        <v>927</v>
      </c>
      <c r="B13" s="3174"/>
      <c r="C13" s="3174"/>
      <c r="D13" s="3174" t="e">
        <f>结果表!D127</f>
        <v>#VALUE!</v>
      </c>
      <c r="E13" s="3174"/>
      <c r="F13" s="3174"/>
      <c r="G13" s="3174"/>
      <c r="H13" s="3174"/>
      <c r="I13" s="3174"/>
    </row>
    <row r="14" spans="1:9" ht="15" thickTop="1">
      <c r="A14" s="3175" t="s">
        <v>932</v>
      </c>
      <c r="B14" s="3175"/>
      <c r="C14" s="3175"/>
      <c r="D14" s="3175"/>
      <c r="E14" s="3175"/>
      <c r="F14" s="3175"/>
      <c r="G14" s="3175"/>
      <c r="H14" s="3175"/>
      <c r="I14" s="317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45743</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9" t="s">
        <v>949</v>
      </c>
      <c r="B1" s="3189"/>
      <c r="C1" s="3189"/>
      <c r="D1" s="3189"/>
    </row>
    <row r="2" spans="1:4" ht="18">
      <c r="A2" s="3190" t="s">
        <v>933</v>
      </c>
      <c r="B2" s="3190"/>
      <c r="C2" s="3190"/>
      <c r="D2" s="319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0" t="s">
        <v>939</v>
      </c>
      <c r="B6" s="3190"/>
      <c r="C6" s="3190"/>
      <c r="D6" s="319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1" t="s">
        <v>942</v>
      </c>
      <c r="B11" s="3183"/>
      <c r="C11" s="3183"/>
      <c r="D11" s="3183"/>
    </row>
    <row r="12" spans="1:4" ht="15.75">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3" t="str">
        <f>IF(项目基本情况!B8="抵押","4.本次评估估价师所知悉的法定优先受偿款情况说明如下：","——")</f>
        <v>4.本次评估估价师所知悉的法定优先受偿款情况说明如下：</v>
      </c>
      <c r="B14" s="3188"/>
      <c r="C14" s="3188"/>
      <c r="D14" s="3188"/>
    </row>
    <row r="15" spans="1:4" ht="42" customHeight="1">
      <c r="A15" s="31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5" t="s">
        <v>943</v>
      </c>
      <c r="B16" s="3185"/>
      <c r="C16" s="3185"/>
      <c r="D16" s="3185"/>
    </row>
    <row r="17" spans="1:4" ht="144" customHeight="1">
      <c r="A17" s="3185" t="s">
        <v>944</v>
      </c>
      <c r="B17" s="3185"/>
      <c r="C17" s="3185"/>
      <c r="D17" s="3185"/>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3"/>
      <c r="C20" s="3183"/>
      <c r="D20" s="3183"/>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6"/>
      <c r="C21" s="3186"/>
      <c r="D21" s="3186"/>
    </row>
    <row r="22" spans="1:4" ht="18.75" customHeight="1">
      <c r="A22" s="3187" t="s">
        <v>945</v>
      </c>
      <c r="B22" s="3187"/>
      <c r="C22" s="3187"/>
      <c r="D22" s="318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4">
        <v>42551</v>
      </c>
      <c r="D31" s="31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45743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估价对象房地状况</vt:lpstr>
      <vt:lpstr>系统读取表</vt:lpstr>
      <vt:lpstr>结果表</vt:lpstr>
      <vt:lpstr>成本法</vt:lpstr>
      <vt:lpstr>成本法 (元)</vt:lpstr>
      <vt:lpstr>假设开发法</vt:lpstr>
      <vt:lpstr>收益法</vt:lpstr>
      <vt:lpstr>收益法 (元)</vt:lpstr>
      <vt:lpstr>基准地价修正</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利润表2022年12期</vt:lpstr>
      <vt:lpstr>利润表2023年12期</vt:lpstr>
      <vt:lpstr>利润表2024年12期</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2025-03-27T02:58:09Z</dcterms:modified>
</cp:coreProperties>
</file>